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U:\P323 PG&amp;E RSW Phase II\03 Build and Populate\Final Versions to PG&amp;E 6-12\"/>
    </mc:Choice>
  </mc:AlternateContent>
  <workbookProtection workbookAlgorithmName="SHA-512" workbookHashValue="wjPCtA+FYyXmwDrOBrw44lyaVORYoBditd7FtMYQN63vPOi8PZkd/v7ZSvRZ2Z7Pwj8YisEI9bZzp/Csj2Y8Qg==" workbookSaltValue="vFnK2Bl3cT9y05AXG2x2bw==" workbookSpinCount="100000" lockStructure="1"/>
  <bookViews>
    <workbookView xWindow="8850" yWindow="-15" windowWidth="14160" windowHeight="6870" tabRatio="821"/>
  </bookViews>
  <sheets>
    <sheet name="Read Me" sheetId="5" r:id="rId1"/>
    <sheet name="Household View" sheetId="9" r:id="rId2"/>
    <sheet name="Device View" sheetId="10" r:id="rId3"/>
    <sheet name="DATA" sheetId="1" r:id="rId4"/>
    <sheet name="Category Data" sheetId="11" r:id="rId5"/>
    <sheet name="Price Point Data" sheetId="12" r:id="rId6"/>
    <sheet name="DATA SOURCE #s" sheetId="2" r:id="rId7"/>
    <sheet name="SOURCE Info" sheetId="3" r:id="rId8"/>
    <sheet name="Intermediate Data" sheetId="8" state="hidden" r:id="rId9"/>
  </sheets>
  <definedNames>
    <definedName name="_xlnm._FilterDatabase" localSheetId="3" hidden="1">DATA!$A$4:$EH$141</definedName>
    <definedName name="_xlnm._FilterDatabase" localSheetId="6" hidden="1">'DATA SOURCE #s'!$A$4:$EH$141</definedName>
    <definedName name="_xlnm._FilterDatabase" localSheetId="5" hidden="1">'Price Point Data'!$A$1:$R$86</definedName>
    <definedName name="_xlnm._FilterDatabase" localSheetId="7" hidden="1">'SOURCE Info'!$A$1:$G$23</definedName>
    <definedName name="EndUse">'Intermediate Data'!$G$3:$G$14</definedName>
    <definedName name="ES_P1">OFFSET('Intermediate Data'!$Q$212,0,0,1,'Intermediate Data'!$E$212)</definedName>
    <definedName name="ES_P10">OFFSET('Intermediate Data'!$Q$221,0,0,1,'Intermediate Data'!$E$221)</definedName>
    <definedName name="ES_P2">OFFSET('Intermediate Data'!$Q$213,0,0,1,'Intermediate Data'!$E$213)</definedName>
    <definedName name="ES_P3">OFFSET('Intermediate Data'!$Q$214,0,0,1,'Intermediate Data'!$E$214)</definedName>
    <definedName name="ES_P4">OFFSET('Intermediate Data'!$Q$215,0,0,1,'Intermediate Data'!$E$215)</definedName>
    <definedName name="ES_P5">OFFSET('Intermediate Data'!$Q$216,0,0,1,'Intermediate Data'!$E$216)</definedName>
    <definedName name="ES_P6">OFFSET('Intermediate Data'!$Q$217,0,0,1,'Intermediate Data'!$E$217)</definedName>
    <definedName name="ES_P7">OFFSET('Intermediate Data'!$Q$218,0,0,1,'Intermediate Data'!$E$218)</definedName>
    <definedName name="ES_P8">OFFSET('Intermediate Data'!$Q$219,0,0,1,'Intermediate Data'!$E$219)</definedName>
    <definedName name="ES_P9">OFFSET('Intermediate Data'!$Q$220,0,0,1,'Intermediate Data'!$E$220)</definedName>
    <definedName name="FuelFilter">'Intermediate Data'!$B$3:$B$4</definedName>
    <definedName name="HHCategory_Electric">'Category Data'!$C$14:$E$26</definedName>
    <definedName name="HHCategory_Gas">'Category Data'!$K$14:$M$26</definedName>
    <definedName name="HHChoose">CHOOSE('Intermediate Data'!$F$48,HHCategory_Electric,HHCategory_Gas)</definedName>
    <definedName name="HHESTARMarketShare">OFFSET('Intermediate Data'!$AQ$56,0,0,COUNTIF('Intermediate Data'!$Y$56:$Y$192,"&gt;"&amp;0))</definedName>
    <definedName name="HHESTARUECSavings">OFFSET('Intermediate Data'!$AR$56,0,0,COUNTIF('Intermediate Data'!$Y$56:$Y$192,"&gt;"&amp;0))</definedName>
    <definedName name="HHFilterBy">'Intermediate Data'!$C$27:$C$39</definedName>
    <definedName name="HHPenetration2003">OFFSET('Intermediate Data'!$AC$56,0,0,COUNTIF('Intermediate Data'!$Y$56:$Y$192,"&gt;"&amp;0))</definedName>
    <definedName name="HHPenetration2009">OFFSET('Intermediate Data'!$AE$56,0,0,COUNTIF('Intermediate Data'!$Y$56:$Y$192,"&gt;"&amp;0))</definedName>
    <definedName name="HHPenetration2012">OFFSET('Intermediate Data'!$AF$56,0,0,COUNTIF('Intermediate Data'!$Y$56:$Y$192,"&gt;"&amp;0))</definedName>
    <definedName name="HHProductName">OFFSET('Intermediate Data'!$AA$56,0,0,COUNTIF('Intermediate Data'!$Y$56:$Y$192,"&gt;"&amp;0))</definedName>
    <definedName name="HHSaturation2003">OFFSET('Intermediate Data'!$AJ$56,0,0,COUNTIF('Intermediate Data'!$Y$56:$Y$192,"&gt;"&amp;0))</definedName>
    <definedName name="HHSaturation2009">OFFSET('Intermediate Data'!$AL$56,0,0,COUNTIF('Intermediate Data'!$Y$56:$Y$192,"&gt;"&amp;0))</definedName>
    <definedName name="HHSaturation2012">OFFSET('Intermediate Data'!$AM$56,0,0,COUNTIF('Intermediate Data'!$Y$56:$Y$192,"&gt;"&amp;0))</definedName>
    <definedName name="HHVSort">'Intermediate Data'!$B$27:$B$32</definedName>
    <definedName name="T1CustomList">'Intermediate Data'!$AZ$25:$AZ$44</definedName>
    <definedName name="T1FilterByNew">'Intermediate Data'!$BB$25:$BB$26</definedName>
    <definedName name="T1ProductList">'Intermediate Data'!$E$3:$E$23</definedName>
    <definedName name="T1ProductListAll">'Intermediate Data'!$E$3:$E$23</definedName>
    <definedName name="T1ProductListAllFuel">'Intermediate Data'!$F$3:$F$23</definedName>
    <definedName name="T1Sort">'Intermediate Data'!$AW$25:$AW$34</definedName>
    <definedName name="Territory">'Intermediate Data'!$D$3:$D$7</definedName>
    <definedName name="TEST">OFFSET('Intermediate Data'!$AX$48,0,0,'Intermediate Data'!$AZ$47)</definedName>
    <definedName name="Z_4A33A914_5DEA_45EA_961C_669673132E6E_.wvu.Cols" localSheetId="3" hidden="1">DATA!$DX:$XFD</definedName>
    <definedName name="Z_4A33A914_5DEA_45EA_961C_669673132E6E_.wvu.Cols" localSheetId="6" hidden="1">'DATA SOURCE #s'!$EI:$XFD</definedName>
    <definedName name="Z_4A33A914_5DEA_45EA_961C_669673132E6E_.wvu.FilterData" localSheetId="3" hidden="1">DATA!$B$4:$DW$139</definedName>
    <definedName name="Z_4A33A914_5DEA_45EA_961C_669673132E6E_.wvu.FilterData" localSheetId="6" hidden="1">'DATA SOURCE #s'!$B$4:$EI$139</definedName>
    <definedName name="Z_4A33A914_5DEA_45EA_961C_669673132E6E_.wvu.Rows" localSheetId="3" hidden="1">DATA!$145:$1048576</definedName>
    <definedName name="Z_4A33A914_5DEA_45EA_961C_669673132E6E_.wvu.Rows" localSheetId="6" hidden="1">'DATA SOURCE #s'!$143:$1048576</definedName>
    <definedName name="Z_60F78483_39BF_4220_A916_CF2EC8650828_.wvu.Cols" localSheetId="3" hidden="1">DATA!$DX:$XFD</definedName>
    <definedName name="Z_60F78483_39BF_4220_A916_CF2EC8650828_.wvu.Cols" localSheetId="6" hidden="1">'DATA SOURCE #s'!$EI:$XFD</definedName>
    <definedName name="Z_60F78483_39BF_4220_A916_CF2EC8650828_.wvu.Cols" localSheetId="0" hidden="1">'Read Me'!$F:$H</definedName>
    <definedName name="Z_60F78483_39BF_4220_A916_CF2EC8650828_.wvu.FilterData" localSheetId="3" hidden="1">DATA!$B$4:$DW$139</definedName>
    <definedName name="Z_60F78483_39BF_4220_A916_CF2EC8650828_.wvu.FilterData" localSheetId="6" hidden="1">'DATA SOURCE #s'!$B$4:$EI$139</definedName>
    <definedName name="Z_60F78483_39BF_4220_A916_CF2EC8650828_.wvu.Rows" localSheetId="3" hidden="1">DATA!$145:$1048576</definedName>
    <definedName name="Z_60F78483_39BF_4220_A916_CF2EC8650828_.wvu.Rows" localSheetId="6" hidden="1">'DATA SOURCE #s'!$143:$1048576</definedName>
    <definedName name="Z_A81EEAD5_0F54_487C_916C_C0011EA5EA13_.wvu.Cols" localSheetId="3" hidden="1">DATA!$DX:$XFD</definedName>
    <definedName name="Z_A81EEAD5_0F54_487C_916C_C0011EA5EA13_.wvu.Cols" localSheetId="6" hidden="1">'DATA SOURCE #s'!$EI:$XFD</definedName>
    <definedName name="Z_A81EEAD5_0F54_487C_916C_C0011EA5EA13_.wvu.Cols" localSheetId="0" hidden="1">'Read Me'!$F:$H</definedName>
    <definedName name="Z_A81EEAD5_0F54_487C_916C_C0011EA5EA13_.wvu.FilterData" localSheetId="3" hidden="1">DATA!$B$4:$DW$139</definedName>
    <definedName name="Z_A81EEAD5_0F54_487C_916C_C0011EA5EA13_.wvu.FilterData" localSheetId="6" hidden="1">'DATA SOURCE #s'!$B$4:$EI$139</definedName>
    <definedName name="Z_A81EEAD5_0F54_487C_916C_C0011EA5EA13_.wvu.Rows" localSheetId="3" hidden="1">DATA!$145:$1048576</definedName>
    <definedName name="Z_A81EEAD5_0F54_487C_916C_C0011EA5EA13_.wvu.Rows" localSheetId="6" hidden="1">'DATA SOURCE #s'!$143:$1048576</definedName>
  </definedNames>
  <calcPr calcId="152511"/>
  <customWorkbookViews>
    <customWorkbookView name="Hale Forster - Personal View" guid="{60F78483-39BF-4220-A916-CF2EC8650828}" mergeInterval="0" personalView="1" maximized="1" xWindow="-1928" yWindow="-8" windowWidth="1936" windowHeight="1096" activeSheetId="1"/>
    <customWorkbookView name="Joe Van Clock - Personal View" guid="{A81EEAD5-0F54-487C-916C-C0011EA5EA13}" mergeInterval="0" personalView="1" maximized="1" xWindow="-8" yWindow="-8" windowWidth="1936" windowHeight="1056" activeSheetId="1"/>
    <customWorkbookView name="Zac Hathaway - Personal View" guid="{4A33A914-5DEA-45EA-961C-669673132E6E}" mergeInterval="0" personalView="1" maximized="1" xWindow="-8" yWindow="-8" windowWidth="1696" windowHeight="1026" activeSheetId="2"/>
  </customWorkbookViews>
</workbook>
</file>

<file path=xl/calcChain.xml><?xml version="1.0" encoding="utf-8"?>
<calcChain xmlns="http://schemas.openxmlformats.org/spreadsheetml/2006/main">
  <c r="AY51" i="8" l="1"/>
  <c r="BY54" i="8"/>
  <c r="BW54" i="8"/>
  <c r="BZ10" i="10"/>
  <c r="AX10" i="10"/>
  <c r="AK10" i="10"/>
  <c r="AC10" i="10"/>
  <c r="X10" i="10"/>
  <c r="T10" i="10"/>
  <c r="AS10" i="9"/>
  <c r="BV54" i="8" l="1"/>
  <c r="S54" i="8"/>
  <c r="R55" i="8"/>
  <c r="CX20" i="1" l="1"/>
  <c r="CX19" i="1"/>
  <c r="CX17" i="1"/>
  <c r="CX15" i="1"/>
  <c r="CX14" i="1"/>
  <c r="CX23" i="1"/>
  <c r="CX22" i="1"/>
  <c r="CQ20" i="1"/>
  <c r="CQ18" i="1"/>
  <c r="CQ16" i="1"/>
  <c r="CQ15" i="1"/>
  <c r="BN141" i="2" l="1"/>
  <c r="BL25" i="1" l="1"/>
  <c r="BL7" i="1"/>
  <c r="AD10" i="9"/>
  <c r="J8" i="12" l="1"/>
  <c r="U55" i="8" l="1"/>
  <c r="BM141" i="2"/>
  <c r="BE10" i="9"/>
  <c r="AO10" i="9"/>
  <c r="BM98" i="1" l="1"/>
  <c r="Y32" i="10" l="1"/>
  <c r="P32" i="10"/>
  <c r="V40" i="10"/>
  <c r="V36" i="10"/>
  <c r="D54" i="10" l="1"/>
  <c r="V54" i="10" s="1"/>
  <c r="X54" i="10" s="1"/>
  <c r="D53" i="10"/>
  <c r="B37" i="10"/>
  <c r="G41" i="10"/>
  <c r="BL32" i="10"/>
  <c r="V53" i="10" l="1"/>
  <c r="BK23" i="1"/>
  <c r="BO9" i="1"/>
  <c r="BK14" i="1"/>
  <c r="BK8" i="1"/>
  <c r="BK5" i="1"/>
  <c r="BK22" i="1" l="1"/>
  <c r="BK15" i="1"/>
  <c r="BK10" i="1"/>
  <c r="BO12" i="1" l="1"/>
  <c r="BK24" i="1"/>
  <c r="BM54" i="8" l="1"/>
  <c r="AZ54" i="8"/>
  <c r="AY54" i="8"/>
  <c r="AX54" i="8"/>
  <c r="AW54" i="8"/>
  <c r="AX49" i="8" l="1"/>
  <c r="AY10" i="9"/>
  <c r="L10" i="9"/>
  <c r="B54" i="8" l="1"/>
  <c r="I54" i="8"/>
  <c r="D213" i="8"/>
  <c r="F213" i="8" l="1"/>
  <c r="AN55" i="8"/>
  <c r="AO55" i="8"/>
  <c r="AG55" i="8"/>
  <c r="AH55" i="8"/>
  <c r="AZ25" i="8"/>
  <c r="AY49" i="8" l="1"/>
  <c r="BO6" i="1"/>
  <c r="DM18" i="1" l="1"/>
  <c r="DN18" i="1"/>
  <c r="DM14" i="1"/>
  <c r="DN14" i="1"/>
  <c r="U38" i="10" l="1"/>
  <c r="M45" i="10"/>
  <c r="F36" i="10"/>
  <c r="I36" i="10" s="1"/>
  <c r="B44" i="10"/>
  <c r="G40" i="10"/>
  <c r="I40" i="10" s="1"/>
  <c r="V38" i="10"/>
  <c r="I41" i="10" l="1"/>
  <c r="K36" i="10"/>
  <c r="K40" i="10"/>
  <c r="G42" i="10" l="1"/>
  <c r="K41" i="10"/>
  <c r="I42" i="10" l="1"/>
  <c r="AY50" i="8"/>
  <c r="M35" i="10" s="1"/>
  <c r="AX50" i="8"/>
  <c r="AX48" i="8"/>
  <c r="D50" i="8"/>
  <c r="D49" i="8"/>
  <c r="G49" i="8" s="1"/>
  <c r="D48" i="8"/>
  <c r="E48" i="8"/>
  <c r="BC10" i="9" s="1"/>
  <c r="K42" i="10"/>
  <c r="BK54" i="8" l="1"/>
  <c r="BB54" i="8"/>
  <c r="BJ54" i="8"/>
  <c r="BI54" i="8"/>
  <c r="BH54" i="8"/>
  <c r="BF54" i="8"/>
  <c r="BE54" i="8"/>
  <c r="BD54" i="8"/>
  <c r="BL54" i="8"/>
  <c r="BC54" i="8"/>
  <c r="CN55" i="8"/>
  <c r="CL55" i="8"/>
  <c r="A195" i="8"/>
  <c r="S195" i="8" s="1"/>
  <c r="A194" i="8"/>
  <c r="S194" i="8" s="1"/>
  <c r="A193" i="8"/>
  <c r="S193" i="8" s="1"/>
  <c r="T37" i="10"/>
  <c r="R37" i="10"/>
  <c r="M55" i="8"/>
  <c r="AK55" i="8" s="1"/>
  <c r="G55" i="8"/>
  <c r="L55" i="8"/>
  <c r="F55" i="8"/>
  <c r="AD55" i="8" s="1"/>
  <c r="O55" i="8"/>
  <c r="K55" i="8"/>
  <c r="AI55" i="8" s="1"/>
  <c r="D55" i="8"/>
  <c r="AB55" i="8" s="1"/>
  <c r="N55" i="8"/>
  <c r="H55" i="8"/>
  <c r="E55" i="8"/>
  <c r="U37" i="10"/>
  <c r="U36" i="10"/>
  <c r="T36" i="10"/>
  <c r="S36" i="10"/>
  <c r="R36" i="10"/>
  <c r="S37" i="10"/>
  <c r="Q5" i="10"/>
  <c r="Q36" i="10"/>
  <c r="Q37" i="10"/>
  <c r="E49" i="8"/>
  <c r="A61" i="8" s="1"/>
  <c r="S61" i="8" s="1"/>
  <c r="DP5" i="1"/>
  <c r="DQ5" i="1"/>
  <c r="DI5" i="1"/>
  <c r="DP6" i="1"/>
  <c r="DQ6" i="1"/>
  <c r="DI6" i="1"/>
  <c r="DJ6" i="1"/>
  <c r="DK6" i="1"/>
  <c r="DP7" i="1"/>
  <c r="DQ7" i="1"/>
  <c r="DI7" i="1"/>
  <c r="DJ7" i="1"/>
  <c r="DK7" i="1"/>
  <c r="DP8" i="1"/>
  <c r="DQ8" i="1"/>
  <c r="DI8" i="1"/>
  <c r="DP9" i="1"/>
  <c r="DQ9" i="1"/>
  <c r="DI9" i="1"/>
  <c r="DP10" i="1"/>
  <c r="DQ10" i="1"/>
  <c r="DI10" i="1"/>
  <c r="DJ10" i="1"/>
  <c r="DK10" i="1"/>
  <c r="DP11" i="1"/>
  <c r="DQ11" i="1"/>
  <c r="DI11" i="1"/>
  <c r="DJ11" i="1"/>
  <c r="DK11" i="1"/>
  <c r="DP12" i="1"/>
  <c r="DQ12" i="1"/>
  <c r="DI12" i="1"/>
  <c r="DJ12" i="1"/>
  <c r="DK12" i="1"/>
  <c r="DP13" i="1"/>
  <c r="DQ13" i="1"/>
  <c r="DI13" i="1"/>
  <c r="DJ13" i="1"/>
  <c r="DK13" i="1"/>
  <c r="DI14" i="1"/>
  <c r="DP15" i="1"/>
  <c r="DQ15" i="1"/>
  <c r="DI15" i="1"/>
  <c r="DJ15" i="1"/>
  <c r="DK15" i="1"/>
  <c r="DP16" i="1"/>
  <c r="DQ16" i="1"/>
  <c r="DI16" i="1"/>
  <c r="DJ16" i="1"/>
  <c r="DK16" i="1"/>
  <c r="DP17" i="1"/>
  <c r="DQ17" i="1"/>
  <c r="DI17" i="1"/>
  <c r="DJ17" i="1"/>
  <c r="DK17" i="1"/>
  <c r="DI18" i="1"/>
  <c r="DP19" i="1"/>
  <c r="DQ19" i="1"/>
  <c r="DI19" i="1"/>
  <c r="DJ19" i="1"/>
  <c r="DK19" i="1"/>
  <c r="DP20" i="1"/>
  <c r="DQ20" i="1"/>
  <c r="DI20" i="1"/>
  <c r="DP21" i="1"/>
  <c r="DQ21" i="1"/>
  <c r="DI21" i="1"/>
  <c r="DJ21" i="1"/>
  <c r="DK21" i="1"/>
  <c r="DP22" i="1"/>
  <c r="DQ22" i="1"/>
  <c r="DI22" i="1"/>
  <c r="DP23" i="1"/>
  <c r="DQ23" i="1"/>
  <c r="DI23" i="1"/>
  <c r="DP24" i="1"/>
  <c r="DQ24" i="1"/>
  <c r="DI24" i="1"/>
  <c r="DP25" i="1"/>
  <c r="DQ25" i="1"/>
  <c r="DI25" i="1"/>
  <c r="DO5" i="1"/>
  <c r="DO6" i="1"/>
  <c r="DO7" i="1"/>
  <c r="DO8" i="1"/>
  <c r="DO9" i="1"/>
  <c r="DO10" i="1"/>
  <c r="DO11" i="1"/>
  <c r="DO12" i="1"/>
  <c r="DO13" i="1"/>
  <c r="DO14" i="1"/>
  <c r="DO15" i="1"/>
  <c r="DO16" i="1"/>
  <c r="DO17" i="1"/>
  <c r="DO18" i="1"/>
  <c r="DO19" i="1"/>
  <c r="DO20" i="1"/>
  <c r="DO21" i="1"/>
  <c r="DO22" i="1"/>
  <c r="DO23" i="1"/>
  <c r="DO24" i="1"/>
  <c r="DO25" i="1"/>
  <c r="DN6" i="1"/>
  <c r="DN7" i="1"/>
  <c r="DN10" i="1"/>
  <c r="DN11" i="1"/>
  <c r="DN12" i="1"/>
  <c r="DN13" i="1"/>
  <c r="DN15" i="1"/>
  <c r="DN16" i="1"/>
  <c r="DN17" i="1"/>
  <c r="DN19" i="1"/>
  <c r="DN21" i="1"/>
  <c r="DN22" i="1"/>
  <c r="DN23" i="1"/>
  <c r="DM6" i="1"/>
  <c r="DM7" i="1"/>
  <c r="DM10" i="1"/>
  <c r="DM11" i="1"/>
  <c r="DM12" i="1"/>
  <c r="DM13" i="1"/>
  <c r="DM15" i="1"/>
  <c r="DM16" i="1"/>
  <c r="DM17" i="1"/>
  <c r="DM19" i="1"/>
  <c r="DM20" i="1"/>
  <c r="DM21" i="1"/>
  <c r="DM22" i="1"/>
  <c r="DM23" i="1"/>
  <c r="DM24" i="1"/>
  <c r="DM25" i="1"/>
  <c r="DL6" i="1"/>
  <c r="DL7" i="1"/>
  <c r="DL8" i="1"/>
  <c r="DL9" i="1"/>
  <c r="DL10" i="1"/>
  <c r="DL11" i="1"/>
  <c r="DL12" i="1"/>
  <c r="DL13" i="1"/>
  <c r="DL14" i="1"/>
  <c r="DL15" i="1"/>
  <c r="DL16" i="1"/>
  <c r="DL17" i="1"/>
  <c r="DL18" i="1"/>
  <c r="DL19" i="1"/>
  <c r="DL20" i="1"/>
  <c r="DL21" i="1"/>
  <c r="DL22" i="1"/>
  <c r="DL23" i="1"/>
  <c r="DL24" i="1"/>
  <c r="DL25" i="1"/>
  <c r="Q42" i="10"/>
  <c r="Q44" i="10"/>
  <c r="Q43" i="10"/>
  <c r="X43" i="10" s="1"/>
  <c r="DM9" i="1"/>
  <c r="I2" i="12"/>
  <c r="DL5" i="1" s="1"/>
  <c r="G33" i="10"/>
  <c r="R193" i="8" l="1"/>
  <c r="R194" i="8"/>
  <c r="R61" i="8"/>
  <c r="R195" i="8"/>
  <c r="U61" i="8"/>
  <c r="A115" i="8"/>
  <c r="S115" i="8" s="1"/>
  <c r="A85" i="8"/>
  <c r="S85" i="8" s="1"/>
  <c r="A188" i="8"/>
  <c r="S188" i="8" s="1"/>
  <c r="A162" i="8"/>
  <c r="S162" i="8" s="1"/>
  <c r="A97" i="8"/>
  <c r="S97" i="8" s="1"/>
  <c r="A184" i="8"/>
  <c r="S184" i="8" s="1"/>
  <c r="A58" i="8"/>
  <c r="S58" i="8" s="1"/>
  <c r="A127" i="8"/>
  <c r="S127" i="8" s="1"/>
  <c r="A158" i="8"/>
  <c r="S158" i="8" s="1"/>
  <c r="A56" i="8"/>
  <c r="S56" i="8" s="1"/>
  <c r="O195" i="8"/>
  <c r="D195" i="8"/>
  <c r="M195" i="8"/>
  <c r="B195" i="8"/>
  <c r="L195" i="8"/>
  <c r="T195" i="8"/>
  <c r="K195" i="8"/>
  <c r="F195" i="8"/>
  <c r="G195" i="8"/>
  <c r="C195" i="8"/>
  <c r="W195" i="8" s="1"/>
  <c r="I195" i="8"/>
  <c r="N195" i="8"/>
  <c r="U195" i="8"/>
  <c r="E195" i="8"/>
  <c r="H195" i="8"/>
  <c r="M193" i="8"/>
  <c r="N193" i="8"/>
  <c r="T193" i="8"/>
  <c r="U193" i="8"/>
  <c r="G193" i="8"/>
  <c r="L193" i="8"/>
  <c r="O193" i="8"/>
  <c r="F193" i="8"/>
  <c r="C193" i="8"/>
  <c r="W193" i="8" s="1"/>
  <c r="I193" i="8"/>
  <c r="B193" i="8"/>
  <c r="K193" i="8"/>
  <c r="D193" i="8"/>
  <c r="H193" i="8"/>
  <c r="E193" i="8"/>
  <c r="N194" i="8"/>
  <c r="T194" i="8"/>
  <c r="M194" i="8"/>
  <c r="F194" i="8"/>
  <c r="I194" i="8"/>
  <c r="C194" i="8"/>
  <c r="W194" i="8" s="1"/>
  <c r="D194" i="8"/>
  <c r="G194" i="8"/>
  <c r="K194" i="8"/>
  <c r="L194" i="8"/>
  <c r="O194" i="8"/>
  <c r="H194" i="8"/>
  <c r="U194" i="8"/>
  <c r="B194" i="8"/>
  <c r="E194" i="8"/>
  <c r="A65" i="8"/>
  <c r="S65" i="8" s="1"/>
  <c r="A179" i="8"/>
  <c r="S179" i="8" s="1"/>
  <c r="A192" i="8"/>
  <c r="S192" i="8" s="1"/>
  <c r="A67" i="8"/>
  <c r="S67" i="8" s="1"/>
  <c r="A82" i="8"/>
  <c r="S82" i="8" s="1"/>
  <c r="A108" i="8"/>
  <c r="S108" i="8" s="1"/>
  <c r="A123" i="8"/>
  <c r="S123" i="8" s="1"/>
  <c r="A138" i="8"/>
  <c r="S138" i="8" s="1"/>
  <c r="A153" i="8"/>
  <c r="S153" i="8" s="1"/>
  <c r="A160" i="8"/>
  <c r="S160" i="8" s="1"/>
  <c r="A96" i="8"/>
  <c r="S96" i="8" s="1"/>
  <c r="A167" i="8"/>
  <c r="S167" i="8" s="1"/>
  <c r="A103" i="8"/>
  <c r="S103" i="8" s="1"/>
  <c r="A174" i="8"/>
  <c r="S174" i="8" s="1"/>
  <c r="A110" i="8"/>
  <c r="S110" i="8" s="1"/>
  <c r="A181" i="8"/>
  <c r="S181" i="8" s="1"/>
  <c r="A117" i="8"/>
  <c r="S117" i="8" s="1"/>
  <c r="A66" i="8"/>
  <c r="S66" i="8" s="1"/>
  <c r="A81" i="8"/>
  <c r="S81" i="8" s="1"/>
  <c r="A92" i="8"/>
  <c r="S92" i="8" s="1"/>
  <c r="A107" i="8"/>
  <c r="S107" i="8" s="1"/>
  <c r="A122" i="8"/>
  <c r="S122" i="8" s="1"/>
  <c r="A137" i="8"/>
  <c r="S137" i="8" s="1"/>
  <c r="A152" i="8"/>
  <c r="S152" i="8" s="1"/>
  <c r="A88" i="8"/>
  <c r="S88" i="8" s="1"/>
  <c r="A159" i="8"/>
  <c r="S159" i="8" s="1"/>
  <c r="A95" i="8"/>
  <c r="S95" i="8" s="1"/>
  <c r="A166" i="8"/>
  <c r="S166" i="8" s="1"/>
  <c r="A102" i="8"/>
  <c r="S102" i="8" s="1"/>
  <c r="A173" i="8"/>
  <c r="S173" i="8" s="1"/>
  <c r="A109" i="8"/>
  <c r="S109" i="8" s="1"/>
  <c r="A163" i="8"/>
  <c r="S163" i="8" s="1"/>
  <c r="A91" i="8"/>
  <c r="S91" i="8" s="1"/>
  <c r="A144" i="8"/>
  <c r="S144" i="8" s="1"/>
  <c r="A151" i="8"/>
  <c r="S151" i="8" s="1"/>
  <c r="A87" i="8"/>
  <c r="S87" i="8" s="1"/>
  <c r="A94" i="8"/>
  <c r="S94" i="8" s="1"/>
  <c r="A165" i="8"/>
  <c r="S165" i="8" s="1"/>
  <c r="A101" i="8"/>
  <c r="S101" i="8" s="1"/>
  <c r="A148" i="8"/>
  <c r="S148" i="8" s="1"/>
  <c r="A187" i="8"/>
  <c r="S187" i="8" s="1"/>
  <c r="A76" i="8"/>
  <c r="S76" i="8" s="1"/>
  <c r="A106" i="8"/>
  <c r="S106" i="8" s="1"/>
  <c r="A121" i="8"/>
  <c r="S121" i="8" s="1"/>
  <c r="A80" i="8"/>
  <c r="S80" i="8" s="1"/>
  <c r="A132" i="8"/>
  <c r="S132" i="8" s="1"/>
  <c r="A147" i="8"/>
  <c r="S147" i="8" s="1"/>
  <c r="A176" i="8"/>
  <c r="S176" i="8" s="1"/>
  <c r="A186" i="8"/>
  <c r="S186" i="8" s="1"/>
  <c r="A60" i="8"/>
  <c r="S60" i="8" s="1"/>
  <c r="A75" i="8"/>
  <c r="S75" i="8" s="1"/>
  <c r="A90" i="8"/>
  <c r="S90" i="8" s="1"/>
  <c r="A105" i="8"/>
  <c r="S105" i="8" s="1"/>
  <c r="A136" i="8"/>
  <c r="S136" i="8" s="1"/>
  <c r="A72" i="8"/>
  <c r="S72" i="8" s="1"/>
  <c r="A143" i="8"/>
  <c r="S143" i="8" s="1"/>
  <c r="A79" i="8"/>
  <c r="S79" i="8" s="1"/>
  <c r="A150" i="8"/>
  <c r="S150" i="8" s="1"/>
  <c r="A86" i="8"/>
  <c r="S86" i="8" s="1"/>
  <c r="A157" i="8"/>
  <c r="S157" i="8" s="1"/>
  <c r="A93" i="8"/>
  <c r="S93" i="8" s="1"/>
  <c r="A161" i="8"/>
  <c r="S161" i="8" s="1"/>
  <c r="A59" i="8"/>
  <c r="S59" i="8" s="1"/>
  <c r="A74" i="8"/>
  <c r="S74" i="8" s="1"/>
  <c r="A128" i="8"/>
  <c r="S128" i="8" s="1"/>
  <c r="A64" i="8"/>
  <c r="S64" i="8" s="1"/>
  <c r="A135" i="8"/>
  <c r="S135" i="8" s="1"/>
  <c r="A71" i="8"/>
  <c r="A142" i="8"/>
  <c r="S142" i="8" s="1"/>
  <c r="A78" i="8"/>
  <c r="S78" i="8" s="1"/>
  <c r="A149" i="8"/>
  <c r="S149" i="8" s="1"/>
  <c r="A164" i="8"/>
  <c r="S164" i="8" s="1"/>
  <c r="A177" i="8"/>
  <c r="S177" i="8" s="1"/>
  <c r="A116" i="8"/>
  <c r="S116" i="8" s="1"/>
  <c r="A146" i="8"/>
  <c r="S146" i="8" s="1"/>
  <c r="A172" i="8"/>
  <c r="S172" i="8" s="1"/>
  <c r="A185" i="8"/>
  <c r="S185" i="8" s="1"/>
  <c r="A89" i="8"/>
  <c r="S89" i="8" s="1"/>
  <c r="A100" i="8"/>
  <c r="S100" i="8" s="1"/>
  <c r="A130" i="8"/>
  <c r="S130" i="8" s="1"/>
  <c r="A145" i="8"/>
  <c r="S145" i="8" s="1"/>
  <c r="A156" i="8"/>
  <c r="S156" i="8" s="1"/>
  <c r="A171" i="8"/>
  <c r="S171" i="8" s="1"/>
  <c r="A73" i="8"/>
  <c r="S73" i="8" s="1"/>
  <c r="A120" i="8"/>
  <c r="S120" i="8" s="1"/>
  <c r="A191" i="8"/>
  <c r="S191" i="8" s="1"/>
  <c r="A63" i="8"/>
  <c r="S63" i="8" s="1"/>
  <c r="A134" i="8"/>
  <c r="S134" i="8" s="1"/>
  <c r="A70" i="8"/>
  <c r="S70" i="8" s="1"/>
  <c r="A141" i="8"/>
  <c r="S141" i="8" s="1"/>
  <c r="A77" i="8"/>
  <c r="S77" i="8" s="1"/>
  <c r="A84" i="8"/>
  <c r="S84" i="8" s="1"/>
  <c r="A99" i="8"/>
  <c r="S99" i="8" s="1"/>
  <c r="A114" i="8"/>
  <c r="S114" i="8" s="1"/>
  <c r="A129" i="8"/>
  <c r="S129" i="8" s="1"/>
  <c r="A140" i="8"/>
  <c r="S140" i="8" s="1"/>
  <c r="A155" i="8"/>
  <c r="S155" i="8" s="1"/>
  <c r="A170" i="8"/>
  <c r="S170" i="8" s="1"/>
  <c r="A180" i="8"/>
  <c r="S180" i="8" s="1"/>
  <c r="A57" i="8"/>
  <c r="S57" i="8" s="1"/>
  <c r="A112" i="8"/>
  <c r="S112" i="8" s="1"/>
  <c r="A183" i="8"/>
  <c r="S183" i="8" s="1"/>
  <c r="A119" i="8"/>
  <c r="S119" i="8" s="1"/>
  <c r="A190" i="8"/>
  <c r="S190" i="8" s="1"/>
  <c r="A126" i="8"/>
  <c r="S126" i="8" s="1"/>
  <c r="A62" i="8"/>
  <c r="S62" i="8" s="1"/>
  <c r="A133" i="8"/>
  <c r="S133" i="8" s="1"/>
  <c r="A69" i="8"/>
  <c r="S69" i="8" s="1"/>
  <c r="A178" i="8"/>
  <c r="S178" i="8" s="1"/>
  <c r="A131" i="8"/>
  <c r="S131" i="8" s="1"/>
  <c r="A68" i="8"/>
  <c r="S68" i="8" s="1"/>
  <c r="A83" i="8"/>
  <c r="S83" i="8" s="1"/>
  <c r="A98" i="8"/>
  <c r="S98" i="8" s="1"/>
  <c r="A113" i="8"/>
  <c r="S113" i="8" s="1"/>
  <c r="A124" i="8"/>
  <c r="S124" i="8" s="1"/>
  <c r="A139" i="8"/>
  <c r="S139" i="8" s="1"/>
  <c r="A154" i="8"/>
  <c r="S154" i="8" s="1"/>
  <c r="A169" i="8"/>
  <c r="S169" i="8" s="1"/>
  <c r="A168" i="8"/>
  <c r="S168" i="8" s="1"/>
  <c r="A104" i="8"/>
  <c r="S104" i="8" s="1"/>
  <c r="A175" i="8"/>
  <c r="S175" i="8" s="1"/>
  <c r="A111" i="8"/>
  <c r="S111" i="8" s="1"/>
  <c r="A182" i="8"/>
  <c r="S182" i="8" s="1"/>
  <c r="A118" i="8"/>
  <c r="S118" i="8" s="1"/>
  <c r="A189" i="8"/>
  <c r="S189" i="8" s="1"/>
  <c r="A125" i="8"/>
  <c r="S125" i="8" s="1"/>
  <c r="T61" i="8"/>
  <c r="S71" i="8" l="1"/>
  <c r="R125" i="8"/>
  <c r="R111" i="8"/>
  <c r="R169" i="8"/>
  <c r="R113" i="8"/>
  <c r="R131" i="8"/>
  <c r="R62" i="8"/>
  <c r="R183" i="8"/>
  <c r="R170" i="8"/>
  <c r="R114" i="8"/>
  <c r="R141" i="8"/>
  <c r="R191" i="8"/>
  <c r="R156" i="8"/>
  <c r="R89" i="8"/>
  <c r="R116" i="8"/>
  <c r="R78" i="8"/>
  <c r="R64" i="8"/>
  <c r="R161" i="8"/>
  <c r="R150" i="8"/>
  <c r="R136" i="8"/>
  <c r="R60" i="8"/>
  <c r="R132" i="8"/>
  <c r="R76" i="8"/>
  <c r="R165" i="8"/>
  <c r="R144" i="8"/>
  <c r="R173" i="8"/>
  <c r="R159" i="8"/>
  <c r="R122" i="8"/>
  <c r="R66" i="8"/>
  <c r="R174" i="8"/>
  <c r="R160" i="8"/>
  <c r="R108" i="8"/>
  <c r="R179" i="8"/>
  <c r="R158" i="8"/>
  <c r="R97" i="8"/>
  <c r="R115" i="8"/>
  <c r="R189" i="8"/>
  <c r="R175" i="8"/>
  <c r="R154" i="8"/>
  <c r="R98" i="8"/>
  <c r="R178" i="8"/>
  <c r="R126" i="8"/>
  <c r="R112" i="8"/>
  <c r="R155" i="8"/>
  <c r="R99" i="8"/>
  <c r="R70" i="8"/>
  <c r="R120" i="8"/>
  <c r="R145" i="8"/>
  <c r="R185" i="8"/>
  <c r="R177" i="8"/>
  <c r="R142" i="8"/>
  <c r="R128" i="8"/>
  <c r="R93" i="8"/>
  <c r="R79" i="8"/>
  <c r="R105" i="8"/>
  <c r="R186" i="8"/>
  <c r="R80" i="8"/>
  <c r="R187" i="8"/>
  <c r="R94" i="8"/>
  <c r="R91" i="8"/>
  <c r="R102" i="8"/>
  <c r="R88" i="8"/>
  <c r="R107" i="8"/>
  <c r="R117" i="8"/>
  <c r="R103" i="8"/>
  <c r="R153" i="8"/>
  <c r="R82" i="8"/>
  <c r="R65" i="8"/>
  <c r="R127" i="8"/>
  <c r="R162" i="8"/>
  <c r="R118" i="8"/>
  <c r="R104" i="8"/>
  <c r="R139" i="8"/>
  <c r="R83" i="8"/>
  <c r="R69" i="8"/>
  <c r="R190" i="8"/>
  <c r="R57" i="8"/>
  <c r="R140" i="8"/>
  <c r="R84" i="8"/>
  <c r="R134" i="8"/>
  <c r="R73" i="8"/>
  <c r="R130" i="8"/>
  <c r="R172" i="8"/>
  <c r="R164" i="8"/>
  <c r="R71" i="8"/>
  <c r="R74" i="8"/>
  <c r="R157" i="8"/>
  <c r="R143" i="8"/>
  <c r="R90" i="8"/>
  <c r="R176" i="8"/>
  <c r="R121" i="8"/>
  <c r="R148" i="8"/>
  <c r="R87" i="8"/>
  <c r="R163" i="8"/>
  <c r="R166" i="8"/>
  <c r="R152" i="8"/>
  <c r="R92" i="8"/>
  <c r="R181" i="8"/>
  <c r="R167" i="8"/>
  <c r="R138" i="8"/>
  <c r="R67" i="8"/>
  <c r="R58" i="8"/>
  <c r="R188" i="8"/>
  <c r="R182" i="8"/>
  <c r="R168" i="8"/>
  <c r="R124" i="8"/>
  <c r="R68" i="8"/>
  <c r="R133" i="8"/>
  <c r="R119" i="8"/>
  <c r="R180" i="8"/>
  <c r="R129" i="8"/>
  <c r="R77" i="8"/>
  <c r="R63" i="8"/>
  <c r="R171" i="8"/>
  <c r="R100" i="8"/>
  <c r="R146" i="8"/>
  <c r="R149" i="8"/>
  <c r="R135" i="8"/>
  <c r="R59" i="8"/>
  <c r="R86" i="8"/>
  <c r="R72" i="8"/>
  <c r="R75" i="8"/>
  <c r="R147" i="8"/>
  <c r="R106" i="8"/>
  <c r="R101" i="8"/>
  <c r="R151" i="8"/>
  <c r="R109" i="8"/>
  <c r="R95" i="8"/>
  <c r="R137" i="8"/>
  <c r="R81" i="8"/>
  <c r="R110" i="8"/>
  <c r="R96" i="8"/>
  <c r="R123" i="8"/>
  <c r="R192" i="8"/>
  <c r="R184" i="8"/>
  <c r="R85" i="8"/>
  <c r="R56" i="8"/>
  <c r="U118" i="8"/>
  <c r="U139" i="8"/>
  <c r="U69" i="8"/>
  <c r="U57" i="8"/>
  <c r="U84" i="8"/>
  <c r="U73" i="8"/>
  <c r="U164" i="8"/>
  <c r="U74" i="8"/>
  <c r="U143" i="8"/>
  <c r="U176" i="8"/>
  <c r="U148" i="8"/>
  <c r="U163" i="8"/>
  <c r="U152" i="8"/>
  <c r="U181" i="8"/>
  <c r="U67" i="8"/>
  <c r="U58" i="8"/>
  <c r="U182" i="8"/>
  <c r="U124" i="8"/>
  <c r="U133" i="8"/>
  <c r="U180" i="8"/>
  <c r="U77" i="8"/>
  <c r="U171" i="8"/>
  <c r="U146" i="8"/>
  <c r="U135" i="8"/>
  <c r="U86" i="8"/>
  <c r="U75" i="8"/>
  <c r="U106" i="8"/>
  <c r="U151" i="8"/>
  <c r="U95" i="8"/>
  <c r="U81" i="8"/>
  <c r="U96" i="8"/>
  <c r="U192" i="8"/>
  <c r="U184" i="8"/>
  <c r="U125" i="8"/>
  <c r="U111" i="8"/>
  <c r="U169" i="8"/>
  <c r="U113" i="8"/>
  <c r="U131" i="8"/>
  <c r="U62" i="8"/>
  <c r="U183" i="8"/>
  <c r="U170" i="8"/>
  <c r="U114" i="8"/>
  <c r="U141" i="8"/>
  <c r="U191" i="8"/>
  <c r="U156" i="8"/>
  <c r="U89" i="8"/>
  <c r="U116" i="8"/>
  <c r="U78" i="8"/>
  <c r="U64" i="8"/>
  <c r="U161" i="8"/>
  <c r="U150" i="8"/>
  <c r="U136" i="8"/>
  <c r="U60" i="8"/>
  <c r="U132" i="8"/>
  <c r="U76" i="8"/>
  <c r="U165" i="8"/>
  <c r="U144" i="8"/>
  <c r="U173" i="8"/>
  <c r="U159" i="8"/>
  <c r="U122" i="8"/>
  <c r="U66" i="8"/>
  <c r="U174" i="8"/>
  <c r="U160" i="8"/>
  <c r="U108" i="8"/>
  <c r="U179" i="8"/>
  <c r="U158" i="8"/>
  <c r="U97" i="8"/>
  <c r="U115" i="8"/>
  <c r="U104" i="8"/>
  <c r="U83" i="8"/>
  <c r="U190" i="8"/>
  <c r="U140" i="8"/>
  <c r="U134" i="8"/>
  <c r="U130" i="8"/>
  <c r="U172" i="8"/>
  <c r="U71" i="8"/>
  <c r="U157" i="8"/>
  <c r="U90" i="8"/>
  <c r="U121" i="8"/>
  <c r="U87" i="8"/>
  <c r="U166" i="8"/>
  <c r="U92" i="8"/>
  <c r="U167" i="8"/>
  <c r="U138" i="8"/>
  <c r="U188" i="8"/>
  <c r="U168" i="8"/>
  <c r="U68" i="8"/>
  <c r="U119" i="8"/>
  <c r="U129" i="8"/>
  <c r="U63" i="8"/>
  <c r="U100" i="8"/>
  <c r="U149" i="8"/>
  <c r="U59" i="8"/>
  <c r="U72" i="8"/>
  <c r="U147" i="8"/>
  <c r="U101" i="8"/>
  <c r="U109" i="8"/>
  <c r="U137" i="8"/>
  <c r="U110" i="8"/>
  <c r="U123" i="8"/>
  <c r="U85" i="8"/>
  <c r="U189" i="8"/>
  <c r="U175" i="8"/>
  <c r="U154" i="8"/>
  <c r="U98" i="8"/>
  <c r="U178" i="8"/>
  <c r="U126" i="8"/>
  <c r="U112" i="8"/>
  <c r="U155" i="8"/>
  <c r="U99" i="8"/>
  <c r="U70" i="8"/>
  <c r="U120" i="8"/>
  <c r="U145" i="8"/>
  <c r="U185" i="8"/>
  <c r="U177" i="8"/>
  <c r="U142" i="8"/>
  <c r="U128" i="8"/>
  <c r="U93" i="8"/>
  <c r="U79" i="8"/>
  <c r="U105" i="8"/>
  <c r="U186" i="8"/>
  <c r="U80" i="8"/>
  <c r="U187" i="8"/>
  <c r="U94" i="8"/>
  <c r="U91" i="8"/>
  <c r="U102" i="8"/>
  <c r="U88" i="8"/>
  <c r="U107" i="8"/>
  <c r="U117" i="8"/>
  <c r="U103" i="8"/>
  <c r="U153" i="8"/>
  <c r="U82" i="8"/>
  <c r="U65" i="8"/>
  <c r="U127" i="8"/>
  <c r="U162" i="8"/>
  <c r="U56" i="8"/>
  <c r="P193" i="8"/>
  <c r="Q193" i="8" s="1"/>
  <c r="J193" i="8"/>
  <c r="P194" i="8"/>
  <c r="Q194" i="8" s="1"/>
  <c r="J194" i="8"/>
  <c r="P195" i="8"/>
  <c r="Q195" i="8" s="1"/>
  <c r="J195" i="8"/>
  <c r="K116" i="8"/>
  <c r="B65" i="8"/>
  <c r="K126" i="8"/>
  <c r="B157" i="8"/>
  <c r="F135" i="8"/>
  <c r="T93" i="8"/>
  <c r="K90" i="8"/>
  <c r="K167" i="8"/>
  <c r="D86" i="8"/>
  <c r="K151" i="8"/>
  <c r="B132" i="8"/>
  <c r="D59" i="8"/>
  <c r="G59" i="8"/>
  <c r="M103" i="8"/>
  <c r="D185" i="8"/>
  <c r="H180" i="8"/>
  <c r="M165" i="8"/>
  <c r="N142" i="8"/>
  <c r="C178" i="8"/>
  <c r="K164" i="8"/>
  <c r="D71" i="8"/>
  <c r="D87" i="8"/>
  <c r="F59" i="8"/>
  <c r="N59" i="8"/>
  <c r="C134" i="8"/>
  <c r="L59" i="8"/>
  <c r="E59" i="8"/>
  <c r="H59" i="8"/>
  <c r="T59" i="8"/>
  <c r="D84" i="8"/>
  <c r="L129" i="8"/>
  <c r="K59" i="8"/>
  <c r="B59" i="8"/>
  <c r="N119" i="8"/>
  <c r="N183" i="8"/>
  <c r="M59" i="8"/>
  <c r="F68" i="8"/>
  <c r="O59" i="8"/>
  <c r="C59" i="8"/>
  <c r="F100" i="8"/>
  <c r="B154" i="8"/>
  <c r="M62" i="8"/>
  <c r="E158" i="8"/>
  <c r="H162" i="8"/>
  <c r="L188" i="8"/>
  <c r="D58" i="8"/>
  <c r="D76" i="8"/>
  <c r="F85" i="8"/>
  <c r="L184" i="8"/>
  <c r="F123" i="8"/>
  <c r="B178" i="8"/>
  <c r="L90" i="8"/>
  <c r="O151" i="8"/>
  <c r="H165" i="8"/>
  <c r="G151" i="8"/>
  <c r="G90" i="8"/>
  <c r="C151" i="8"/>
  <c r="H123" i="8"/>
  <c r="C142" i="8"/>
  <c r="G178" i="8"/>
  <c r="O184" i="8"/>
  <c r="E93" i="8"/>
  <c r="M93" i="8"/>
  <c r="K123" i="8"/>
  <c r="L142" i="8"/>
  <c r="G134" i="8"/>
  <c r="N134" i="8"/>
  <c r="H134" i="8"/>
  <c r="E58" i="8"/>
  <c r="T68" i="8"/>
  <c r="O165" i="8"/>
  <c r="N86" i="8"/>
  <c r="N154" i="8"/>
  <c r="L154" i="8"/>
  <c r="L84" i="8"/>
  <c r="B103" i="8"/>
  <c r="E86" i="8"/>
  <c r="F129" i="8"/>
  <c r="D132" i="8"/>
  <c r="B135" i="8"/>
  <c r="G86" i="8"/>
  <c r="D154" i="8"/>
  <c r="H119" i="8"/>
  <c r="O164" i="8"/>
  <c r="T86" i="8"/>
  <c r="T154" i="8"/>
  <c r="D115" i="8"/>
  <c r="F167" i="8"/>
  <c r="D167" i="8"/>
  <c r="B167" i="8"/>
  <c r="N167" i="8"/>
  <c r="E125" i="8"/>
  <c r="D125" i="8"/>
  <c r="C125" i="8"/>
  <c r="N125" i="8"/>
  <c r="G125" i="8"/>
  <c r="H183" i="8"/>
  <c r="B183" i="8"/>
  <c r="F157" i="8"/>
  <c r="G157" i="8"/>
  <c r="K157" i="8"/>
  <c r="T65" i="8"/>
  <c r="L65" i="8"/>
  <c r="O65" i="8"/>
  <c r="F185" i="8"/>
  <c r="T185" i="8"/>
  <c r="O185" i="8"/>
  <c r="T87" i="8"/>
  <c r="L87" i="8"/>
  <c r="E87" i="8"/>
  <c r="H148" i="8"/>
  <c r="N148" i="8"/>
  <c r="G148" i="8"/>
  <c r="K148" i="8"/>
  <c r="L148" i="8"/>
  <c r="M87" i="8"/>
  <c r="C183" i="8"/>
  <c r="N65" i="8"/>
  <c r="B148" i="8"/>
  <c r="N157" i="8"/>
  <c r="N85" i="8"/>
  <c r="C167" i="8"/>
  <c r="G185" i="8"/>
  <c r="B184" i="8"/>
  <c r="N184" i="8"/>
  <c r="H58" i="8"/>
  <c r="C58" i="8"/>
  <c r="W58" i="8" s="1"/>
  <c r="O123" i="8"/>
  <c r="B123" i="8"/>
  <c r="G123" i="8"/>
  <c r="D123" i="8"/>
  <c r="F165" i="8"/>
  <c r="E165" i="8"/>
  <c r="L165" i="8"/>
  <c r="D165" i="8"/>
  <c r="T165" i="8"/>
  <c r="K165" i="8"/>
  <c r="E134" i="8"/>
  <c r="L134" i="8"/>
  <c r="M134" i="8"/>
  <c r="D134" i="8"/>
  <c r="K134" i="8"/>
  <c r="F134" i="8"/>
  <c r="T134" i="8"/>
  <c r="H90" i="8"/>
  <c r="O90" i="8"/>
  <c r="M90" i="8"/>
  <c r="T90" i="8"/>
  <c r="N90" i="8"/>
  <c r="B90" i="8"/>
  <c r="F90" i="8"/>
  <c r="D142" i="8"/>
  <c r="K142" i="8"/>
  <c r="F142" i="8"/>
  <c r="T142" i="8"/>
  <c r="H142" i="8"/>
  <c r="O142" i="8"/>
  <c r="G142" i="8"/>
  <c r="D68" i="8"/>
  <c r="K68" i="8"/>
  <c r="G68" i="8"/>
  <c r="L68" i="8"/>
  <c r="H68" i="8"/>
  <c r="O68" i="8"/>
  <c r="M68" i="8"/>
  <c r="F178" i="8"/>
  <c r="N178" i="8"/>
  <c r="M178" i="8"/>
  <c r="O178" i="8"/>
  <c r="L178" i="8"/>
  <c r="K178" i="8"/>
  <c r="L151" i="8"/>
  <c r="M151" i="8"/>
  <c r="H151" i="8"/>
  <c r="T151" i="8"/>
  <c r="E151" i="8"/>
  <c r="B93" i="8"/>
  <c r="C93" i="8"/>
  <c r="H93" i="8"/>
  <c r="O93" i="8"/>
  <c r="F93" i="8"/>
  <c r="G93" i="8"/>
  <c r="K93" i="8"/>
  <c r="D93" i="8"/>
  <c r="E123" i="8"/>
  <c r="L123" i="8"/>
  <c r="K184" i="8"/>
  <c r="C87" i="8"/>
  <c r="E183" i="8"/>
  <c r="H65" i="8"/>
  <c r="G165" i="8"/>
  <c r="C165" i="8"/>
  <c r="E90" i="8"/>
  <c r="F148" i="8"/>
  <c r="N93" i="8"/>
  <c r="L93" i="8"/>
  <c r="D157" i="8"/>
  <c r="B142" i="8"/>
  <c r="N151" i="8"/>
  <c r="F151" i="8"/>
  <c r="C68" i="8"/>
  <c r="E68" i="8"/>
  <c r="F125" i="8"/>
  <c r="B185" i="8"/>
  <c r="B134" i="8"/>
  <c r="E178" i="8"/>
  <c r="D178" i="8"/>
  <c r="M123" i="8"/>
  <c r="C123" i="8"/>
  <c r="T184" i="8"/>
  <c r="H87" i="8"/>
  <c r="B87" i="8"/>
  <c r="T183" i="8"/>
  <c r="G65" i="8"/>
  <c r="B165" i="8"/>
  <c r="N165" i="8"/>
  <c r="C90" i="8"/>
  <c r="D90" i="8"/>
  <c r="D148" i="8"/>
  <c r="M157" i="8"/>
  <c r="M142" i="8"/>
  <c r="E142" i="8"/>
  <c r="D151" i="8"/>
  <c r="B151" i="8"/>
  <c r="O58" i="8"/>
  <c r="B68" i="8"/>
  <c r="N68" i="8"/>
  <c r="O125" i="8"/>
  <c r="O134" i="8"/>
  <c r="H178" i="8"/>
  <c r="T178" i="8"/>
  <c r="D162" i="8"/>
  <c r="D103" i="8"/>
  <c r="C119" i="8"/>
  <c r="H61" i="8"/>
  <c r="G116" i="8"/>
  <c r="L71" i="8"/>
  <c r="H135" i="8"/>
  <c r="M180" i="8"/>
  <c r="L86" i="8"/>
  <c r="G154" i="8"/>
  <c r="M135" i="8"/>
  <c r="B180" i="8"/>
  <c r="B86" i="8"/>
  <c r="C154" i="8"/>
  <c r="C103" i="8"/>
  <c r="N129" i="8"/>
  <c r="O61" i="8"/>
  <c r="C158" i="8"/>
  <c r="W158" i="8" s="1"/>
  <c r="K87" i="8"/>
  <c r="N87" i="8"/>
  <c r="G87" i="8"/>
  <c r="F87" i="8"/>
  <c r="K183" i="8"/>
  <c r="F183" i="8"/>
  <c r="E65" i="8"/>
  <c r="M65" i="8"/>
  <c r="F65" i="8"/>
  <c r="E84" i="8"/>
  <c r="T148" i="8"/>
  <c r="E148" i="8"/>
  <c r="O157" i="8"/>
  <c r="T157" i="8"/>
  <c r="H85" i="8"/>
  <c r="G167" i="8"/>
  <c r="M167" i="8"/>
  <c r="H167" i="8"/>
  <c r="G129" i="8"/>
  <c r="K125" i="8"/>
  <c r="N185" i="8"/>
  <c r="C185" i="8"/>
  <c r="L185" i="8"/>
  <c r="K62" i="8"/>
  <c r="O87" i="8"/>
  <c r="L183" i="8"/>
  <c r="D183" i="8"/>
  <c r="K65" i="8"/>
  <c r="C65" i="8"/>
  <c r="C148" i="8"/>
  <c r="M148" i="8"/>
  <c r="O148" i="8"/>
  <c r="C157" i="8"/>
  <c r="H157" i="8"/>
  <c r="O85" i="8"/>
  <c r="O167" i="8"/>
  <c r="T167" i="8"/>
  <c r="O129" i="8"/>
  <c r="T125" i="8"/>
  <c r="B125" i="8"/>
  <c r="H125" i="8"/>
  <c r="H185" i="8"/>
  <c r="G135" i="8"/>
  <c r="M84" i="8"/>
  <c r="F86" i="8"/>
  <c r="M86" i="8"/>
  <c r="O86" i="8"/>
  <c r="H86" i="8"/>
  <c r="O154" i="8"/>
  <c r="E154" i="8"/>
  <c r="F154" i="8"/>
  <c r="K71" i="8"/>
  <c r="N103" i="8"/>
  <c r="E119" i="8"/>
  <c r="L119" i="8"/>
  <c r="K129" i="8"/>
  <c r="T129" i="8"/>
  <c r="N100" i="8"/>
  <c r="C164" i="8"/>
  <c r="C61" i="8"/>
  <c r="G126" i="8"/>
  <c r="K158" i="8"/>
  <c r="T84" i="8"/>
  <c r="B84" i="8"/>
  <c r="N84" i="8"/>
  <c r="D129" i="8"/>
  <c r="H129" i="8"/>
  <c r="C129" i="8"/>
  <c r="B129" i="8"/>
  <c r="G84" i="8"/>
  <c r="O84" i="8"/>
  <c r="H84" i="8"/>
  <c r="E180" i="8"/>
  <c r="E135" i="8"/>
  <c r="F84" i="8"/>
  <c r="C84" i="8"/>
  <c r="K84" i="8"/>
  <c r="C86" i="8"/>
  <c r="K86" i="8"/>
  <c r="K154" i="8"/>
  <c r="M154" i="8"/>
  <c r="H154" i="8"/>
  <c r="E129" i="8"/>
  <c r="M129" i="8"/>
  <c r="E62" i="8"/>
  <c r="H62" i="8"/>
  <c r="N62" i="8"/>
  <c r="B62" i="8"/>
  <c r="D188" i="8"/>
  <c r="H188" i="8"/>
  <c r="C188" i="8"/>
  <c r="W188" i="8" s="1"/>
  <c r="K188" i="8"/>
  <c r="B158" i="8"/>
  <c r="H158" i="8"/>
  <c r="G158" i="8"/>
  <c r="M158" i="8"/>
  <c r="E100" i="8"/>
  <c r="L100" i="8"/>
  <c r="T100" i="8"/>
  <c r="D100" i="8"/>
  <c r="K100" i="8"/>
  <c r="C100" i="8"/>
  <c r="T126" i="8"/>
  <c r="E126" i="8"/>
  <c r="B126" i="8"/>
  <c r="C126" i="8"/>
  <c r="D126" i="8"/>
  <c r="O126" i="8"/>
  <c r="E116" i="8"/>
  <c r="L116" i="8"/>
  <c r="M116" i="8"/>
  <c r="T71" i="8"/>
  <c r="O71" i="8"/>
  <c r="H132" i="8"/>
  <c r="O132" i="8"/>
  <c r="C132" i="8"/>
  <c r="M132" i="8"/>
  <c r="N132" i="8"/>
  <c r="F132" i="8"/>
  <c r="G132" i="8"/>
  <c r="O62" i="8"/>
  <c r="L62" i="8"/>
  <c r="D158" i="8"/>
  <c r="N158" i="8"/>
  <c r="F158" i="8"/>
  <c r="F116" i="8"/>
  <c r="N116" i="8"/>
  <c r="T188" i="8"/>
  <c r="O188" i="8"/>
  <c r="H71" i="8"/>
  <c r="M71" i="8"/>
  <c r="F71" i="8"/>
  <c r="M100" i="8"/>
  <c r="H100" i="8"/>
  <c r="T132" i="8"/>
  <c r="H126" i="8"/>
  <c r="L126" i="8"/>
  <c r="F97" i="8"/>
  <c r="B97" i="8"/>
  <c r="F103" i="8"/>
  <c r="G103" i="8"/>
  <c r="K103" i="8"/>
  <c r="O103" i="8"/>
  <c r="T164" i="8"/>
  <c r="G164" i="8"/>
  <c r="N164" i="8"/>
  <c r="B164" i="8"/>
  <c r="H164" i="8"/>
  <c r="M164" i="8"/>
  <c r="E164" i="8"/>
  <c r="T119" i="8"/>
  <c r="K119" i="8"/>
  <c r="T180" i="8"/>
  <c r="C180" i="8"/>
  <c r="D180" i="8"/>
  <c r="T135" i="8"/>
  <c r="K135" i="8"/>
  <c r="F61" i="8"/>
  <c r="G61" i="8"/>
  <c r="N61" i="8"/>
  <c r="K61" i="8"/>
  <c r="L61" i="8"/>
  <c r="M61" i="8"/>
  <c r="E61" i="8"/>
  <c r="G62" i="8"/>
  <c r="D62" i="8"/>
  <c r="T158" i="8"/>
  <c r="N135" i="8"/>
  <c r="C135" i="8"/>
  <c r="T116" i="8"/>
  <c r="B116" i="8"/>
  <c r="H116" i="8"/>
  <c r="O180" i="8"/>
  <c r="G180" i="8"/>
  <c r="L180" i="8"/>
  <c r="B188" i="8"/>
  <c r="E71" i="8"/>
  <c r="G71" i="8"/>
  <c r="B71" i="8"/>
  <c r="H103" i="8"/>
  <c r="T103" i="8"/>
  <c r="D119" i="8"/>
  <c r="M119" i="8"/>
  <c r="F119" i="8"/>
  <c r="G100" i="8"/>
  <c r="B100" i="8"/>
  <c r="L132" i="8"/>
  <c r="K132" i="8"/>
  <c r="D164" i="8"/>
  <c r="L164" i="8"/>
  <c r="D61" i="8"/>
  <c r="B61" i="8"/>
  <c r="N126" i="8"/>
  <c r="F126" i="8"/>
  <c r="C62" i="8"/>
  <c r="T62" i="8"/>
  <c r="L158" i="8"/>
  <c r="O158" i="8"/>
  <c r="O135" i="8"/>
  <c r="D135" i="8"/>
  <c r="L135" i="8"/>
  <c r="C116" i="8"/>
  <c r="O116" i="8"/>
  <c r="D116" i="8"/>
  <c r="N180" i="8"/>
  <c r="K180" i="8"/>
  <c r="F180" i="8"/>
  <c r="N188" i="8"/>
  <c r="M188" i="8"/>
  <c r="N71" i="8"/>
  <c r="C71" i="8"/>
  <c r="E103" i="8"/>
  <c r="L103" i="8"/>
  <c r="O119" i="8"/>
  <c r="G119" i="8"/>
  <c r="B119" i="8"/>
  <c r="O100" i="8"/>
  <c r="E132" i="8"/>
  <c r="F164" i="8"/>
  <c r="M126" i="8"/>
  <c r="M183" i="8"/>
  <c r="O183" i="8"/>
  <c r="G183" i="8"/>
  <c r="D65" i="8"/>
  <c r="L157" i="8"/>
  <c r="E157" i="8"/>
  <c r="L167" i="8"/>
  <c r="E167" i="8"/>
  <c r="M125" i="8"/>
  <c r="L125" i="8"/>
  <c r="K185" i="8"/>
  <c r="M185" i="8"/>
  <c r="E185" i="8"/>
  <c r="G162" i="8"/>
  <c r="G127" i="8"/>
  <c r="M97" i="8"/>
  <c r="E162" i="8"/>
  <c r="F127" i="8"/>
  <c r="B76" i="8"/>
  <c r="D85" i="8"/>
  <c r="B85" i="8"/>
  <c r="H97" i="8"/>
  <c r="N123" i="8"/>
  <c r="T123" i="8"/>
  <c r="E184" i="8"/>
  <c r="F162" i="8"/>
  <c r="M127" i="8"/>
  <c r="L85" i="8"/>
  <c r="G58" i="8"/>
  <c r="M58" i="8"/>
  <c r="N127" i="8"/>
  <c r="E97" i="8"/>
  <c r="O97" i="8"/>
  <c r="B162" i="8"/>
  <c r="C162" i="8"/>
  <c r="W162" i="8" s="1"/>
  <c r="M162" i="8"/>
  <c r="B127" i="8"/>
  <c r="K127" i="8"/>
  <c r="E127" i="8"/>
  <c r="D127" i="8"/>
  <c r="F76" i="8"/>
  <c r="L115" i="8"/>
  <c r="E85" i="8"/>
  <c r="G85" i="8"/>
  <c r="K85" i="8"/>
  <c r="D97" i="8"/>
  <c r="G97" i="8"/>
  <c r="K97" i="8"/>
  <c r="K162" i="8"/>
  <c r="L162" i="8"/>
  <c r="L127" i="8"/>
  <c r="C127" i="8"/>
  <c r="W127" i="8" s="1"/>
  <c r="H127" i="8"/>
  <c r="L97" i="8"/>
  <c r="T162" i="8"/>
  <c r="N162" i="8"/>
  <c r="O162" i="8"/>
  <c r="T127" i="8"/>
  <c r="O127" i="8"/>
  <c r="E76" i="8"/>
  <c r="K115" i="8"/>
  <c r="T85" i="8"/>
  <c r="M85" i="8"/>
  <c r="C85" i="8"/>
  <c r="W85" i="8" s="1"/>
  <c r="N97" i="8"/>
  <c r="T97" i="8"/>
  <c r="C97" i="8"/>
  <c r="W97" i="8" s="1"/>
  <c r="C76" i="8"/>
  <c r="O76" i="8"/>
  <c r="T76" i="8"/>
  <c r="L76" i="8"/>
  <c r="C115" i="8"/>
  <c r="W115" i="8" s="1"/>
  <c r="B115" i="8"/>
  <c r="M115" i="8"/>
  <c r="M184" i="8"/>
  <c r="G184" i="8"/>
  <c r="F184" i="8"/>
  <c r="K76" i="8"/>
  <c r="G76" i="8"/>
  <c r="M76" i="8"/>
  <c r="H76" i="8"/>
  <c r="T115" i="8"/>
  <c r="G115" i="8"/>
  <c r="N115" i="8"/>
  <c r="H115" i="8"/>
  <c r="F58" i="8"/>
  <c r="B58" i="8"/>
  <c r="L58" i="8"/>
  <c r="D184" i="8"/>
  <c r="C184" i="8"/>
  <c r="W184" i="8" s="1"/>
  <c r="H184" i="8"/>
  <c r="F62" i="8"/>
  <c r="N76" i="8"/>
  <c r="G188" i="8"/>
  <c r="E188" i="8"/>
  <c r="F188" i="8"/>
  <c r="O115" i="8"/>
  <c r="F115" i="8"/>
  <c r="E115" i="8"/>
  <c r="N58" i="8"/>
  <c r="K58" i="8"/>
  <c r="T58" i="8"/>
  <c r="B75" i="8"/>
  <c r="F75" i="8"/>
  <c r="L75" i="8"/>
  <c r="T75" i="8"/>
  <c r="C75" i="8"/>
  <c r="G75" i="8"/>
  <c r="M75" i="8"/>
  <c r="D75" i="8"/>
  <c r="N75" i="8"/>
  <c r="E75" i="8"/>
  <c r="O75" i="8"/>
  <c r="H75" i="8"/>
  <c r="K75" i="8"/>
  <c r="D171" i="8"/>
  <c r="H171" i="8"/>
  <c r="N171" i="8"/>
  <c r="F171" i="8"/>
  <c r="T171" i="8"/>
  <c r="C171" i="8"/>
  <c r="M171" i="8"/>
  <c r="E171" i="8"/>
  <c r="K171" i="8"/>
  <c r="O171" i="8"/>
  <c r="B171" i="8"/>
  <c r="L171" i="8"/>
  <c r="G171" i="8"/>
  <c r="D72" i="8"/>
  <c r="H72" i="8"/>
  <c r="N72" i="8"/>
  <c r="E72" i="8"/>
  <c r="K72" i="8"/>
  <c r="O72" i="8"/>
  <c r="F72" i="8"/>
  <c r="T72" i="8"/>
  <c r="G72" i="8"/>
  <c r="L72" i="8"/>
  <c r="B72" i="8"/>
  <c r="C72" i="8"/>
  <c r="M72" i="8"/>
  <c r="B133" i="8"/>
  <c r="F133" i="8"/>
  <c r="L133" i="8"/>
  <c r="T133" i="8"/>
  <c r="C133" i="8"/>
  <c r="G133" i="8"/>
  <c r="M133" i="8"/>
  <c r="H133" i="8"/>
  <c r="D133" i="8"/>
  <c r="E133" i="8"/>
  <c r="K133" i="8"/>
  <c r="N133" i="8"/>
  <c r="O133" i="8"/>
  <c r="B159" i="8"/>
  <c r="F159" i="8"/>
  <c r="L159" i="8"/>
  <c r="T159" i="8"/>
  <c r="H159" i="8"/>
  <c r="K159" i="8"/>
  <c r="C159" i="8"/>
  <c r="G159" i="8"/>
  <c r="M159" i="8"/>
  <c r="D159" i="8"/>
  <c r="N159" i="8"/>
  <c r="E159" i="8"/>
  <c r="O159" i="8"/>
  <c r="D60" i="8"/>
  <c r="H60" i="8"/>
  <c r="N60" i="8"/>
  <c r="E60" i="8"/>
  <c r="K60" i="8"/>
  <c r="O60" i="8"/>
  <c r="B60" i="8"/>
  <c r="L60" i="8"/>
  <c r="C60" i="8"/>
  <c r="M60" i="8"/>
  <c r="F60" i="8"/>
  <c r="T60" i="8"/>
  <c r="G60" i="8"/>
  <c r="D92" i="8"/>
  <c r="H92" i="8"/>
  <c r="N92" i="8"/>
  <c r="E92" i="8"/>
  <c r="K92" i="8"/>
  <c r="O92" i="8"/>
  <c r="F92" i="8"/>
  <c r="T92" i="8"/>
  <c r="G92" i="8"/>
  <c r="L92" i="8"/>
  <c r="B92" i="8"/>
  <c r="M92" i="8"/>
  <c r="C92" i="8"/>
  <c r="D169" i="8"/>
  <c r="H169" i="8"/>
  <c r="N169" i="8"/>
  <c r="B169" i="8"/>
  <c r="L169" i="8"/>
  <c r="G169" i="8"/>
  <c r="E169" i="8"/>
  <c r="K169" i="8"/>
  <c r="O169" i="8"/>
  <c r="F169" i="8"/>
  <c r="T169" i="8"/>
  <c r="C169" i="8"/>
  <c r="M169" i="8"/>
  <c r="B67" i="8"/>
  <c r="F67" i="8"/>
  <c r="L67" i="8"/>
  <c r="T67" i="8"/>
  <c r="C67" i="8"/>
  <c r="G67" i="8"/>
  <c r="M67" i="8"/>
  <c r="D67" i="8"/>
  <c r="N67" i="8"/>
  <c r="E67" i="8"/>
  <c r="O67" i="8"/>
  <c r="H67" i="8"/>
  <c r="K67" i="8"/>
  <c r="D163" i="8"/>
  <c r="H163" i="8"/>
  <c r="N163" i="8"/>
  <c r="F163" i="8"/>
  <c r="T163" i="8"/>
  <c r="C163" i="8"/>
  <c r="M163" i="8"/>
  <c r="E163" i="8"/>
  <c r="K163" i="8"/>
  <c r="O163" i="8"/>
  <c r="B163" i="8"/>
  <c r="L163" i="8"/>
  <c r="G163" i="8"/>
  <c r="D64" i="8"/>
  <c r="H64" i="8"/>
  <c r="N64" i="8"/>
  <c r="E64" i="8"/>
  <c r="K64" i="8"/>
  <c r="O64" i="8"/>
  <c r="F64" i="8"/>
  <c r="T64" i="8"/>
  <c r="G64" i="8"/>
  <c r="L64" i="8"/>
  <c r="M64" i="8"/>
  <c r="B64" i="8"/>
  <c r="C64" i="8"/>
  <c r="D146" i="8"/>
  <c r="H146" i="8"/>
  <c r="N146" i="8"/>
  <c r="E146" i="8"/>
  <c r="K146" i="8"/>
  <c r="O146" i="8"/>
  <c r="B146" i="8"/>
  <c r="L146" i="8"/>
  <c r="T146" i="8"/>
  <c r="C146" i="8"/>
  <c r="M146" i="8"/>
  <c r="F146" i="8"/>
  <c r="G146" i="8"/>
  <c r="B91" i="8"/>
  <c r="F91" i="8"/>
  <c r="L91" i="8"/>
  <c r="T91" i="8"/>
  <c r="C91" i="8"/>
  <c r="G91" i="8"/>
  <c r="M91" i="8"/>
  <c r="D91" i="8"/>
  <c r="N91" i="8"/>
  <c r="E91" i="8"/>
  <c r="O91" i="8"/>
  <c r="H91" i="8"/>
  <c r="K91" i="8"/>
  <c r="D173" i="8"/>
  <c r="H173" i="8"/>
  <c r="N173" i="8"/>
  <c r="B173" i="8"/>
  <c r="L173" i="8"/>
  <c r="G173" i="8"/>
  <c r="E173" i="8"/>
  <c r="K173" i="8"/>
  <c r="O173" i="8"/>
  <c r="F173" i="8"/>
  <c r="T173" i="8"/>
  <c r="C173" i="8"/>
  <c r="M173" i="8"/>
  <c r="D152" i="8"/>
  <c r="H152" i="8"/>
  <c r="N152" i="8"/>
  <c r="E152" i="8"/>
  <c r="K152" i="8"/>
  <c r="O152" i="8"/>
  <c r="F152" i="8"/>
  <c r="T152" i="8"/>
  <c r="L152" i="8"/>
  <c r="C152" i="8"/>
  <c r="G152" i="8"/>
  <c r="B152" i="8"/>
  <c r="M152" i="8"/>
  <c r="D94" i="8"/>
  <c r="H94" i="8"/>
  <c r="N94" i="8"/>
  <c r="E94" i="8"/>
  <c r="K94" i="8"/>
  <c r="O94" i="8"/>
  <c r="B94" i="8"/>
  <c r="L94" i="8"/>
  <c r="C94" i="8"/>
  <c r="M94" i="8"/>
  <c r="T94" i="8"/>
  <c r="F94" i="8"/>
  <c r="G94" i="8"/>
  <c r="B192" i="8"/>
  <c r="F192" i="8"/>
  <c r="L192" i="8"/>
  <c r="T192" i="8"/>
  <c r="H192" i="8"/>
  <c r="K192" i="8"/>
  <c r="C192" i="8"/>
  <c r="G192" i="8"/>
  <c r="M192" i="8"/>
  <c r="D192" i="8"/>
  <c r="N192" i="8"/>
  <c r="E192" i="8"/>
  <c r="O192" i="8"/>
  <c r="B79" i="8"/>
  <c r="F79" i="8"/>
  <c r="L79" i="8"/>
  <c r="T79" i="8"/>
  <c r="C79" i="8"/>
  <c r="G79" i="8"/>
  <c r="M79" i="8"/>
  <c r="H79" i="8"/>
  <c r="K79" i="8"/>
  <c r="D79" i="8"/>
  <c r="E79" i="8"/>
  <c r="N79" i="8"/>
  <c r="O79" i="8"/>
  <c r="B145" i="8"/>
  <c r="F145" i="8"/>
  <c r="L145" i="8"/>
  <c r="T145" i="8"/>
  <c r="C145" i="8"/>
  <c r="G145" i="8"/>
  <c r="M145" i="8"/>
  <c r="H145" i="8"/>
  <c r="N145" i="8"/>
  <c r="O145" i="8"/>
  <c r="K145" i="8"/>
  <c r="D145" i="8"/>
  <c r="E145" i="8"/>
  <c r="B108" i="8"/>
  <c r="F108" i="8"/>
  <c r="L108" i="8"/>
  <c r="T108" i="8"/>
  <c r="C108" i="8"/>
  <c r="G108" i="8"/>
  <c r="M108" i="8"/>
  <c r="D108" i="8"/>
  <c r="N108" i="8"/>
  <c r="H108" i="8"/>
  <c r="K108" i="8"/>
  <c r="E108" i="8"/>
  <c r="O108" i="8"/>
  <c r="D70" i="8"/>
  <c r="H70" i="8"/>
  <c r="N70" i="8"/>
  <c r="E70" i="8"/>
  <c r="K70" i="8"/>
  <c r="O70" i="8"/>
  <c r="B70" i="8"/>
  <c r="L70" i="8"/>
  <c r="C70" i="8"/>
  <c r="M70" i="8"/>
  <c r="F70" i="8"/>
  <c r="G70" i="8"/>
  <c r="T70" i="8"/>
  <c r="B83" i="8"/>
  <c r="F83" i="8"/>
  <c r="L83" i="8"/>
  <c r="T83" i="8"/>
  <c r="C83" i="8"/>
  <c r="G83" i="8"/>
  <c r="M83" i="8"/>
  <c r="H83" i="8"/>
  <c r="K83" i="8"/>
  <c r="N83" i="8"/>
  <c r="D83" i="8"/>
  <c r="E83" i="8"/>
  <c r="O83" i="8"/>
  <c r="D179" i="8"/>
  <c r="H179" i="8"/>
  <c r="N179" i="8"/>
  <c r="F179" i="8"/>
  <c r="T179" i="8"/>
  <c r="C179" i="8"/>
  <c r="M179" i="8"/>
  <c r="E179" i="8"/>
  <c r="K179" i="8"/>
  <c r="O179" i="8"/>
  <c r="B179" i="8"/>
  <c r="L179" i="8"/>
  <c r="G179" i="8"/>
  <c r="D80" i="8"/>
  <c r="H80" i="8"/>
  <c r="N80" i="8"/>
  <c r="E80" i="8"/>
  <c r="K80" i="8"/>
  <c r="O80" i="8"/>
  <c r="B80" i="8"/>
  <c r="L80" i="8"/>
  <c r="C80" i="8"/>
  <c r="M80" i="8"/>
  <c r="F80" i="8"/>
  <c r="T80" i="8"/>
  <c r="G80" i="8"/>
  <c r="D138" i="8"/>
  <c r="H138" i="8"/>
  <c r="N138" i="8"/>
  <c r="E138" i="8"/>
  <c r="K138" i="8"/>
  <c r="O138" i="8"/>
  <c r="B138" i="8"/>
  <c r="L138" i="8"/>
  <c r="T138" i="8"/>
  <c r="C138" i="8"/>
  <c r="M138" i="8"/>
  <c r="F138" i="8"/>
  <c r="G138" i="8"/>
  <c r="D107" i="8"/>
  <c r="H107" i="8"/>
  <c r="N107" i="8"/>
  <c r="E107" i="8"/>
  <c r="K107" i="8"/>
  <c r="O107" i="8"/>
  <c r="B107" i="8"/>
  <c r="L107" i="8"/>
  <c r="G107" i="8"/>
  <c r="C107" i="8"/>
  <c r="M107" i="8"/>
  <c r="F107" i="8"/>
  <c r="T107" i="8"/>
  <c r="B73" i="8"/>
  <c r="F73" i="8"/>
  <c r="L73" i="8"/>
  <c r="T73" i="8"/>
  <c r="C73" i="8"/>
  <c r="G73" i="8"/>
  <c r="M73" i="8"/>
  <c r="H73" i="8"/>
  <c r="K73" i="8"/>
  <c r="N73" i="8"/>
  <c r="O73" i="8"/>
  <c r="D73" i="8"/>
  <c r="E73" i="8"/>
  <c r="B168" i="8"/>
  <c r="F168" i="8"/>
  <c r="L168" i="8"/>
  <c r="T168" i="8"/>
  <c r="H168" i="8"/>
  <c r="E168" i="8"/>
  <c r="O168" i="8"/>
  <c r="C168" i="8"/>
  <c r="G168" i="8"/>
  <c r="M168" i="8"/>
  <c r="D168" i="8"/>
  <c r="N168" i="8"/>
  <c r="K168" i="8"/>
  <c r="D150" i="8"/>
  <c r="H150" i="8"/>
  <c r="N150" i="8"/>
  <c r="E150" i="8"/>
  <c r="K150" i="8"/>
  <c r="O150" i="8"/>
  <c r="B150" i="8"/>
  <c r="L150" i="8"/>
  <c r="F150" i="8"/>
  <c r="C150" i="8"/>
  <c r="M150" i="8"/>
  <c r="T150" i="8"/>
  <c r="G150" i="8"/>
  <c r="B182" i="8"/>
  <c r="F182" i="8"/>
  <c r="L182" i="8"/>
  <c r="T182" i="8"/>
  <c r="D182" i="8"/>
  <c r="N182" i="8"/>
  <c r="E182" i="8"/>
  <c r="O182" i="8"/>
  <c r="C182" i="8"/>
  <c r="G182" i="8"/>
  <c r="M182" i="8"/>
  <c r="H182" i="8"/>
  <c r="K182" i="8"/>
  <c r="B95" i="8"/>
  <c r="F95" i="8"/>
  <c r="L95" i="8"/>
  <c r="T95" i="8"/>
  <c r="C95" i="8"/>
  <c r="G95" i="8"/>
  <c r="M95" i="8"/>
  <c r="D95" i="8"/>
  <c r="N95" i="8"/>
  <c r="E95" i="8"/>
  <c r="O95" i="8"/>
  <c r="K95" i="8"/>
  <c r="H95" i="8"/>
  <c r="D191" i="8"/>
  <c r="H191" i="8"/>
  <c r="N191" i="8"/>
  <c r="B191" i="8"/>
  <c r="F191" i="8"/>
  <c r="T191" i="8"/>
  <c r="G191" i="8"/>
  <c r="E191" i="8"/>
  <c r="K191" i="8"/>
  <c r="O191" i="8"/>
  <c r="L191" i="8"/>
  <c r="C191" i="8"/>
  <c r="M191" i="8"/>
  <c r="D181" i="8"/>
  <c r="H181" i="8"/>
  <c r="N181" i="8"/>
  <c r="B181" i="8"/>
  <c r="L181" i="8"/>
  <c r="C181" i="8"/>
  <c r="M181" i="8"/>
  <c r="E181" i="8"/>
  <c r="K181" i="8"/>
  <c r="O181" i="8"/>
  <c r="F181" i="8"/>
  <c r="T181" i="8"/>
  <c r="G181" i="8"/>
  <c r="B124" i="8"/>
  <c r="F124" i="8"/>
  <c r="L124" i="8"/>
  <c r="T124" i="8"/>
  <c r="C124" i="8"/>
  <c r="G124" i="8"/>
  <c r="M124" i="8"/>
  <c r="H124" i="8"/>
  <c r="D124" i="8"/>
  <c r="O124" i="8"/>
  <c r="K124" i="8"/>
  <c r="N124" i="8"/>
  <c r="E124" i="8"/>
  <c r="D109" i="8"/>
  <c r="H109" i="8"/>
  <c r="N109" i="8"/>
  <c r="E109" i="8"/>
  <c r="K109" i="8"/>
  <c r="O109" i="8"/>
  <c r="F109" i="8"/>
  <c r="T109" i="8"/>
  <c r="L109" i="8"/>
  <c r="M109" i="8"/>
  <c r="G109" i="8"/>
  <c r="B109" i="8"/>
  <c r="C109" i="8"/>
  <c r="D102" i="8"/>
  <c r="H102" i="8"/>
  <c r="N102" i="8"/>
  <c r="E102" i="8"/>
  <c r="K102" i="8"/>
  <c r="O102" i="8"/>
  <c r="F102" i="8"/>
  <c r="T102" i="8"/>
  <c r="G102" i="8"/>
  <c r="L102" i="8"/>
  <c r="M102" i="8"/>
  <c r="B102" i="8"/>
  <c r="C102" i="8"/>
  <c r="D186" i="8"/>
  <c r="H186" i="8"/>
  <c r="N186" i="8"/>
  <c r="B186" i="8"/>
  <c r="L186" i="8"/>
  <c r="T186" i="8"/>
  <c r="G186" i="8"/>
  <c r="E186" i="8"/>
  <c r="K186" i="8"/>
  <c r="O186" i="8"/>
  <c r="F186" i="8"/>
  <c r="C186" i="8"/>
  <c r="M186" i="8"/>
  <c r="B99" i="8"/>
  <c r="F99" i="8"/>
  <c r="L99" i="8"/>
  <c r="T99" i="8"/>
  <c r="C99" i="8"/>
  <c r="G99" i="8"/>
  <c r="M99" i="8"/>
  <c r="H99" i="8"/>
  <c r="K99" i="8"/>
  <c r="D99" i="8"/>
  <c r="E99" i="8"/>
  <c r="N99" i="8"/>
  <c r="O99" i="8"/>
  <c r="B131" i="8"/>
  <c r="F131" i="8"/>
  <c r="L131" i="8"/>
  <c r="T131" i="8"/>
  <c r="C131" i="8"/>
  <c r="G131" i="8"/>
  <c r="M131" i="8"/>
  <c r="D131" i="8"/>
  <c r="N131" i="8"/>
  <c r="E131" i="8"/>
  <c r="O131" i="8"/>
  <c r="H131" i="8"/>
  <c r="K131" i="8"/>
  <c r="B57" i="8"/>
  <c r="F57" i="8"/>
  <c r="L57" i="8"/>
  <c r="T57" i="8"/>
  <c r="C57" i="8"/>
  <c r="G57" i="8"/>
  <c r="M57" i="8"/>
  <c r="H57" i="8"/>
  <c r="K57" i="8"/>
  <c r="D57" i="8"/>
  <c r="N57" i="8"/>
  <c r="E57" i="8"/>
  <c r="O57" i="8"/>
  <c r="D189" i="8"/>
  <c r="H189" i="8"/>
  <c r="N189" i="8"/>
  <c r="F189" i="8"/>
  <c r="T189" i="8"/>
  <c r="C189" i="8"/>
  <c r="M189" i="8"/>
  <c r="E189" i="8"/>
  <c r="K189" i="8"/>
  <c r="O189" i="8"/>
  <c r="B189" i="8"/>
  <c r="L189" i="8"/>
  <c r="G189" i="8"/>
  <c r="D96" i="8"/>
  <c r="H96" i="8"/>
  <c r="N96" i="8"/>
  <c r="E96" i="8"/>
  <c r="K96" i="8"/>
  <c r="O96" i="8"/>
  <c r="F96" i="8"/>
  <c r="T96" i="8"/>
  <c r="G96" i="8"/>
  <c r="B96" i="8"/>
  <c r="L96" i="8"/>
  <c r="C96" i="8"/>
  <c r="M96" i="8"/>
  <c r="D160" i="8"/>
  <c r="H160" i="8"/>
  <c r="N160" i="8"/>
  <c r="B160" i="8"/>
  <c r="L160" i="8"/>
  <c r="C160" i="8"/>
  <c r="M160" i="8"/>
  <c r="E160" i="8"/>
  <c r="K160" i="8"/>
  <c r="O160" i="8"/>
  <c r="F160" i="8"/>
  <c r="T160" i="8"/>
  <c r="G160" i="8"/>
  <c r="D78" i="8"/>
  <c r="H78" i="8"/>
  <c r="N78" i="8"/>
  <c r="E78" i="8"/>
  <c r="K78" i="8"/>
  <c r="O78" i="8"/>
  <c r="F78" i="8"/>
  <c r="T78" i="8"/>
  <c r="G78" i="8"/>
  <c r="B78" i="8"/>
  <c r="L78" i="8"/>
  <c r="M78" i="8"/>
  <c r="C78" i="8"/>
  <c r="D130" i="8"/>
  <c r="H130" i="8"/>
  <c r="N130" i="8"/>
  <c r="E130" i="8"/>
  <c r="K130" i="8"/>
  <c r="O130" i="8"/>
  <c r="B130" i="8"/>
  <c r="L130" i="8"/>
  <c r="T130" i="8"/>
  <c r="C130" i="8"/>
  <c r="M130" i="8"/>
  <c r="F130" i="8"/>
  <c r="G130" i="8"/>
  <c r="B137" i="8"/>
  <c r="F137" i="8"/>
  <c r="L137" i="8"/>
  <c r="T137" i="8"/>
  <c r="C137" i="8"/>
  <c r="G137" i="8"/>
  <c r="M137" i="8"/>
  <c r="H137" i="8"/>
  <c r="N137" i="8"/>
  <c r="O137" i="8"/>
  <c r="K137" i="8"/>
  <c r="D137" i="8"/>
  <c r="E137" i="8"/>
  <c r="D136" i="8"/>
  <c r="H136" i="8"/>
  <c r="N136" i="8"/>
  <c r="E136" i="8"/>
  <c r="K136" i="8"/>
  <c r="O136" i="8"/>
  <c r="F136" i="8"/>
  <c r="T136" i="8"/>
  <c r="L136" i="8"/>
  <c r="M136" i="8"/>
  <c r="G136" i="8"/>
  <c r="B136" i="8"/>
  <c r="C136" i="8"/>
  <c r="B106" i="8"/>
  <c r="F106" i="8"/>
  <c r="L106" i="8"/>
  <c r="T106" i="8"/>
  <c r="C106" i="8"/>
  <c r="G106" i="8"/>
  <c r="M106" i="8"/>
  <c r="H106" i="8"/>
  <c r="N106" i="8"/>
  <c r="K106" i="8"/>
  <c r="D106" i="8"/>
  <c r="E106" i="8"/>
  <c r="O106" i="8"/>
  <c r="B63" i="8"/>
  <c r="F63" i="8"/>
  <c r="L63" i="8"/>
  <c r="T63" i="8"/>
  <c r="C63" i="8"/>
  <c r="G63" i="8"/>
  <c r="M63" i="8"/>
  <c r="D63" i="8"/>
  <c r="N63" i="8"/>
  <c r="E63" i="8"/>
  <c r="O63" i="8"/>
  <c r="H63" i="8"/>
  <c r="K63" i="8"/>
  <c r="D113" i="8"/>
  <c r="H113" i="8"/>
  <c r="N113" i="8"/>
  <c r="E113" i="8"/>
  <c r="K113" i="8"/>
  <c r="O113" i="8"/>
  <c r="F113" i="8"/>
  <c r="T113" i="8"/>
  <c r="B113" i="8"/>
  <c r="C113" i="8"/>
  <c r="G113" i="8"/>
  <c r="L113" i="8"/>
  <c r="M113" i="8"/>
  <c r="B156" i="8"/>
  <c r="F156" i="8"/>
  <c r="L156" i="8"/>
  <c r="T156" i="8"/>
  <c r="D156" i="8"/>
  <c r="N156" i="8"/>
  <c r="E156" i="8"/>
  <c r="O156" i="8"/>
  <c r="C156" i="8"/>
  <c r="G156" i="8"/>
  <c r="M156" i="8"/>
  <c r="H156" i="8"/>
  <c r="K156" i="8"/>
  <c r="B114" i="8"/>
  <c r="F114" i="8"/>
  <c r="L114" i="8"/>
  <c r="T114" i="8"/>
  <c r="C114" i="8"/>
  <c r="G114" i="8"/>
  <c r="M114" i="8"/>
  <c r="H114" i="8"/>
  <c r="D114" i="8"/>
  <c r="E114" i="8"/>
  <c r="K114" i="8"/>
  <c r="N114" i="8"/>
  <c r="O114" i="8"/>
  <c r="B121" i="8"/>
  <c r="F121" i="8"/>
  <c r="L121" i="8"/>
  <c r="T121" i="8"/>
  <c r="C121" i="8"/>
  <c r="G121" i="8"/>
  <c r="M121" i="8"/>
  <c r="D121" i="8"/>
  <c r="N121" i="8"/>
  <c r="K121" i="8"/>
  <c r="E121" i="8"/>
  <c r="O121" i="8"/>
  <c r="H121" i="8"/>
  <c r="D128" i="8"/>
  <c r="H128" i="8"/>
  <c r="N128" i="8"/>
  <c r="E128" i="8"/>
  <c r="K128" i="8"/>
  <c r="O128" i="8"/>
  <c r="F128" i="8"/>
  <c r="T128" i="8"/>
  <c r="L128" i="8"/>
  <c r="C128" i="8"/>
  <c r="G128" i="8"/>
  <c r="B128" i="8"/>
  <c r="M128" i="8"/>
  <c r="B149" i="8"/>
  <c r="F149" i="8"/>
  <c r="L149" i="8"/>
  <c r="T149" i="8"/>
  <c r="C149" i="8"/>
  <c r="G149" i="8"/>
  <c r="M149" i="8"/>
  <c r="H149" i="8"/>
  <c r="D149" i="8"/>
  <c r="O149" i="8"/>
  <c r="K149" i="8"/>
  <c r="N149" i="8"/>
  <c r="E149" i="8"/>
  <c r="B187" i="8"/>
  <c r="F187" i="8"/>
  <c r="L187" i="8"/>
  <c r="T187" i="8"/>
  <c r="N187" i="8"/>
  <c r="K187" i="8"/>
  <c r="C187" i="8"/>
  <c r="G187" i="8"/>
  <c r="M187" i="8"/>
  <c r="D187" i="8"/>
  <c r="H187" i="8"/>
  <c r="E187" i="8"/>
  <c r="O187" i="8"/>
  <c r="D88" i="8"/>
  <c r="H88" i="8"/>
  <c r="N88" i="8"/>
  <c r="E88" i="8"/>
  <c r="K88" i="8"/>
  <c r="O88" i="8"/>
  <c r="F88" i="8"/>
  <c r="T88" i="8"/>
  <c r="G88" i="8"/>
  <c r="B88" i="8"/>
  <c r="M88" i="8"/>
  <c r="C88" i="8"/>
  <c r="L88" i="8"/>
  <c r="B161" i="8"/>
  <c r="F161" i="8"/>
  <c r="L161" i="8"/>
  <c r="T161" i="8"/>
  <c r="D161" i="8"/>
  <c r="N161" i="8"/>
  <c r="E161" i="8"/>
  <c r="K161" i="8"/>
  <c r="C161" i="8"/>
  <c r="G161" i="8"/>
  <c r="M161" i="8"/>
  <c r="H161" i="8"/>
  <c r="O161" i="8"/>
  <c r="B170" i="8"/>
  <c r="F170" i="8"/>
  <c r="L170" i="8"/>
  <c r="T170" i="8"/>
  <c r="D170" i="8"/>
  <c r="N170" i="8"/>
  <c r="K170" i="8"/>
  <c r="C170" i="8"/>
  <c r="G170" i="8"/>
  <c r="M170" i="8"/>
  <c r="H170" i="8"/>
  <c r="E170" i="8"/>
  <c r="O170" i="8"/>
  <c r="D175" i="8"/>
  <c r="H175" i="8"/>
  <c r="N175" i="8"/>
  <c r="F175" i="8"/>
  <c r="T175" i="8"/>
  <c r="C175" i="8"/>
  <c r="M175" i="8"/>
  <c r="E175" i="8"/>
  <c r="K175" i="8"/>
  <c r="O175" i="8"/>
  <c r="B175" i="8"/>
  <c r="L175" i="8"/>
  <c r="G175" i="8"/>
  <c r="B172" i="8"/>
  <c r="F172" i="8"/>
  <c r="L172" i="8"/>
  <c r="T172" i="8"/>
  <c r="H172" i="8"/>
  <c r="E172" i="8"/>
  <c r="O172" i="8"/>
  <c r="C172" i="8"/>
  <c r="G172" i="8"/>
  <c r="M172" i="8"/>
  <c r="D172" i="8"/>
  <c r="N172" i="8"/>
  <c r="K172" i="8"/>
  <c r="B77" i="8"/>
  <c r="F77" i="8"/>
  <c r="L77" i="8"/>
  <c r="T77" i="8"/>
  <c r="C77" i="8"/>
  <c r="G77" i="8"/>
  <c r="M77" i="8"/>
  <c r="D77" i="8"/>
  <c r="N77" i="8"/>
  <c r="E77" i="8"/>
  <c r="O77" i="8"/>
  <c r="H77" i="8"/>
  <c r="K77" i="8"/>
  <c r="D122" i="8"/>
  <c r="H122" i="8"/>
  <c r="N122" i="8"/>
  <c r="E122" i="8"/>
  <c r="K122" i="8"/>
  <c r="O122" i="8"/>
  <c r="F122" i="8"/>
  <c r="T122" i="8"/>
  <c r="B122" i="8"/>
  <c r="M122" i="8"/>
  <c r="G122" i="8"/>
  <c r="L122" i="8"/>
  <c r="C122" i="8"/>
  <c r="D153" i="8"/>
  <c r="H153" i="8"/>
  <c r="N153" i="8"/>
  <c r="F153" i="8"/>
  <c r="T153" i="8"/>
  <c r="C153" i="8"/>
  <c r="M153" i="8"/>
  <c r="E153" i="8"/>
  <c r="K153" i="8"/>
  <c r="O153" i="8"/>
  <c r="B153" i="8"/>
  <c r="L153" i="8"/>
  <c r="G153" i="8"/>
  <c r="D144" i="8"/>
  <c r="H144" i="8"/>
  <c r="N144" i="8"/>
  <c r="E144" i="8"/>
  <c r="K144" i="8"/>
  <c r="O144" i="8"/>
  <c r="F144" i="8"/>
  <c r="T144" i="8"/>
  <c r="L144" i="8"/>
  <c r="M144" i="8"/>
  <c r="G144" i="8"/>
  <c r="B144" i="8"/>
  <c r="C144" i="8"/>
  <c r="D177" i="8"/>
  <c r="H177" i="8"/>
  <c r="N177" i="8"/>
  <c r="B177" i="8"/>
  <c r="L177" i="8"/>
  <c r="G177" i="8"/>
  <c r="E177" i="8"/>
  <c r="K177" i="8"/>
  <c r="O177" i="8"/>
  <c r="F177" i="8"/>
  <c r="T177" i="8"/>
  <c r="C177" i="8"/>
  <c r="M177" i="8"/>
  <c r="B139" i="8"/>
  <c r="F139" i="8"/>
  <c r="L139" i="8"/>
  <c r="T139" i="8"/>
  <c r="C139" i="8"/>
  <c r="G139" i="8"/>
  <c r="M139" i="8"/>
  <c r="D139" i="8"/>
  <c r="N139" i="8"/>
  <c r="E139" i="8"/>
  <c r="O139" i="8"/>
  <c r="H139" i="8"/>
  <c r="K139" i="8"/>
  <c r="D66" i="8"/>
  <c r="H66" i="8"/>
  <c r="N66" i="8"/>
  <c r="E66" i="8"/>
  <c r="K66" i="8"/>
  <c r="O66" i="8"/>
  <c r="B66" i="8"/>
  <c r="L66" i="8"/>
  <c r="C66" i="8"/>
  <c r="M66" i="8"/>
  <c r="T66" i="8"/>
  <c r="F66" i="8"/>
  <c r="G66" i="8"/>
  <c r="D104" i="8"/>
  <c r="H104" i="8"/>
  <c r="E104" i="8"/>
  <c r="K104" i="8"/>
  <c r="B104" i="8"/>
  <c r="L104" i="8"/>
  <c r="T104" i="8"/>
  <c r="C104" i="8"/>
  <c r="M104" i="8"/>
  <c r="N104" i="8"/>
  <c r="O104" i="8"/>
  <c r="F104" i="8"/>
  <c r="G104" i="8"/>
  <c r="B69" i="8"/>
  <c r="F69" i="8"/>
  <c r="L69" i="8"/>
  <c r="T69" i="8"/>
  <c r="C69" i="8"/>
  <c r="G69" i="8"/>
  <c r="M69" i="8"/>
  <c r="H69" i="8"/>
  <c r="K69" i="8"/>
  <c r="D69" i="8"/>
  <c r="N69" i="8"/>
  <c r="O69" i="8"/>
  <c r="E69" i="8"/>
  <c r="D155" i="8"/>
  <c r="H155" i="8"/>
  <c r="N155" i="8"/>
  <c r="B155" i="8"/>
  <c r="L155" i="8"/>
  <c r="C155" i="8"/>
  <c r="M155" i="8"/>
  <c r="E155" i="8"/>
  <c r="K155" i="8"/>
  <c r="O155" i="8"/>
  <c r="F155" i="8"/>
  <c r="T155" i="8"/>
  <c r="G155" i="8"/>
  <c r="D105" i="8"/>
  <c r="H105" i="8"/>
  <c r="N105" i="8"/>
  <c r="E105" i="8"/>
  <c r="K105" i="8"/>
  <c r="O105" i="8"/>
  <c r="F105" i="8"/>
  <c r="T105" i="8"/>
  <c r="B105" i="8"/>
  <c r="L105" i="8"/>
  <c r="C105" i="8"/>
  <c r="M105" i="8"/>
  <c r="G105" i="8"/>
  <c r="D98" i="8"/>
  <c r="H98" i="8"/>
  <c r="N98" i="8"/>
  <c r="E98" i="8"/>
  <c r="K98" i="8"/>
  <c r="O98" i="8"/>
  <c r="F98" i="8"/>
  <c r="T98" i="8"/>
  <c r="G98" i="8"/>
  <c r="B98" i="8"/>
  <c r="L98" i="8"/>
  <c r="M98" i="8"/>
  <c r="C98" i="8"/>
  <c r="D120" i="8"/>
  <c r="H120" i="8"/>
  <c r="N120" i="8"/>
  <c r="E120" i="8"/>
  <c r="K120" i="8"/>
  <c r="O120" i="8"/>
  <c r="B120" i="8"/>
  <c r="L120" i="8"/>
  <c r="T120" i="8"/>
  <c r="C120" i="8"/>
  <c r="M120" i="8"/>
  <c r="F120" i="8"/>
  <c r="G120" i="8"/>
  <c r="B101" i="8"/>
  <c r="F101" i="8"/>
  <c r="L101" i="8"/>
  <c r="T101" i="8"/>
  <c r="C101" i="8"/>
  <c r="G101" i="8"/>
  <c r="M101" i="8"/>
  <c r="D101" i="8"/>
  <c r="N101" i="8"/>
  <c r="E101" i="8"/>
  <c r="O101" i="8"/>
  <c r="H101" i="8"/>
  <c r="K101" i="8"/>
  <c r="B174" i="8"/>
  <c r="F174" i="8"/>
  <c r="L174" i="8"/>
  <c r="T174" i="8"/>
  <c r="D174" i="8"/>
  <c r="N174" i="8"/>
  <c r="K174" i="8"/>
  <c r="C174" i="8"/>
  <c r="G174" i="8"/>
  <c r="M174" i="8"/>
  <c r="H174" i="8"/>
  <c r="E174" i="8"/>
  <c r="O174" i="8"/>
  <c r="B110" i="8"/>
  <c r="F110" i="8"/>
  <c r="L110" i="8"/>
  <c r="T110" i="8"/>
  <c r="C110" i="8"/>
  <c r="G110" i="8"/>
  <c r="M110" i="8"/>
  <c r="H110" i="8"/>
  <c r="N110" i="8"/>
  <c r="O110" i="8"/>
  <c r="K110" i="8"/>
  <c r="D110" i="8"/>
  <c r="E110" i="8"/>
  <c r="D111" i="8"/>
  <c r="H111" i="8"/>
  <c r="N111" i="8"/>
  <c r="E111" i="8"/>
  <c r="K111" i="8"/>
  <c r="O111" i="8"/>
  <c r="B111" i="8"/>
  <c r="L111" i="8"/>
  <c r="T111" i="8"/>
  <c r="C111" i="8"/>
  <c r="M111" i="8"/>
  <c r="F111" i="8"/>
  <c r="G111" i="8"/>
  <c r="B143" i="8"/>
  <c r="F143" i="8"/>
  <c r="L143" i="8"/>
  <c r="T143" i="8"/>
  <c r="C143" i="8"/>
  <c r="G143" i="8"/>
  <c r="M143" i="8"/>
  <c r="D143" i="8"/>
  <c r="N143" i="8"/>
  <c r="H143" i="8"/>
  <c r="K143" i="8"/>
  <c r="E143" i="8"/>
  <c r="O143" i="8"/>
  <c r="B81" i="8"/>
  <c r="F81" i="8"/>
  <c r="L81" i="8"/>
  <c r="T81" i="8"/>
  <c r="C81" i="8"/>
  <c r="G81" i="8"/>
  <c r="M81" i="8"/>
  <c r="D81" i="8"/>
  <c r="N81" i="8"/>
  <c r="E81" i="8"/>
  <c r="O81" i="8"/>
  <c r="H81" i="8"/>
  <c r="K81" i="8"/>
  <c r="D74" i="8"/>
  <c r="H74" i="8"/>
  <c r="N74" i="8"/>
  <c r="E74" i="8"/>
  <c r="K74" i="8"/>
  <c r="O74" i="8"/>
  <c r="B74" i="8"/>
  <c r="L74" i="8"/>
  <c r="C74" i="8"/>
  <c r="M74" i="8"/>
  <c r="T74" i="8"/>
  <c r="F74" i="8"/>
  <c r="G74" i="8"/>
  <c r="D140" i="8"/>
  <c r="H140" i="8"/>
  <c r="N140" i="8"/>
  <c r="E140" i="8"/>
  <c r="K140" i="8"/>
  <c r="O140" i="8"/>
  <c r="F140" i="8"/>
  <c r="T140" i="8"/>
  <c r="B140" i="8"/>
  <c r="C140" i="8"/>
  <c r="M140" i="8"/>
  <c r="G140" i="8"/>
  <c r="L140" i="8"/>
  <c r="B141" i="8"/>
  <c r="F141" i="8"/>
  <c r="L141" i="8"/>
  <c r="T141" i="8"/>
  <c r="C141" i="8"/>
  <c r="G141" i="8"/>
  <c r="M141" i="8"/>
  <c r="H141" i="8"/>
  <c r="D141" i="8"/>
  <c r="K141" i="8"/>
  <c r="N141" i="8"/>
  <c r="E141" i="8"/>
  <c r="O141" i="8"/>
  <c r="B166" i="8"/>
  <c r="F166" i="8"/>
  <c r="L166" i="8"/>
  <c r="T166" i="8"/>
  <c r="N166" i="8"/>
  <c r="E166" i="8"/>
  <c r="O166" i="8"/>
  <c r="C166" i="8"/>
  <c r="G166" i="8"/>
  <c r="M166" i="8"/>
  <c r="D166" i="8"/>
  <c r="H166" i="8"/>
  <c r="K166" i="8"/>
  <c r="B190" i="8"/>
  <c r="F190" i="8"/>
  <c r="L190" i="8"/>
  <c r="T190" i="8"/>
  <c r="H190" i="8"/>
  <c r="E190" i="8"/>
  <c r="O190" i="8"/>
  <c r="C190" i="8"/>
  <c r="G190" i="8"/>
  <c r="M190" i="8"/>
  <c r="D190" i="8"/>
  <c r="N190" i="8"/>
  <c r="K190" i="8"/>
  <c r="B147" i="8"/>
  <c r="F147" i="8"/>
  <c r="L147" i="8"/>
  <c r="T147" i="8"/>
  <c r="C147" i="8"/>
  <c r="G147" i="8"/>
  <c r="M147" i="8"/>
  <c r="D147" i="8"/>
  <c r="N147" i="8"/>
  <c r="K147" i="8"/>
  <c r="E147" i="8"/>
  <c r="O147" i="8"/>
  <c r="H147" i="8"/>
  <c r="B89" i="8"/>
  <c r="F89" i="8"/>
  <c r="L89" i="8"/>
  <c r="T89" i="8"/>
  <c r="C89" i="8"/>
  <c r="G89" i="8"/>
  <c r="M89" i="8"/>
  <c r="H89" i="8"/>
  <c r="K89" i="8"/>
  <c r="D89" i="8"/>
  <c r="N89" i="8"/>
  <c r="E89" i="8"/>
  <c r="O89" i="8"/>
  <c r="D82" i="8"/>
  <c r="H82" i="8"/>
  <c r="N82" i="8"/>
  <c r="E82" i="8"/>
  <c r="K82" i="8"/>
  <c r="O82" i="8"/>
  <c r="F82" i="8"/>
  <c r="T82" i="8"/>
  <c r="G82" i="8"/>
  <c r="L82" i="8"/>
  <c r="M82" i="8"/>
  <c r="B82" i="8"/>
  <c r="C82" i="8"/>
  <c r="B112" i="8"/>
  <c r="F112" i="8"/>
  <c r="L112" i="8"/>
  <c r="T112" i="8"/>
  <c r="C112" i="8"/>
  <c r="G112" i="8"/>
  <c r="M112" i="8"/>
  <c r="D112" i="8"/>
  <c r="N112" i="8"/>
  <c r="E112" i="8"/>
  <c r="O112" i="8"/>
  <c r="H112" i="8"/>
  <c r="K112" i="8"/>
  <c r="B176" i="8"/>
  <c r="F176" i="8"/>
  <c r="L176" i="8"/>
  <c r="T176" i="8"/>
  <c r="H176" i="8"/>
  <c r="E176" i="8"/>
  <c r="O176" i="8"/>
  <c r="C176" i="8"/>
  <c r="G176" i="8"/>
  <c r="M176" i="8"/>
  <c r="D176" i="8"/>
  <c r="N176" i="8"/>
  <c r="K176" i="8"/>
  <c r="B117" i="8"/>
  <c r="F117" i="8"/>
  <c r="L117" i="8"/>
  <c r="T117" i="8"/>
  <c r="C117" i="8"/>
  <c r="G117" i="8"/>
  <c r="M117" i="8"/>
  <c r="D117" i="8"/>
  <c r="N117" i="8"/>
  <c r="H117" i="8"/>
  <c r="K117" i="8"/>
  <c r="E117" i="8"/>
  <c r="O117" i="8"/>
  <c r="D118" i="8"/>
  <c r="H118" i="8"/>
  <c r="N118" i="8"/>
  <c r="E118" i="8"/>
  <c r="K118" i="8"/>
  <c r="O118" i="8"/>
  <c r="F118" i="8"/>
  <c r="T118" i="8"/>
  <c r="L118" i="8"/>
  <c r="M118" i="8"/>
  <c r="G118" i="8"/>
  <c r="B118" i="8"/>
  <c r="C118" i="8"/>
  <c r="B56" i="8"/>
  <c r="O56" i="8"/>
  <c r="N56" i="8"/>
  <c r="M56" i="8"/>
  <c r="K56" i="8"/>
  <c r="L56" i="8"/>
  <c r="F56" i="8"/>
  <c r="D56" i="8"/>
  <c r="H56" i="8"/>
  <c r="G56" i="8"/>
  <c r="E56" i="8"/>
  <c r="C56" i="8"/>
  <c r="T56" i="8"/>
  <c r="I71" i="8" l="1"/>
  <c r="P71" i="8" s="1"/>
  <c r="Q71" i="8" s="1"/>
  <c r="I59" i="8"/>
  <c r="J59" i="8" s="1"/>
  <c r="I162" i="8"/>
  <c r="P162" i="8" s="1"/>
  <c r="I184" i="8"/>
  <c r="P184" i="8" s="1"/>
  <c r="Q184" i="8" s="1"/>
  <c r="I188" i="8"/>
  <c r="P188" i="8" s="1"/>
  <c r="I58" i="8"/>
  <c r="P58" i="8" s="1"/>
  <c r="I97" i="8"/>
  <c r="P97" i="8" s="1"/>
  <c r="I158" i="8"/>
  <c r="P158" i="8" s="1"/>
  <c r="I85" i="8"/>
  <c r="P85" i="8" s="1"/>
  <c r="I127" i="8"/>
  <c r="P127" i="8" s="1"/>
  <c r="I115" i="8"/>
  <c r="P115" i="8" s="1"/>
  <c r="I76" i="8"/>
  <c r="P76" i="8" s="1"/>
  <c r="I123" i="8"/>
  <c r="P123" i="8" s="1"/>
  <c r="I62" i="8"/>
  <c r="P62" i="8" s="1"/>
  <c r="Q62" i="8" s="1"/>
  <c r="I56" i="8"/>
  <c r="I148" i="8"/>
  <c r="P148" i="8" s="1"/>
  <c r="I114" i="8"/>
  <c r="P114" i="8" s="1"/>
  <c r="I133" i="8"/>
  <c r="P133" i="8" s="1"/>
  <c r="I129" i="8"/>
  <c r="P129" i="8" s="1"/>
  <c r="Q129" i="8" s="1"/>
  <c r="I87" i="8"/>
  <c r="P87" i="8" s="1"/>
  <c r="I161" i="8"/>
  <c r="I192" i="8"/>
  <c r="I159" i="8"/>
  <c r="I84" i="8"/>
  <c r="P84" i="8" s="1"/>
  <c r="I86" i="8"/>
  <c r="P86" i="8" s="1"/>
  <c r="I190" i="8"/>
  <c r="P190" i="8" s="1"/>
  <c r="I172" i="8"/>
  <c r="P172" i="8" s="1"/>
  <c r="I185" i="8"/>
  <c r="I118" i="8"/>
  <c r="I105" i="8"/>
  <c r="I153" i="8"/>
  <c r="I175" i="8"/>
  <c r="P175" i="8" s="1"/>
  <c r="Q175" i="8" s="1"/>
  <c r="I137" i="8"/>
  <c r="P137" i="8" s="1"/>
  <c r="Q137" i="8" s="1"/>
  <c r="I102" i="8"/>
  <c r="P102" i="8" s="1"/>
  <c r="I191" i="8"/>
  <c r="I182" i="8"/>
  <c r="I169" i="8"/>
  <c r="I176" i="8"/>
  <c r="I83" i="8"/>
  <c r="I135" i="8"/>
  <c r="P135" i="8" s="1"/>
  <c r="I112" i="8"/>
  <c r="I98" i="8"/>
  <c r="I69" i="8"/>
  <c r="I156" i="8"/>
  <c r="P156" i="8" s="1"/>
  <c r="I63" i="8"/>
  <c r="I99" i="8"/>
  <c r="I150" i="8"/>
  <c r="P150" i="8" s="1"/>
  <c r="Q150" i="8" s="1"/>
  <c r="I67" i="8"/>
  <c r="I75" i="8"/>
  <c r="I103" i="8"/>
  <c r="I124" i="8"/>
  <c r="I119" i="8"/>
  <c r="I165" i="8"/>
  <c r="I167" i="8"/>
  <c r="I154" i="8"/>
  <c r="P154" i="8" s="1"/>
  <c r="I89" i="8"/>
  <c r="I147" i="8"/>
  <c r="I140" i="8"/>
  <c r="I111" i="8"/>
  <c r="I174" i="8"/>
  <c r="P174" i="8" s="1"/>
  <c r="I120" i="8"/>
  <c r="I177" i="8"/>
  <c r="I77" i="8"/>
  <c r="P77" i="8" s="1"/>
  <c r="Q77" i="8" s="1"/>
  <c r="I128" i="8"/>
  <c r="P128" i="8" s="1"/>
  <c r="Q128" i="8" s="1"/>
  <c r="I113" i="8"/>
  <c r="I96" i="8"/>
  <c r="I107" i="8"/>
  <c r="I173" i="8"/>
  <c r="I163" i="8"/>
  <c r="I60" i="8"/>
  <c r="I171" i="8"/>
  <c r="I65" i="8"/>
  <c r="I164" i="8"/>
  <c r="I126" i="8"/>
  <c r="I100" i="8"/>
  <c r="P100" i="8" s="1"/>
  <c r="I66" i="8"/>
  <c r="I80" i="8"/>
  <c r="I74" i="8"/>
  <c r="P74" i="8" s="1"/>
  <c r="Q74" i="8" s="1"/>
  <c r="I130" i="8"/>
  <c r="P130" i="8" s="1"/>
  <c r="Q130" i="8" s="1"/>
  <c r="I189" i="8"/>
  <c r="P189" i="8" s="1"/>
  <c r="I186" i="8"/>
  <c r="P186" i="8" s="1"/>
  <c r="Q186" i="8" s="1"/>
  <c r="I181" i="8"/>
  <c r="I70" i="8"/>
  <c r="I79" i="8"/>
  <c r="I61" i="8"/>
  <c r="I142" i="8"/>
  <c r="I149" i="8"/>
  <c r="P149" i="8" s="1"/>
  <c r="I106" i="8"/>
  <c r="P106" i="8" s="1"/>
  <c r="Q106" i="8" s="1"/>
  <c r="I168" i="8"/>
  <c r="P168" i="8" s="1"/>
  <c r="Q168" i="8" s="1"/>
  <c r="I116" i="8"/>
  <c r="I151" i="8"/>
  <c r="I134" i="8"/>
  <c r="I82" i="8"/>
  <c r="I81" i="8"/>
  <c r="P81" i="8" s="1"/>
  <c r="I78" i="8"/>
  <c r="P78" i="8" s="1"/>
  <c r="Q78" i="8" s="1"/>
  <c r="I108" i="8"/>
  <c r="I94" i="8"/>
  <c r="I146" i="8"/>
  <c r="I157" i="8"/>
  <c r="I180" i="8"/>
  <c r="I104" i="8"/>
  <c r="I144" i="8"/>
  <c r="I170" i="8"/>
  <c r="P170" i="8" s="1"/>
  <c r="Q170" i="8" s="1"/>
  <c r="I88" i="8"/>
  <c r="P88" i="8" s="1"/>
  <c r="I121" i="8"/>
  <c r="I73" i="8"/>
  <c r="I138" i="8"/>
  <c r="I145" i="8"/>
  <c r="I91" i="8"/>
  <c r="I68" i="8"/>
  <c r="I183" i="8"/>
  <c r="I90" i="8"/>
  <c r="P90" i="8" s="1"/>
  <c r="Q90" i="8" s="1"/>
  <c r="I166" i="8"/>
  <c r="I141" i="8"/>
  <c r="I117" i="8"/>
  <c r="I143" i="8"/>
  <c r="P143" i="8" s="1"/>
  <c r="I110" i="8"/>
  <c r="I101" i="8"/>
  <c r="P101" i="8" s="1"/>
  <c r="Q101" i="8" s="1"/>
  <c r="I155" i="8"/>
  <c r="P155" i="8" s="1"/>
  <c r="Q155" i="8" s="1"/>
  <c r="I139" i="8"/>
  <c r="I122" i="8"/>
  <c r="I187" i="8"/>
  <c r="I136" i="8"/>
  <c r="I160" i="8"/>
  <c r="I57" i="8"/>
  <c r="I131" i="8"/>
  <c r="I109" i="8"/>
  <c r="P109" i="8" s="1"/>
  <c r="Q109" i="8" s="1"/>
  <c r="I95" i="8"/>
  <c r="I179" i="8"/>
  <c r="I152" i="8"/>
  <c r="I64" i="8"/>
  <c r="I92" i="8"/>
  <c r="I72" i="8"/>
  <c r="I178" i="8"/>
  <c r="I93" i="8"/>
  <c r="I125" i="8"/>
  <c r="P125" i="8" s="1"/>
  <c r="I132" i="8"/>
  <c r="P132" i="8" s="1"/>
  <c r="V3" i="8"/>
  <c r="P56" i="8" l="1"/>
  <c r="P59" i="8"/>
  <c r="Q59" i="8" s="1"/>
  <c r="J162" i="8"/>
  <c r="J97" i="8"/>
  <c r="J158" i="8"/>
  <c r="J85" i="8"/>
  <c r="J123" i="8"/>
  <c r="J58" i="8"/>
  <c r="J76" i="8"/>
  <c r="J127" i="8"/>
  <c r="J81" i="8"/>
  <c r="J148" i="8"/>
  <c r="J114" i="8"/>
  <c r="J133" i="8"/>
  <c r="J189" i="8"/>
  <c r="J86" i="8"/>
  <c r="J135" i="8"/>
  <c r="J84" i="8"/>
  <c r="J102" i="8"/>
  <c r="J154" i="8"/>
  <c r="J88" i="8"/>
  <c r="J134" i="8"/>
  <c r="P134" i="8"/>
  <c r="Q134" i="8" s="1"/>
  <c r="P119" i="8"/>
  <c r="Q119" i="8" s="1"/>
  <c r="P161" i="8"/>
  <c r="Q161" i="8" s="1"/>
  <c r="J64" i="8"/>
  <c r="P64" i="8"/>
  <c r="Q64" i="8" s="1"/>
  <c r="P138" i="8"/>
  <c r="Q138" i="8" s="1"/>
  <c r="J70" i="8"/>
  <c r="P70" i="8"/>
  <c r="Q70" i="8" s="1"/>
  <c r="P107" i="8"/>
  <c r="Q107" i="8" s="1"/>
  <c r="J69" i="8"/>
  <c r="P69" i="8"/>
  <c r="Q69" i="8" s="1"/>
  <c r="P191" i="8"/>
  <c r="Q191" i="8" s="1"/>
  <c r="J152" i="8"/>
  <c r="P152" i="8"/>
  <c r="Q152" i="8" s="1"/>
  <c r="J141" i="8"/>
  <c r="P141" i="8"/>
  <c r="Q141" i="8" s="1"/>
  <c r="P146" i="8"/>
  <c r="Q146" i="8" s="1"/>
  <c r="P181" i="8"/>
  <c r="Q181" i="8" s="1"/>
  <c r="J96" i="8"/>
  <c r="P96" i="8"/>
  <c r="Q96" i="8" s="1"/>
  <c r="J103" i="8"/>
  <c r="P103" i="8"/>
  <c r="Q103" i="8" s="1"/>
  <c r="J156" i="8"/>
  <c r="J179" i="8"/>
  <c r="P179" i="8"/>
  <c r="Q179" i="8" s="1"/>
  <c r="J121" i="8"/>
  <c r="P121" i="8"/>
  <c r="Q121" i="8" s="1"/>
  <c r="J94" i="8"/>
  <c r="P94" i="8"/>
  <c r="Q94" i="8" s="1"/>
  <c r="J113" i="8"/>
  <c r="P113" i="8"/>
  <c r="Q113" i="8" s="1"/>
  <c r="P75" i="8"/>
  <c r="Q75" i="8" s="1"/>
  <c r="J95" i="8"/>
  <c r="P95" i="8"/>
  <c r="Q95" i="8" s="1"/>
  <c r="J139" i="8"/>
  <c r="P139" i="8"/>
  <c r="Q139" i="8" s="1"/>
  <c r="P67" i="8"/>
  <c r="Q67" i="8" s="1"/>
  <c r="J132" i="8"/>
  <c r="J125" i="8"/>
  <c r="J183" i="8"/>
  <c r="P183" i="8"/>
  <c r="Q183" i="8" s="1"/>
  <c r="P171" i="8"/>
  <c r="Q171" i="8" s="1"/>
  <c r="P83" i="8"/>
  <c r="Q83" i="8" s="1"/>
  <c r="J153" i="8"/>
  <c r="P153" i="8"/>
  <c r="Q153" i="8" s="1"/>
  <c r="J160" i="8"/>
  <c r="P160" i="8"/>
  <c r="Q160" i="8" s="1"/>
  <c r="J180" i="8"/>
  <c r="P180" i="8"/>
  <c r="Q180" i="8" s="1"/>
  <c r="P66" i="8"/>
  <c r="Q66" i="8" s="1"/>
  <c r="P173" i="8"/>
  <c r="Q173" i="8" s="1"/>
  <c r="J185" i="8"/>
  <c r="P185" i="8"/>
  <c r="Q185" i="8" s="1"/>
  <c r="J174" i="8"/>
  <c r="P136" i="8"/>
  <c r="Q136" i="8" s="1"/>
  <c r="P157" i="8"/>
  <c r="Q157" i="8" s="1"/>
  <c r="J111" i="8"/>
  <c r="P111" i="8"/>
  <c r="Q111" i="8" s="1"/>
  <c r="J172" i="8"/>
  <c r="P187" i="8"/>
  <c r="Q187" i="8" s="1"/>
  <c r="J73" i="8"/>
  <c r="P73" i="8"/>
  <c r="Q73" i="8" s="1"/>
  <c r="J126" i="8"/>
  <c r="P126" i="8"/>
  <c r="Q126" i="8" s="1"/>
  <c r="P140" i="8"/>
  <c r="Q140" i="8" s="1"/>
  <c r="J98" i="8"/>
  <c r="P98" i="8"/>
  <c r="Q98" i="8" s="1"/>
  <c r="J166" i="8"/>
  <c r="P166" i="8"/>
  <c r="Q166" i="8" s="1"/>
  <c r="J164" i="8"/>
  <c r="P164" i="8"/>
  <c r="Q164" i="8" s="1"/>
  <c r="P147" i="8"/>
  <c r="Q147" i="8" s="1"/>
  <c r="P112" i="8"/>
  <c r="Q112" i="8" s="1"/>
  <c r="J108" i="8"/>
  <c r="P108" i="8"/>
  <c r="Q108" i="8" s="1"/>
  <c r="P65" i="8"/>
  <c r="Q65" i="8" s="1"/>
  <c r="P89" i="8"/>
  <c r="Q89" i="8" s="1"/>
  <c r="J93" i="8"/>
  <c r="P93" i="8"/>
  <c r="Q93" i="8" s="1"/>
  <c r="J190" i="8"/>
  <c r="J149" i="8"/>
  <c r="J87" i="8"/>
  <c r="J178" i="8"/>
  <c r="P178" i="8"/>
  <c r="Q178" i="8" s="1"/>
  <c r="P131" i="8"/>
  <c r="Q131" i="8" s="1"/>
  <c r="J68" i="8"/>
  <c r="P68" i="8"/>
  <c r="Q68" i="8" s="1"/>
  <c r="P144" i="8"/>
  <c r="Q144" i="8" s="1"/>
  <c r="P142" i="8"/>
  <c r="Q142" i="8" s="1"/>
  <c r="P60" i="8"/>
  <c r="Q60" i="8" s="1"/>
  <c r="J177" i="8"/>
  <c r="P177" i="8"/>
  <c r="Q177" i="8" s="1"/>
  <c r="J167" i="8"/>
  <c r="P167" i="8"/>
  <c r="Q167" i="8" s="1"/>
  <c r="J99" i="8"/>
  <c r="P99" i="8"/>
  <c r="Q99" i="8" s="1"/>
  <c r="P176" i="8"/>
  <c r="Q176" i="8" s="1"/>
  <c r="P105" i="8"/>
  <c r="Q105" i="8" s="1"/>
  <c r="J159" i="8"/>
  <c r="P159" i="8"/>
  <c r="Q159" i="8" s="1"/>
  <c r="P92" i="8"/>
  <c r="Q92" i="8" s="1"/>
  <c r="P145" i="8"/>
  <c r="Q145" i="8" s="1"/>
  <c r="P79" i="8"/>
  <c r="Q79" i="8" s="1"/>
  <c r="J182" i="8"/>
  <c r="P182" i="8"/>
  <c r="Q182" i="8" s="1"/>
  <c r="J117" i="8"/>
  <c r="P117" i="8"/>
  <c r="Q117" i="8" s="1"/>
  <c r="J151" i="8"/>
  <c r="P151" i="8"/>
  <c r="Q151" i="8" s="1"/>
  <c r="P124" i="8"/>
  <c r="Q124" i="8" s="1"/>
  <c r="J100" i="8"/>
  <c r="P116" i="8"/>
  <c r="Q116" i="8" s="1"/>
  <c r="J143" i="8"/>
  <c r="P122" i="8"/>
  <c r="Q122" i="8" s="1"/>
  <c r="J72" i="8"/>
  <c r="P72" i="8"/>
  <c r="Q72" i="8" s="1"/>
  <c r="J57" i="8"/>
  <c r="P57" i="8"/>
  <c r="Q57" i="8" s="1"/>
  <c r="J110" i="8"/>
  <c r="P110" i="8"/>
  <c r="Q110" i="8" s="1"/>
  <c r="J91" i="8"/>
  <c r="P91" i="8"/>
  <c r="Q91" i="8" s="1"/>
  <c r="J104" i="8"/>
  <c r="P104" i="8"/>
  <c r="Q104" i="8" s="1"/>
  <c r="J82" i="8"/>
  <c r="P82" i="8"/>
  <c r="Q82" i="8" s="1"/>
  <c r="J61" i="8"/>
  <c r="P61" i="8"/>
  <c r="Q61" i="8" s="1"/>
  <c r="J80" i="8"/>
  <c r="P80" i="8"/>
  <c r="Q80" i="8" s="1"/>
  <c r="P163" i="8"/>
  <c r="Q163" i="8" s="1"/>
  <c r="J120" i="8"/>
  <c r="P120" i="8"/>
  <c r="Q120" i="8" s="1"/>
  <c r="J165" i="8"/>
  <c r="P165" i="8"/>
  <c r="Q165" i="8" s="1"/>
  <c r="P63" i="8"/>
  <c r="Q63" i="8" s="1"/>
  <c r="J169" i="8"/>
  <c r="P169" i="8"/>
  <c r="Q169" i="8" s="1"/>
  <c r="P118" i="8"/>
  <c r="Q118" i="8" s="1"/>
  <c r="P192" i="8"/>
  <c r="Q192" i="8" s="1"/>
  <c r="Q123" i="8"/>
  <c r="Q58" i="8"/>
  <c r="Q158" i="8"/>
  <c r="Q76" i="8"/>
  <c r="Q97" i="8"/>
  <c r="J62" i="8"/>
  <c r="J184" i="8"/>
  <c r="Q162" i="8"/>
  <c r="J90" i="8"/>
  <c r="Q127" i="8"/>
  <c r="Q85" i="8"/>
  <c r="Q87" i="8"/>
  <c r="Q148" i="8"/>
  <c r="J142" i="8"/>
  <c r="Q125" i="8"/>
  <c r="J65" i="8"/>
  <c r="J157" i="8"/>
  <c r="Q132" i="8"/>
  <c r="Q154" i="8"/>
  <c r="Q135" i="8"/>
  <c r="J129" i="8"/>
  <c r="J119" i="8"/>
  <c r="Q86" i="8"/>
  <c r="J71" i="8"/>
  <c r="Q100" i="8"/>
  <c r="Q84" i="8"/>
  <c r="J116" i="8"/>
  <c r="Q188" i="8"/>
  <c r="J188" i="8"/>
  <c r="Q115" i="8"/>
  <c r="J115" i="8"/>
  <c r="J128" i="8"/>
  <c r="J176" i="8"/>
  <c r="Q102" i="8"/>
  <c r="J83" i="8"/>
  <c r="J171" i="8"/>
  <c r="J175" i="8"/>
  <c r="J163" i="8"/>
  <c r="J192" i="8"/>
  <c r="J138" i="8"/>
  <c r="J75" i="8"/>
  <c r="Q172" i="8"/>
  <c r="Q156" i="8"/>
  <c r="Q149" i="8"/>
  <c r="Q143" i="8"/>
  <c r="Q88" i="8"/>
  <c r="J78" i="8"/>
  <c r="J106" i="8"/>
  <c r="J144" i="8"/>
  <c r="J131" i="8"/>
  <c r="J136" i="8"/>
  <c r="J137" i="8"/>
  <c r="J107" i="8"/>
  <c r="J161" i="8"/>
  <c r="J147" i="8"/>
  <c r="J67" i="8"/>
  <c r="J191" i="8"/>
  <c r="J187" i="8"/>
  <c r="J101" i="8"/>
  <c r="Q190" i="8"/>
  <c r="J181" i="8"/>
  <c r="J140" i="8"/>
  <c r="J146" i="8"/>
  <c r="J105" i="8"/>
  <c r="J77" i="8"/>
  <c r="J130" i="8"/>
  <c r="J173" i="8"/>
  <c r="J66" i="8"/>
  <c r="J124" i="8"/>
  <c r="J168" i="8"/>
  <c r="Q133" i="8"/>
  <c r="Q189" i="8"/>
  <c r="J89" i="8"/>
  <c r="J145" i="8"/>
  <c r="J170" i="8"/>
  <c r="J118" i="8"/>
  <c r="J186" i="8"/>
  <c r="J60" i="8"/>
  <c r="J109" i="8"/>
  <c r="J122" i="8"/>
  <c r="J112" i="8"/>
  <c r="J155" i="8"/>
  <c r="J92" i="8"/>
  <c r="J63" i="8"/>
  <c r="J74" i="8"/>
  <c r="J150" i="8"/>
  <c r="Q114" i="8"/>
  <c r="J79" i="8"/>
  <c r="Q81" i="8"/>
  <c r="Q174" i="8"/>
  <c r="J56" i="8"/>
  <c r="D55" i="10"/>
  <c r="V55" i="10" s="1"/>
  <c r="D51" i="10"/>
  <c r="V51" i="10" s="1"/>
  <c r="D50" i="10"/>
  <c r="V50" i="10" s="1"/>
  <c r="D49" i="10"/>
  <c r="V49" i="10" s="1"/>
  <c r="X49" i="10" s="1"/>
  <c r="G43" i="10"/>
  <c r="X53" i="10"/>
  <c r="X55" i="10"/>
  <c r="X51" i="10"/>
  <c r="X50" i="10"/>
  <c r="Q56" i="8" l="1"/>
  <c r="AB38" i="10" l="1"/>
  <c r="AJ38" i="10" s="1"/>
  <c r="AB40" i="10"/>
  <c r="AJ40" i="10" s="1"/>
  <c r="AB42" i="10"/>
  <c r="AJ42" i="10" s="1"/>
  <c r="AB44" i="10"/>
  <c r="AJ44" i="10" s="1"/>
  <c r="AB46" i="10"/>
  <c r="AJ46" i="10" s="1"/>
  <c r="AB48" i="10"/>
  <c r="AB50" i="10"/>
  <c r="AB52" i="10"/>
  <c r="AB54" i="10"/>
  <c r="AB36" i="10"/>
  <c r="D214" i="8"/>
  <c r="D215" i="8"/>
  <c r="D216" i="8"/>
  <c r="D217" i="8"/>
  <c r="D218" i="8"/>
  <c r="D219" i="8"/>
  <c r="D220" i="8"/>
  <c r="D221" i="8"/>
  <c r="D212" i="8"/>
  <c r="AP48" i="10" l="1"/>
  <c r="AT48" i="10" s="1"/>
  <c r="AJ48" i="10"/>
  <c r="AP52" i="10"/>
  <c r="AT52" i="10" s="1"/>
  <c r="AJ52" i="10"/>
  <c r="AP50" i="10"/>
  <c r="AT50" i="10" s="1"/>
  <c r="AJ50" i="10"/>
  <c r="AP36" i="10"/>
  <c r="BB36" i="10"/>
  <c r="BJ36" i="10" s="1"/>
  <c r="AJ36" i="10"/>
  <c r="AP54" i="10"/>
  <c r="AT54" i="10" s="1"/>
  <c r="AJ54" i="10"/>
  <c r="F212" i="8"/>
  <c r="F218" i="8"/>
  <c r="F214" i="8"/>
  <c r="F221" i="8"/>
  <c r="F217" i="8"/>
  <c r="F220" i="8"/>
  <c r="F219" i="8"/>
  <c r="F215" i="8"/>
  <c r="F216" i="8"/>
  <c r="E213" i="8"/>
  <c r="BB40" i="10"/>
  <c r="BJ40" i="10" s="1"/>
  <c r="AP40" i="10"/>
  <c r="AP42" i="10"/>
  <c r="AT42" i="10" s="1"/>
  <c r="BB42" i="10"/>
  <c r="BJ42" i="10" s="1"/>
  <c r="BB38" i="10"/>
  <c r="BJ38" i="10" s="1"/>
  <c r="AP38" i="10"/>
  <c r="AT38" i="10" s="1"/>
  <c r="BB44" i="10"/>
  <c r="BJ44" i="10" s="1"/>
  <c r="AP44" i="10"/>
  <c r="AT44" i="10" s="1"/>
  <c r="BB50" i="10"/>
  <c r="BJ50" i="10" s="1"/>
  <c r="BB48" i="10"/>
  <c r="BJ48" i="10" s="1"/>
  <c r="BB54" i="10"/>
  <c r="AP46" i="10"/>
  <c r="AT46" i="10" s="1"/>
  <c r="BB46" i="10"/>
  <c r="BJ46" i="10" s="1"/>
  <c r="BB52" i="10"/>
  <c r="E218" i="8"/>
  <c r="E214" i="8"/>
  <c r="E212" i="8"/>
  <c r="E217" i="8"/>
  <c r="E220" i="8"/>
  <c r="E216" i="8"/>
  <c r="E219" i="8"/>
  <c r="E215" i="8"/>
  <c r="G214" i="8" l="1"/>
  <c r="H214" i="8" s="1"/>
  <c r="G212" i="8"/>
  <c r="H212" i="8" s="1"/>
  <c r="I212" i="8" s="1"/>
  <c r="J212" i="8" s="1"/>
  <c r="G219" i="8"/>
  <c r="H219" i="8" s="1"/>
  <c r="I219" i="8" s="1"/>
  <c r="G220" i="8"/>
  <c r="H220" i="8" s="1"/>
  <c r="G216" i="8"/>
  <c r="H216" i="8" s="1"/>
  <c r="G215" i="8"/>
  <c r="H215" i="8" s="1"/>
  <c r="G218" i="8"/>
  <c r="H218" i="8" s="1"/>
  <c r="G213" i="8"/>
  <c r="G221" i="8"/>
  <c r="H221" i="8" s="1"/>
  <c r="G217" i="8"/>
  <c r="AZ26" i="8"/>
  <c r="AZ27" i="8"/>
  <c r="AZ28" i="8"/>
  <c r="AZ29" i="8"/>
  <c r="AZ30" i="8"/>
  <c r="AZ31" i="8"/>
  <c r="AZ32" i="8"/>
  <c r="AZ33" i="8"/>
  <c r="AZ34" i="8"/>
  <c r="AZ35" i="8"/>
  <c r="AZ36" i="8"/>
  <c r="AZ37" i="8"/>
  <c r="AZ38" i="8"/>
  <c r="AZ39" i="8"/>
  <c r="AZ40" i="8"/>
  <c r="AZ41" i="8"/>
  <c r="AZ44" i="8"/>
  <c r="K212" i="8" l="1"/>
  <c r="L212" i="8" s="1"/>
  <c r="J219" i="8"/>
  <c r="K219" i="8" s="1"/>
  <c r="L219" i="8" s="1"/>
  <c r="I221" i="8"/>
  <c r="J221" i="8" s="1"/>
  <c r="K221" i="8" s="1"/>
  <c r="I215" i="8"/>
  <c r="J215" i="8" s="1"/>
  <c r="I214" i="8"/>
  <c r="J214" i="8" s="1"/>
  <c r="I216" i="8"/>
  <c r="H217" i="8"/>
  <c r="I218" i="8"/>
  <c r="I220" i="8"/>
  <c r="J220" i="8" s="1"/>
  <c r="K220" i="8" s="1"/>
  <c r="L220" i="8" s="1"/>
  <c r="H213" i="8"/>
  <c r="I213" i="8" s="1"/>
  <c r="P40" i="12"/>
  <c r="P51" i="12"/>
  <c r="P44" i="12"/>
  <c r="P69" i="12"/>
  <c r="X42" i="10" s="1"/>
  <c r="P60" i="12"/>
  <c r="P33" i="12"/>
  <c r="P27" i="12"/>
  <c r="P20" i="12"/>
  <c r="P2" i="12"/>
  <c r="P8" i="12"/>
  <c r="J213" i="8" l="1"/>
  <c r="K213" i="8" s="1"/>
  <c r="L213" i="8" s="1"/>
  <c r="L221" i="8"/>
  <c r="M221" i="8" s="1"/>
  <c r="N221" i="8" s="1"/>
  <c r="O221" i="8" s="1"/>
  <c r="P221" i="8" s="1"/>
  <c r="M212" i="8"/>
  <c r="K215" i="8"/>
  <c r="L215" i="8" s="1"/>
  <c r="M215" i="8" s="1"/>
  <c r="N215" i="8" s="1"/>
  <c r="O215" i="8" s="1"/>
  <c r="P215" i="8" s="1"/>
  <c r="M219" i="8"/>
  <c r="N219" i="8" s="1"/>
  <c r="O219" i="8" s="1"/>
  <c r="P219" i="8" s="1"/>
  <c r="J216" i="8"/>
  <c r="K214" i="8"/>
  <c r="L214" i="8" s="1"/>
  <c r="J218" i="8"/>
  <c r="K218" i="8" s="1"/>
  <c r="L218" i="8" s="1"/>
  <c r="M220" i="8"/>
  <c r="I217" i="8"/>
  <c r="DJ24" i="1"/>
  <c r="AG42" i="10"/>
  <c r="DJ22" i="1"/>
  <c r="AG48" i="10"/>
  <c r="DJ9" i="1"/>
  <c r="AG38" i="10"/>
  <c r="DJ25" i="1"/>
  <c r="AG44" i="10"/>
  <c r="DJ23" i="1"/>
  <c r="AG50" i="10"/>
  <c r="DJ5" i="1"/>
  <c r="AG36" i="10"/>
  <c r="DJ14" i="1"/>
  <c r="AG52" i="10"/>
  <c r="DJ20" i="1"/>
  <c r="AG46" i="10"/>
  <c r="DJ8" i="1"/>
  <c r="AG40" i="10"/>
  <c r="DJ18" i="1"/>
  <c r="AG54" i="10"/>
  <c r="H43" i="12"/>
  <c r="H42" i="12"/>
  <c r="H59" i="12"/>
  <c r="H58" i="12"/>
  <c r="H57" i="12"/>
  <c r="H56" i="12"/>
  <c r="H55" i="12"/>
  <c r="H54" i="12"/>
  <c r="H53" i="12"/>
  <c r="H50" i="12"/>
  <c r="H49" i="12"/>
  <c r="H48" i="12"/>
  <c r="H47" i="12"/>
  <c r="H46" i="12"/>
  <c r="H81" i="12"/>
  <c r="H80" i="12"/>
  <c r="H79" i="12"/>
  <c r="H78" i="12"/>
  <c r="H77" i="12"/>
  <c r="H76" i="12"/>
  <c r="H75" i="12"/>
  <c r="H74" i="12"/>
  <c r="H73" i="12"/>
  <c r="H72" i="12"/>
  <c r="H71" i="12"/>
  <c r="E71" i="12" s="1"/>
  <c r="Q221" i="8" s="1"/>
  <c r="H68" i="12"/>
  <c r="N60" i="12" s="1"/>
  <c r="DQ14" i="1" s="1"/>
  <c r="H67" i="12"/>
  <c r="H66" i="12"/>
  <c r="H65" i="12"/>
  <c r="H64" i="12"/>
  <c r="H63" i="12"/>
  <c r="H62" i="12"/>
  <c r="H39" i="12"/>
  <c r="H38" i="12"/>
  <c r="H37" i="12"/>
  <c r="H36" i="12"/>
  <c r="G36" i="12" s="1"/>
  <c r="H35" i="12"/>
  <c r="H32" i="12"/>
  <c r="H31" i="12"/>
  <c r="H30" i="12"/>
  <c r="H29" i="12"/>
  <c r="H26" i="12"/>
  <c r="H25" i="12"/>
  <c r="H24" i="12"/>
  <c r="H23" i="12"/>
  <c r="H22" i="12"/>
  <c r="H19" i="12"/>
  <c r="H18" i="12"/>
  <c r="H17" i="12"/>
  <c r="H16" i="12"/>
  <c r="H15" i="12"/>
  <c r="H14" i="12"/>
  <c r="H13" i="12"/>
  <c r="H12" i="12"/>
  <c r="H11" i="12"/>
  <c r="H10" i="12"/>
  <c r="H7" i="12"/>
  <c r="H6" i="12"/>
  <c r="H5" i="12"/>
  <c r="H4" i="12"/>
  <c r="N69" i="12" l="1"/>
  <c r="V44" i="10" s="1"/>
  <c r="N212" i="8"/>
  <c r="O212" i="8" s="1"/>
  <c r="M218" i="8"/>
  <c r="N218" i="8" s="1"/>
  <c r="O218" i="8" s="1"/>
  <c r="P218" i="8" s="1"/>
  <c r="J217" i="8"/>
  <c r="N220" i="8"/>
  <c r="O220" i="8" s="1"/>
  <c r="P220" i="8" s="1"/>
  <c r="K216" i="8"/>
  <c r="L216" i="8" s="1"/>
  <c r="M216" i="8" s="1"/>
  <c r="M214" i="8"/>
  <c r="N214" i="8" s="1"/>
  <c r="O214" i="8" s="1"/>
  <c r="P214" i="8" s="1"/>
  <c r="M213" i="8"/>
  <c r="Q20" i="12"/>
  <c r="DK8" i="1" s="1"/>
  <c r="K20" i="12"/>
  <c r="DN8" i="1" s="1"/>
  <c r="J20" i="12"/>
  <c r="AT40" i="10" s="1"/>
  <c r="K27" i="12"/>
  <c r="DN24" i="1" s="1"/>
  <c r="Q27" i="12"/>
  <c r="DK24" i="1" s="1"/>
  <c r="K33" i="12"/>
  <c r="DN25" i="1" s="1"/>
  <c r="Q33" i="12"/>
  <c r="DK25" i="1" s="1"/>
  <c r="Q2" i="12"/>
  <c r="DK5" i="1" s="1"/>
  <c r="K2" i="12"/>
  <c r="DN5" i="1" s="1"/>
  <c r="K8" i="12"/>
  <c r="DN9" i="1" s="1"/>
  <c r="Q8" i="12"/>
  <c r="DK9" i="1" s="1"/>
  <c r="Q44" i="12"/>
  <c r="DK22" i="1" s="1"/>
  <c r="Q40" i="12"/>
  <c r="DK20" i="1" s="1"/>
  <c r="K40" i="12"/>
  <c r="Q60" i="12"/>
  <c r="DK14" i="1" s="1"/>
  <c r="Q69" i="12"/>
  <c r="Q51" i="12"/>
  <c r="DK23" i="1" s="1"/>
  <c r="E4" i="12"/>
  <c r="Q212" i="8" s="1"/>
  <c r="G18" i="12"/>
  <c r="E65" i="12"/>
  <c r="G78" i="12"/>
  <c r="G56" i="12"/>
  <c r="E5" i="12"/>
  <c r="E15" i="12"/>
  <c r="E25" i="12"/>
  <c r="E62" i="12"/>
  <c r="Q220" i="8" s="1"/>
  <c r="G75" i="12"/>
  <c r="G53" i="12"/>
  <c r="G57" i="12"/>
  <c r="G12" i="12"/>
  <c r="G16" i="12"/>
  <c r="G22" i="12"/>
  <c r="G26" i="12"/>
  <c r="G32" i="12"/>
  <c r="E37" i="12"/>
  <c r="E63" i="12"/>
  <c r="E67" i="12"/>
  <c r="G72" i="12"/>
  <c r="G76" i="12"/>
  <c r="G80" i="12"/>
  <c r="G48" i="12"/>
  <c r="G54" i="12"/>
  <c r="G58" i="12"/>
  <c r="G10" i="12"/>
  <c r="G14" i="12"/>
  <c r="G24" i="12"/>
  <c r="E30" i="12"/>
  <c r="G39" i="12"/>
  <c r="G74" i="12"/>
  <c r="G46" i="12"/>
  <c r="G50" i="12"/>
  <c r="G42" i="12"/>
  <c r="E11" i="12"/>
  <c r="E19" i="12"/>
  <c r="E31" i="12"/>
  <c r="E36" i="12"/>
  <c r="G66" i="12"/>
  <c r="G71" i="12"/>
  <c r="G79" i="12"/>
  <c r="G47" i="12"/>
  <c r="G43" i="12"/>
  <c r="G6" i="12"/>
  <c r="G7" i="12"/>
  <c r="E13" i="12"/>
  <c r="G17" i="12"/>
  <c r="G23" i="12"/>
  <c r="G29" i="12"/>
  <c r="E35" i="12"/>
  <c r="Q216" i="8" s="1"/>
  <c r="G38" i="12"/>
  <c r="G64" i="12"/>
  <c r="G68" i="12"/>
  <c r="E73" i="12"/>
  <c r="E77" i="12"/>
  <c r="E81" i="12"/>
  <c r="E49" i="12"/>
  <c r="E55" i="12"/>
  <c r="E59" i="12"/>
  <c r="G31" i="12"/>
  <c r="E23" i="12"/>
  <c r="G59" i="12"/>
  <c r="G81" i="12"/>
  <c r="G5" i="12"/>
  <c r="E29" i="12"/>
  <c r="Q215" i="8" s="1"/>
  <c r="G4" i="12"/>
  <c r="G35" i="12"/>
  <c r="G63" i="12"/>
  <c r="G62" i="12"/>
  <c r="G77" i="12"/>
  <c r="E53" i="12"/>
  <c r="Q219" i="8" s="1"/>
  <c r="E17" i="12"/>
  <c r="G25" i="12"/>
  <c r="G73" i="12"/>
  <c r="E79" i="12"/>
  <c r="G49" i="12"/>
  <c r="E10" i="12"/>
  <c r="Q213" i="8" s="1"/>
  <c r="G15" i="12"/>
  <c r="G13" i="12"/>
  <c r="G67" i="12"/>
  <c r="G55" i="12"/>
  <c r="E43" i="12"/>
  <c r="G11" i="12"/>
  <c r="G19" i="12"/>
  <c r="G30" i="12"/>
  <c r="G65" i="12"/>
  <c r="E75" i="12"/>
  <c r="E47" i="12"/>
  <c r="E57" i="12"/>
  <c r="E14" i="12"/>
  <c r="E18" i="12"/>
  <c r="E24" i="12"/>
  <c r="E39" i="12"/>
  <c r="E66" i="12"/>
  <c r="E72" i="12"/>
  <c r="R221" i="8" s="1"/>
  <c r="E76" i="12"/>
  <c r="E80" i="12"/>
  <c r="E48" i="12"/>
  <c r="E54" i="12"/>
  <c r="E58" i="12"/>
  <c r="E7" i="12"/>
  <c r="G37" i="12"/>
  <c r="E6" i="12"/>
  <c r="E12" i="12"/>
  <c r="E16" i="12"/>
  <c r="E22" i="12"/>
  <c r="Q214" i="8" s="1"/>
  <c r="E26" i="12"/>
  <c r="E32" i="12"/>
  <c r="E38" i="12"/>
  <c r="E64" i="12"/>
  <c r="E68" i="12"/>
  <c r="M60" i="12" s="1"/>
  <c r="BJ52" i="10" s="1"/>
  <c r="E74" i="12"/>
  <c r="E78" i="12"/>
  <c r="E46" i="12"/>
  <c r="Q218" i="8" s="1"/>
  <c r="E50" i="12"/>
  <c r="E56" i="12"/>
  <c r="E42" i="12"/>
  <c r="Q217" i="8" s="1"/>
  <c r="DQ18" i="1" l="1"/>
  <c r="DN20" i="1"/>
  <c r="V43" i="10"/>
  <c r="M69" i="12"/>
  <c r="BJ54" i="10" s="1"/>
  <c r="N216" i="8"/>
  <c r="O216" i="8" s="1"/>
  <c r="P216" i="8" s="1"/>
  <c r="P212" i="8"/>
  <c r="S221" i="8"/>
  <c r="T221" i="8" s="1"/>
  <c r="R215" i="8"/>
  <c r="S215" i="8" s="1"/>
  <c r="R218" i="8"/>
  <c r="R214" i="8"/>
  <c r="S214" i="8" s="1"/>
  <c r="T214" i="8" s="1"/>
  <c r="R216" i="8"/>
  <c r="DK18" i="1"/>
  <c r="V42" i="10"/>
  <c r="K217" i="8"/>
  <c r="L217" i="8" s="1"/>
  <c r="M217" i="8" s="1"/>
  <c r="N217" i="8" s="1"/>
  <c r="R217" i="8"/>
  <c r="S217" i="8" s="1"/>
  <c r="R213" i="8"/>
  <c r="S213" i="8" s="1"/>
  <c r="R220" i="8"/>
  <c r="S220" i="8" s="1"/>
  <c r="R212" i="8"/>
  <c r="X44" i="10"/>
  <c r="N213" i="8"/>
  <c r="O213" i="8" s="1"/>
  <c r="P213" i="8" s="1"/>
  <c r="R219" i="8"/>
  <c r="S219" i="8" s="1"/>
  <c r="J2" i="12"/>
  <c r="AT36" i="10" s="1"/>
  <c r="DP14" i="1"/>
  <c r="DM8" i="1"/>
  <c r="DP18" i="1" l="1"/>
  <c r="U221" i="8"/>
  <c r="V221" i="8" s="1"/>
  <c r="W221" i="8" s="1"/>
  <c r="T219" i="8"/>
  <c r="U219" i="8" s="1"/>
  <c r="V219" i="8" s="1"/>
  <c r="T217" i="8"/>
  <c r="T213" i="8"/>
  <c r="S212" i="8"/>
  <c r="T212" i="8" s="1"/>
  <c r="U212" i="8" s="1"/>
  <c r="T215" i="8"/>
  <c r="T220" i="8"/>
  <c r="O217" i="8"/>
  <c r="P217" i="8" s="1"/>
  <c r="S218" i="8"/>
  <c r="S216" i="8"/>
  <c r="U214" i="8"/>
  <c r="V214" i="8" s="1"/>
  <c r="W214" i="8" s="1"/>
  <c r="DM5" i="1"/>
  <c r="X221" i="8" l="1"/>
  <c r="Y221" i="8" s="1"/>
  <c r="Z221" i="8" s="1"/>
  <c r="AA221" i="8" s="1"/>
  <c r="W219" i="8"/>
  <c r="X219" i="8" s="1"/>
  <c r="U217" i="8"/>
  <c r="U213" i="8"/>
  <c r="V213" i="8" s="1"/>
  <c r="W213" i="8" s="1"/>
  <c r="X213" i="8" s="1"/>
  <c r="Y213" i="8" s="1"/>
  <c r="Z213" i="8" s="1"/>
  <c r="AA213" i="8" s="1"/>
  <c r="T218" i="8"/>
  <c r="U218" i="8" s="1"/>
  <c r="V212" i="8"/>
  <c r="W212" i="8" s="1"/>
  <c r="X212" i="8" s="1"/>
  <c r="U215" i="8"/>
  <c r="V215" i="8" s="1"/>
  <c r="X214" i="8"/>
  <c r="Y214" i="8" s="1"/>
  <c r="T216" i="8"/>
  <c r="U216" i="8" s="1"/>
  <c r="V216" i="8" s="1"/>
  <c r="W216" i="8" s="1"/>
  <c r="X216" i="8" s="1"/>
  <c r="U220" i="8"/>
  <c r="T54" i="8"/>
  <c r="U54" i="8"/>
  <c r="P54" i="8"/>
  <c r="E51" i="8"/>
  <c r="V56" i="8" s="1"/>
  <c r="W56" i="8" s="1"/>
  <c r="V194" i="8" l="1"/>
  <c r="V193" i="8"/>
  <c r="V195" i="8"/>
  <c r="Y219" i="8"/>
  <c r="Z219" i="8" s="1"/>
  <c r="AA219" i="8" s="1"/>
  <c r="V218" i="8"/>
  <c r="W218" i="8" s="1"/>
  <c r="Y212" i="8"/>
  <c r="Z212" i="8" s="1"/>
  <c r="AA212" i="8" s="1"/>
  <c r="W215" i="8"/>
  <c r="X215" i="8" s="1"/>
  <c r="Y215" i="8" s="1"/>
  <c r="Z215" i="8" s="1"/>
  <c r="AA215" i="8" s="1"/>
  <c r="Z214" i="8"/>
  <c r="AA214" i="8" s="1"/>
  <c r="Y216" i="8"/>
  <c r="Z216" i="8" s="1"/>
  <c r="AA216" i="8" s="1"/>
  <c r="V217" i="8"/>
  <c r="V220" i="8"/>
  <c r="W220" i="8" s="1"/>
  <c r="X220" i="8" s="1"/>
  <c r="Y220" i="8" s="1"/>
  <c r="Z220" i="8" s="1"/>
  <c r="AA220" i="8" s="1"/>
  <c r="V97" i="8"/>
  <c r="V85" i="8"/>
  <c r="V76" i="8"/>
  <c r="W76" i="8" s="1"/>
  <c r="V58" i="8"/>
  <c r="V62" i="8"/>
  <c r="W62" i="8" s="1"/>
  <c r="V184" i="8"/>
  <c r="V105" i="8"/>
  <c r="W105" i="8" s="1"/>
  <c r="V108" i="8"/>
  <c r="W108" i="8" s="1"/>
  <c r="V63" i="8"/>
  <c r="W63" i="8" s="1"/>
  <c r="V138" i="8"/>
  <c r="W138" i="8" s="1"/>
  <c r="V164" i="8"/>
  <c r="W164" i="8" s="1"/>
  <c r="V59" i="8"/>
  <c r="W59" i="8" s="1"/>
  <c r="V127" i="8"/>
  <c r="V148" i="8"/>
  <c r="W148" i="8" s="1"/>
  <c r="V178" i="8"/>
  <c r="W178" i="8" s="1"/>
  <c r="V114" i="8"/>
  <c r="W114" i="8" s="1"/>
  <c r="V122" i="8"/>
  <c r="W122" i="8" s="1"/>
  <c r="V190" i="8"/>
  <c r="W190" i="8" s="1"/>
  <c r="V128" i="8"/>
  <c r="W128" i="8" s="1"/>
  <c r="V109" i="8"/>
  <c r="W109" i="8" s="1"/>
  <c r="V135" i="8"/>
  <c r="W135" i="8" s="1"/>
  <c r="V143" i="8"/>
  <c r="W143" i="8" s="1"/>
  <c r="V151" i="8"/>
  <c r="W151" i="8" s="1"/>
  <c r="V159" i="8"/>
  <c r="W159" i="8" s="1"/>
  <c r="V170" i="8"/>
  <c r="W170" i="8" s="1"/>
  <c r="V130" i="8"/>
  <c r="W130" i="8" s="1"/>
  <c r="V142" i="8"/>
  <c r="W142" i="8" s="1"/>
  <c r="V150" i="8"/>
  <c r="W150" i="8" s="1"/>
  <c r="V158" i="8"/>
  <c r="V188" i="8"/>
  <c r="V103" i="8"/>
  <c r="W103" i="8" s="1"/>
  <c r="V111" i="8"/>
  <c r="W111" i="8" s="1"/>
  <c r="V100" i="8"/>
  <c r="W100" i="8" s="1"/>
  <c r="V123" i="8"/>
  <c r="W123" i="8" s="1"/>
  <c r="V102" i="8"/>
  <c r="W102" i="8" s="1"/>
  <c r="V110" i="8"/>
  <c r="W110" i="8" s="1"/>
  <c r="V133" i="8"/>
  <c r="W133" i="8" s="1"/>
  <c r="V149" i="8"/>
  <c r="W149" i="8" s="1"/>
  <c r="V157" i="8"/>
  <c r="W157" i="8" s="1"/>
  <c r="V75" i="8"/>
  <c r="W75" i="8" s="1"/>
  <c r="V104" i="8"/>
  <c r="W104" i="8" s="1"/>
  <c r="V134" i="8"/>
  <c r="W134" i="8" s="1"/>
  <c r="V172" i="8"/>
  <c r="W172" i="8" s="1"/>
  <c r="V124" i="8"/>
  <c r="W124" i="8" s="1"/>
  <c r="V152" i="8"/>
  <c r="W152" i="8" s="1"/>
  <c r="V113" i="8"/>
  <c r="W113" i="8" s="1"/>
  <c r="V131" i="8"/>
  <c r="W131" i="8" s="1"/>
  <c r="V139" i="8"/>
  <c r="W139" i="8" s="1"/>
  <c r="V147" i="8"/>
  <c r="W147" i="8" s="1"/>
  <c r="V155" i="8"/>
  <c r="W155" i="8" s="1"/>
  <c r="V163" i="8"/>
  <c r="W163" i="8" s="1"/>
  <c r="V126" i="8"/>
  <c r="W126" i="8" s="1"/>
  <c r="V146" i="8"/>
  <c r="W146" i="8" s="1"/>
  <c r="V154" i="8"/>
  <c r="W154" i="8" s="1"/>
  <c r="V162" i="8"/>
  <c r="V180" i="8"/>
  <c r="W180" i="8" s="1"/>
  <c r="V98" i="8"/>
  <c r="W98" i="8" s="1"/>
  <c r="V107" i="8"/>
  <c r="W107" i="8" s="1"/>
  <c r="V115" i="8"/>
  <c r="V119" i="8"/>
  <c r="W119" i="8" s="1"/>
  <c r="V106" i="8"/>
  <c r="W106" i="8" s="1"/>
  <c r="V71" i="8"/>
  <c r="W71" i="8" s="1"/>
  <c r="V141" i="8"/>
  <c r="W141" i="8" s="1"/>
  <c r="V153" i="8"/>
  <c r="W153" i="8" s="1"/>
  <c r="V161" i="8"/>
  <c r="W161" i="8" s="1"/>
  <c r="V116" i="8"/>
  <c r="W116" i="8" s="1"/>
  <c r="V182" i="8"/>
  <c r="W182" i="8" s="1"/>
  <c r="V101" i="8"/>
  <c r="W101" i="8" s="1"/>
  <c r="V132" i="8"/>
  <c r="W132" i="8" s="1"/>
  <c r="V174" i="8"/>
  <c r="W174" i="8" s="1"/>
  <c r="V140" i="8"/>
  <c r="W140" i="8" s="1"/>
  <c r="V156" i="8"/>
  <c r="W156" i="8" s="1"/>
  <c r="V168" i="8"/>
  <c r="W168" i="8" s="1"/>
  <c r="V84" i="8"/>
  <c r="W84" i="8" s="1"/>
  <c r="V176" i="8"/>
  <c r="W176" i="8" s="1"/>
  <c r="V144" i="8"/>
  <c r="W144" i="8" s="1"/>
  <c r="V117" i="8"/>
  <c r="W117" i="8" s="1"/>
  <c r="V69" i="8"/>
  <c r="W69" i="8" s="1"/>
  <c r="V92" i="8"/>
  <c r="W92" i="8" s="1"/>
  <c r="V175" i="8"/>
  <c r="W175" i="8" s="1"/>
  <c r="V93" i="8"/>
  <c r="W93" i="8" s="1"/>
  <c r="V189" i="8"/>
  <c r="W189" i="8" s="1"/>
  <c r="V74" i="8"/>
  <c r="W74" i="8" s="1"/>
  <c r="V72" i="8"/>
  <c r="W72" i="8" s="1"/>
  <c r="V78" i="8"/>
  <c r="W78" i="8" s="1"/>
  <c r="V77" i="8"/>
  <c r="W77" i="8" s="1"/>
  <c r="V125" i="8"/>
  <c r="W125" i="8" s="1"/>
  <c r="V94" i="8"/>
  <c r="W94" i="8" s="1"/>
  <c r="V120" i="8"/>
  <c r="W120" i="8" s="1"/>
  <c r="V96" i="8"/>
  <c r="W96" i="8" s="1"/>
  <c r="V88" i="8"/>
  <c r="W88" i="8" s="1"/>
  <c r="V87" i="8"/>
  <c r="W87" i="8" s="1"/>
  <c r="V171" i="8"/>
  <c r="W171" i="8" s="1"/>
  <c r="V183" i="8"/>
  <c r="W183" i="8" s="1"/>
  <c r="V86" i="8"/>
  <c r="W86" i="8" s="1"/>
  <c r="V145" i="8"/>
  <c r="W145" i="8" s="1"/>
  <c r="V73" i="8"/>
  <c r="W73" i="8" s="1"/>
  <c r="V166" i="8"/>
  <c r="W166" i="8" s="1"/>
  <c r="V112" i="8"/>
  <c r="W112" i="8" s="1"/>
  <c r="V99" i="8"/>
  <c r="W99" i="8" s="1"/>
  <c r="V67" i="8"/>
  <c r="W67" i="8" s="1"/>
  <c r="V83" i="8"/>
  <c r="W83" i="8" s="1"/>
  <c r="V81" i="8"/>
  <c r="W81" i="8" s="1"/>
  <c r="V79" i="8"/>
  <c r="W79" i="8" s="1"/>
  <c r="V186" i="8"/>
  <c r="W186" i="8" s="1"/>
  <c r="V160" i="8"/>
  <c r="W160" i="8" s="1"/>
  <c r="V61" i="8"/>
  <c r="W61" i="8" s="1"/>
  <c r="V179" i="8"/>
  <c r="W179" i="8" s="1"/>
  <c r="V191" i="8"/>
  <c r="W191" i="8" s="1"/>
  <c r="V95" i="8"/>
  <c r="W95" i="8" s="1"/>
  <c r="V185" i="8"/>
  <c r="W185" i="8" s="1"/>
  <c r="V80" i="8"/>
  <c r="W80" i="8" s="1"/>
  <c r="V137" i="8"/>
  <c r="W137" i="8" s="1"/>
  <c r="V192" i="8"/>
  <c r="W192" i="8" s="1"/>
  <c r="V90" i="8"/>
  <c r="W90" i="8" s="1"/>
  <c r="V129" i="8"/>
  <c r="W129" i="8" s="1"/>
  <c r="V121" i="8"/>
  <c r="W121" i="8" s="1"/>
  <c r="V60" i="8"/>
  <c r="W60" i="8" s="1"/>
  <c r="V136" i="8"/>
  <c r="W136" i="8" s="1"/>
  <c r="V165" i="8"/>
  <c r="W165" i="8" s="1"/>
  <c r="V68" i="8"/>
  <c r="W68" i="8" s="1"/>
  <c r="V177" i="8"/>
  <c r="W177" i="8" s="1"/>
  <c r="V64" i="8"/>
  <c r="W64" i="8" s="1"/>
  <c r="V187" i="8"/>
  <c r="W187" i="8" s="1"/>
  <c r="V169" i="8"/>
  <c r="W169" i="8" s="1"/>
  <c r="V167" i="8"/>
  <c r="W167" i="8" s="1"/>
  <c r="V65" i="8"/>
  <c r="W65" i="8" s="1"/>
  <c r="V118" i="8"/>
  <c r="W118" i="8" s="1"/>
  <c r="V57" i="8"/>
  <c r="W57" i="8" s="1"/>
  <c r="V89" i="8"/>
  <c r="W89" i="8" s="1"/>
  <c r="V181" i="8"/>
  <c r="W181" i="8" s="1"/>
  <c r="V66" i="8"/>
  <c r="W66" i="8" s="1"/>
  <c r="V91" i="8"/>
  <c r="W91" i="8" s="1"/>
  <c r="V173" i="8"/>
  <c r="W173" i="8" s="1"/>
  <c r="V82" i="8"/>
  <c r="W82" i="8" s="1"/>
  <c r="V70" i="8"/>
  <c r="W70" i="8" s="1"/>
  <c r="AL55" i="8"/>
  <c r="AJ55" i="8"/>
  <c r="AC55" i="8"/>
  <c r="E50" i="8"/>
  <c r="V5" i="9" s="1"/>
  <c r="AR55" i="8"/>
  <c r="T55" i="8"/>
  <c r="X56" i="8" l="1"/>
  <c r="Y56" i="8" s="1"/>
  <c r="X57" i="8"/>
  <c r="Y57" i="8" s="1"/>
  <c r="X61" i="8"/>
  <c r="Y61" i="8" s="1"/>
  <c r="X65" i="8"/>
  <c r="Y65" i="8" s="1"/>
  <c r="X69" i="8"/>
  <c r="Y69" i="8" s="1"/>
  <c r="X73" i="8"/>
  <c r="Y73" i="8" s="1"/>
  <c r="X77" i="8"/>
  <c r="Y77" i="8" s="1"/>
  <c r="X81" i="8"/>
  <c r="Y81" i="8" s="1"/>
  <c r="X85" i="8"/>
  <c r="Y85" i="8" s="1"/>
  <c r="X89" i="8"/>
  <c r="Y89" i="8" s="1"/>
  <c r="X93" i="8"/>
  <c r="Y93" i="8" s="1"/>
  <c r="X97" i="8"/>
  <c r="Y97" i="8" s="1"/>
  <c r="X101" i="8"/>
  <c r="Y101" i="8" s="1"/>
  <c r="X105" i="8"/>
  <c r="Y105" i="8" s="1"/>
  <c r="X109" i="8"/>
  <c r="Y109" i="8" s="1"/>
  <c r="X113" i="8"/>
  <c r="Y113" i="8" s="1"/>
  <c r="X117" i="8"/>
  <c r="Y117" i="8" s="1"/>
  <c r="X121" i="8"/>
  <c r="Y121" i="8" s="1"/>
  <c r="X125" i="8"/>
  <c r="Y125" i="8" s="1"/>
  <c r="X129" i="8"/>
  <c r="Y129" i="8" s="1"/>
  <c r="X133" i="8"/>
  <c r="Y133" i="8" s="1"/>
  <c r="X137" i="8"/>
  <c r="Y137" i="8" s="1"/>
  <c r="X141" i="8"/>
  <c r="Y141" i="8" s="1"/>
  <c r="X145" i="8"/>
  <c r="Y145" i="8" s="1"/>
  <c r="X149" i="8"/>
  <c r="Y149" i="8" s="1"/>
  <c r="X153" i="8"/>
  <c r="Y153" i="8" s="1"/>
  <c r="X157" i="8"/>
  <c r="Y157" i="8" s="1"/>
  <c r="X161" i="8"/>
  <c r="Y161" i="8" s="1"/>
  <c r="X165" i="8"/>
  <c r="Y165" i="8" s="1"/>
  <c r="X169" i="8"/>
  <c r="Y169" i="8" s="1"/>
  <c r="X173" i="8"/>
  <c r="Y173" i="8" s="1"/>
  <c r="X177" i="8"/>
  <c r="Y177" i="8" s="1"/>
  <c r="X181" i="8"/>
  <c r="Y181" i="8" s="1"/>
  <c r="X185" i="8"/>
  <c r="Y185" i="8" s="1"/>
  <c r="X189" i="8"/>
  <c r="Y189" i="8" s="1"/>
  <c r="X193" i="8"/>
  <c r="Y193" i="8" s="1"/>
  <c r="X58" i="8"/>
  <c r="Y58" i="8" s="1"/>
  <c r="X62" i="8"/>
  <c r="Y62" i="8" s="1"/>
  <c r="X66" i="8"/>
  <c r="Y66" i="8" s="1"/>
  <c r="X70" i="8"/>
  <c r="Y70" i="8" s="1"/>
  <c r="X74" i="8"/>
  <c r="Y74" i="8" s="1"/>
  <c r="X78" i="8"/>
  <c r="Y78" i="8" s="1"/>
  <c r="X82" i="8"/>
  <c r="Y82" i="8" s="1"/>
  <c r="X86" i="8"/>
  <c r="Y86" i="8" s="1"/>
  <c r="X90" i="8"/>
  <c r="Y90" i="8" s="1"/>
  <c r="AG90" i="8" s="1"/>
  <c r="X94" i="8"/>
  <c r="Y94" i="8" s="1"/>
  <c r="X98" i="8"/>
  <c r="Y98" i="8" s="1"/>
  <c r="X102" i="8"/>
  <c r="Y102" i="8" s="1"/>
  <c r="X106" i="8"/>
  <c r="Y106" i="8" s="1"/>
  <c r="X110" i="8"/>
  <c r="Y110" i="8" s="1"/>
  <c r="X114" i="8"/>
  <c r="Y114" i="8" s="1"/>
  <c r="X118" i="8"/>
  <c r="Y118" i="8" s="1"/>
  <c r="X122" i="8"/>
  <c r="Y122" i="8" s="1"/>
  <c r="X126" i="8"/>
  <c r="Y126" i="8" s="1"/>
  <c r="X130" i="8"/>
  <c r="Y130" i="8" s="1"/>
  <c r="X134" i="8"/>
  <c r="Y134" i="8" s="1"/>
  <c r="X138" i="8"/>
  <c r="Y138" i="8" s="1"/>
  <c r="X142" i="8"/>
  <c r="Y142" i="8" s="1"/>
  <c r="X146" i="8"/>
  <c r="Y146" i="8" s="1"/>
  <c r="X150" i="8"/>
  <c r="Y150" i="8" s="1"/>
  <c r="X154" i="8"/>
  <c r="Y154" i="8" s="1"/>
  <c r="X158" i="8"/>
  <c r="Y158" i="8" s="1"/>
  <c r="X162" i="8"/>
  <c r="Y162" i="8" s="1"/>
  <c r="X166" i="8"/>
  <c r="Y166" i="8" s="1"/>
  <c r="X170" i="8"/>
  <c r="Y170" i="8" s="1"/>
  <c r="X174" i="8"/>
  <c r="Y174" i="8" s="1"/>
  <c r="X178" i="8"/>
  <c r="Y178" i="8" s="1"/>
  <c r="X182" i="8"/>
  <c r="Y182" i="8" s="1"/>
  <c r="X186" i="8"/>
  <c r="Y186" i="8" s="1"/>
  <c r="X190" i="8"/>
  <c r="Y190" i="8" s="1"/>
  <c r="X194" i="8"/>
  <c r="Y194" i="8" s="1"/>
  <c r="X59" i="8"/>
  <c r="Y59" i="8" s="1"/>
  <c r="X63" i="8"/>
  <c r="Y63" i="8" s="1"/>
  <c r="X67" i="8"/>
  <c r="Y67" i="8" s="1"/>
  <c r="X71" i="8"/>
  <c r="Y71" i="8" s="1"/>
  <c r="X75" i="8"/>
  <c r="Y75" i="8" s="1"/>
  <c r="X79" i="8"/>
  <c r="Y79" i="8" s="1"/>
  <c r="X83" i="8"/>
  <c r="Y83" i="8" s="1"/>
  <c r="X87" i="8"/>
  <c r="Y87" i="8" s="1"/>
  <c r="X91" i="8"/>
  <c r="Y91" i="8" s="1"/>
  <c r="X95" i="8"/>
  <c r="Y95" i="8" s="1"/>
  <c r="X99" i="8"/>
  <c r="Y99" i="8" s="1"/>
  <c r="X103" i="8"/>
  <c r="Y103" i="8" s="1"/>
  <c r="X107" i="8"/>
  <c r="Y107" i="8" s="1"/>
  <c r="X111" i="8"/>
  <c r="Y111" i="8" s="1"/>
  <c r="X115" i="8"/>
  <c r="Y115" i="8" s="1"/>
  <c r="X60" i="8"/>
  <c r="Y60" i="8" s="1"/>
  <c r="X76" i="8"/>
  <c r="Y76" i="8" s="1"/>
  <c r="X92" i="8"/>
  <c r="Y92" i="8" s="1"/>
  <c r="X108" i="8"/>
  <c r="Y108" i="8" s="1"/>
  <c r="X120" i="8"/>
  <c r="Y120" i="8" s="1"/>
  <c r="X128" i="8"/>
  <c r="Y128" i="8" s="1"/>
  <c r="X136" i="8"/>
  <c r="Y136" i="8" s="1"/>
  <c r="X144" i="8"/>
  <c r="Y144" i="8" s="1"/>
  <c r="X152" i="8"/>
  <c r="Y152" i="8" s="1"/>
  <c r="X160" i="8"/>
  <c r="Y160" i="8" s="1"/>
  <c r="X168" i="8"/>
  <c r="Y168" i="8" s="1"/>
  <c r="X176" i="8"/>
  <c r="Y176" i="8" s="1"/>
  <c r="X184" i="8"/>
  <c r="Y184" i="8" s="1"/>
  <c r="X192" i="8"/>
  <c r="Y192" i="8" s="1"/>
  <c r="AR192" i="8" s="1"/>
  <c r="X64" i="8"/>
  <c r="Y64" i="8" s="1"/>
  <c r="X80" i="8"/>
  <c r="Y80" i="8" s="1"/>
  <c r="X96" i="8"/>
  <c r="Y96" i="8" s="1"/>
  <c r="X112" i="8"/>
  <c r="Y112" i="8" s="1"/>
  <c r="X123" i="8"/>
  <c r="Y123" i="8" s="1"/>
  <c r="X131" i="8"/>
  <c r="Y131" i="8" s="1"/>
  <c r="X139" i="8"/>
  <c r="Y139" i="8" s="1"/>
  <c r="X147" i="8"/>
  <c r="Y147" i="8" s="1"/>
  <c r="X155" i="8"/>
  <c r="Y155" i="8" s="1"/>
  <c r="X163" i="8"/>
  <c r="Y163" i="8" s="1"/>
  <c r="X171" i="8"/>
  <c r="Y171" i="8" s="1"/>
  <c r="X179" i="8"/>
  <c r="Y179" i="8" s="1"/>
  <c r="X187" i="8"/>
  <c r="Y187" i="8" s="1"/>
  <c r="X195" i="8"/>
  <c r="Y195" i="8" s="1"/>
  <c r="X68" i="8"/>
  <c r="Y68" i="8" s="1"/>
  <c r="X84" i="8"/>
  <c r="Y84" i="8" s="1"/>
  <c r="X100" i="8"/>
  <c r="Y100" i="8" s="1"/>
  <c r="X116" i="8"/>
  <c r="Y116" i="8" s="1"/>
  <c r="X124" i="8"/>
  <c r="Y124" i="8" s="1"/>
  <c r="X132" i="8"/>
  <c r="Y132" i="8" s="1"/>
  <c r="X140" i="8"/>
  <c r="Y140" i="8" s="1"/>
  <c r="X148" i="8"/>
  <c r="Y148" i="8" s="1"/>
  <c r="X156" i="8"/>
  <c r="Y156" i="8" s="1"/>
  <c r="X164" i="8"/>
  <c r="Y164" i="8" s="1"/>
  <c r="X172" i="8"/>
  <c r="Y172" i="8" s="1"/>
  <c r="X180" i="8"/>
  <c r="Y180" i="8" s="1"/>
  <c r="X188" i="8"/>
  <c r="Y188" i="8" s="1"/>
  <c r="X72" i="8"/>
  <c r="Y72" i="8" s="1"/>
  <c r="X88" i="8"/>
  <c r="Y88" i="8" s="1"/>
  <c r="X104" i="8"/>
  <c r="Y104" i="8" s="1"/>
  <c r="X119" i="8"/>
  <c r="Y119" i="8" s="1"/>
  <c r="X127" i="8"/>
  <c r="Y127" i="8" s="1"/>
  <c r="X135" i="8"/>
  <c r="Y135" i="8" s="1"/>
  <c r="X143" i="8"/>
  <c r="Y143" i="8" s="1"/>
  <c r="X151" i="8"/>
  <c r="Y151" i="8" s="1"/>
  <c r="X159" i="8"/>
  <c r="Y159" i="8" s="1"/>
  <c r="X167" i="8"/>
  <c r="Y167" i="8" s="1"/>
  <c r="X175" i="8"/>
  <c r="Y175" i="8" s="1"/>
  <c r="X183" i="8"/>
  <c r="Y183" i="8" s="1"/>
  <c r="X191" i="8"/>
  <c r="Y191" i="8" s="1"/>
  <c r="X218" i="8"/>
  <c r="Y218" i="8" s="1"/>
  <c r="Z218" i="8" s="1"/>
  <c r="AA218" i="8" s="1"/>
  <c r="AB219" i="8"/>
  <c r="W217" i="8"/>
  <c r="X217" i="8" s="1"/>
  <c r="Y217" i="8" s="1"/>
  <c r="Z217" i="8" s="1"/>
  <c r="AA217" i="8" s="1"/>
  <c r="AB213" i="8"/>
  <c r="AB212" i="8"/>
  <c r="AC212" i="8" s="1"/>
  <c r="AB221" i="8"/>
  <c r="AB220" i="8"/>
  <c r="AB216" i="8"/>
  <c r="AG10" i="9"/>
  <c r="V10" i="9"/>
  <c r="AE55" i="8"/>
  <c r="AQ132" i="8" l="1"/>
  <c r="AR132" i="8"/>
  <c r="AQ76" i="8"/>
  <c r="AR76" i="8"/>
  <c r="AQ134" i="8"/>
  <c r="AR134" i="8"/>
  <c r="AQ145" i="8"/>
  <c r="AR145" i="8"/>
  <c r="AQ151" i="8"/>
  <c r="AR151" i="8"/>
  <c r="AQ188" i="8"/>
  <c r="AV144" i="9" s="1"/>
  <c r="AR188" i="8"/>
  <c r="BB144" i="9" s="1"/>
  <c r="AQ152" i="8"/>
  <c r="AR152" i="8"/>
  <c r="AQ87" i="8"/>
  <c r="AR87" i="8"/>
  <c r="AQ173" i="8"/>
  <c r="AR173" i="8"/>
  <c r="AQ143" i="8"/>
  <c r="AR143" i="8"/>
  <c r="AQ144" i="8"/>
  <c r="AR144" i="8"/>
  <c r="AQ83" i="8"/>
  <c r="AR83" i="8"/>
  <c r="AQ190" i="8"/>
  <c r="AV146" i="9" s="1"/>
  <c r="AR190" i="8"/>
  <c r="BB146" i="9" s="1"/>
  <c r="AQ169" i="8"/>
  <c r="AR169" i="8"/>
  <c r="AQ73" i="8"/>
  <c r="AR73" i="8"/>
  <c r="AQ100" i="8"/>
  <c r="AR100" i="8"/>
  <c r="AQ64" i="8"/>
  <c r="AR64" i="8"/>
  <c r="AQ79" i="8"/>
  <c r="AV35" i="9" s="1"/>
  <c r="AR79" i="8"/>
  <c r="AQ186" i="8"/>
  <c r="AV142" i="9" s="1"/>
  <c r="AR186" i="8"/>
  <c r="BB142" i="9" s="1"/>
  <c r="AQ58" i="8"/>
  <c r="AR58" i="8"/>
  <c r="AQ101" i="8"/>
  <c r="AR101" i="8"/>
  <c r="AQ69" i="8"/>
  <c r="AR69" i="8"/>
  <c r="AQ191" i="8"/>
  <c r="AV147" i="9" s="1"/>
  <c r="AR191" i="8"/>
  <c r="BB147" i="9" s="1"/>
  <c r="AQ127" i="8"/>
  <c r="AR127" i="8"/>
  <c r="AQ164" i="8"/>
  <c r="AR164" i="8"/>
  <c r="AQ84" i="8"/>
  <c r="AR84" i="8"/>
  <c r="AQ147" i="8"/>
  <c r="AR147" i="8"/>
  <c r="AQ128" i="8"/>
  <c r="AR128" i="8"/>
  <c r="AQ107" i="8"/>
  <c r="AR107" i="8"/>
  <c r="AQ75" i="8"/>
  <c r="AR75" i="8"/>
  <c r="AQ182" i="8"/>
  <c r="AR182" i="8"/>
  <c r="AQ150" i="8"/>
  <c r="AR150" i="8"/>
  <c r="AQ118" i="8"/>
  <c r="AR118" i="8"/>
  <c r="AQ86" i="8"/>
  <c r="AR86" i="8"/>
  <c r="AQ161" i="8"/>
  <c r="AR161" i="8"/>
  <c r="AQ129" i="8"/>
  <c r="AR129" i="8"/>
  <c r="AQ97" i="8"/>
  <c r="AR97" i="8"/>
  <c r="AQ65" i="8"/>
  <c r="AR65" i="8"/>
  <c r="AQ159" i="8"/>
  <c r="AR159" i="8"/>
  <c r="AQ160" i="8"/>
  <c r="AR160" i="8"/>
  <c r="AQ166" i="8"/>
  <c r="AR166" i="8"/>
  <c r="AQ70" i="8"/>
  <c r="AR70" i="8"/>
  <c r="AQ113" i="8"/>
  <c r="AR113" i="8"/>
  <c r="AQ171" i="8"/>
  <c r="AR171" i="8"/>
  <c r="AQ162" i="8"/>
  <c r="AR162" i="8"/>
  <c r="AQ141" i="8"/>
  <c r="AR141" i="8"/>
  <c r="AQ163" i="8"/>
  <c r="AR163" i="8"/>
  <c r="AQ158" i="8"/>
  <c r="AR158" i="8"/>
  <c r="AQ62" i="8"/>
  <c r="AR62" i="8"/>
  <c r="AQ135" i="8"/>
  <c r="AR135" i="8"/>
  <c r="AQ136" i="8"/>
  <c r="AR136" i="8"/>
  <c r="AQ122" i="8"/>
  <c r="AR122" i="8"/>
  <c r="AQ165" i="8"/>
  <c r="AR165" i="8"/>
  <c r="AQ183" i="8"/>
  <c r="AR183" i="8"/>
  <c r="AQ119" i="8"/>
  <c r="AR119" i="8"/>
  <c r="AQ156" i="8"/>
  <c r="AR156" i="8"/>
  <c r="AQ68" i="8"/>
  <c r="AR68" i="8"/>
  <c r="AQ139" i="8"/>
  <c r="AR139" i="8"/>
  <c r="AQ184" i="8"/>
  <c r="AR184" i="8"/>
  <c r="AQ120" i="8"/>
  <c r="AR120" i="8"/>
  <c r="AQ103" i="8"/>
  <c r="AR103" i="8"/>
  <c r="AQ71" i="8"/>
  <c r="AR71" i="8"/>
  <c r="AQ178" i="8"/>
  <c r="AR178" i="8"/>
  <c r="AQ146" i="8"/>
  <c r="AR146" i="8"/>
  <c r="AQ114" i="8"/>
  <c r="AR114" i="8"/>
  <c r="AQ82" i="8"/>
  <c r="AR82" i="8"/>
  <c r="AQ189" i="8"/>
  <c r="AV145" i="9" s="1"/>
  <c r="AR189" i="8"/>
  <c r="BB145" i="9" s="1"/>
  <c r="AQ157" i="8"/>
  <c r="AR157" i="8"/>
  <c r="AQ125" i="8"/>
  <c r="AR125" i="8"/>
  <c r="AQ93" i="8"/>
  <c r="AR93" i="8"/>
  <c r="AQ61" i="8"/>
  <c r="AR61" i="8"/>
  <c r="AQ179" i="8"/>
  <c r="AR179" i="8"/>
  <c r="AQ102" i="8"/>
  <c r="AR102" i="8"/>
  <c r="AQ124" i="8"/>
  <c r="AR124" i="8"/>
  <c r="AQ130" i="8"/>
  <c r="AR130" i="8"/>
  <c r="AQ66" i="8"/>
  <c r="AR66" i="8"/>
  <c r="AQ77" i="8"/>
  <c r="AR77" i="8"/>
  <c r="AQ180" i="8"/>
  <c r="AR180" i="8"/>
  <c r="AQ115" i="8"/>
  <c r="AR115" i="8"/>
  <c r="AQ94" i="8"/>
  <c r="AR94" i="8"/>
  <c r="AQ105" i="8"/>
  <c r="AR105" i="8"/>
  <c r="AQ172" i="8"/>
  <c r="AR172" i="8"/>
  <c r="AQ111" i="8"/>
  <c r="AR111" i="8"/>
  <c r="AQ90" i="8"/>
  <c r="AR90" i="8"/>
  <c r="AQ175" i="8"/>
  <c r="AR175" i="8"/>
  <c r="AQ148" i="8"/>
  <c r="AR148" i="8"/>
  <c r="AQ131" i="8"/>
  <c r="AR131" i="8"/>
  <c r="AQ176" i="8"/>
  <c r="AR176" i="8"/>
  <c r="AQ108" i="8"/>
  <c r="AR108" i="8"/>
  <c r="AQ99" i="8"/>
  <c r="AR99" i="8"/>
  <c r="AQ67" i="8"/>
  <c r="AR67" i="8"/>
  <c r="AQ174" i="8"/>
  <c r="AR174" i="8"/>
  <c r="AQ142" i="8"/>
  <c r="AR142" i="8"/>
  <c r="AQ110" i="8"/>
  <c r="AR110" i="8"/>
  <c r="AQ78" i="8"/>
  <c r="AR78" i="8"/>
  <c r="AQ185" i="8"/>
  <c r="AV141" i="9" s="1"/>
  <c r="AR185" i="8"/>
  <c r="BB141" i="9" s="1"/>
  <c r="AQ153" i="8"/>
  <c r="AR153" i="8"/>
  <c r="AQ121" i="8"/>
  <c r="AR121" i="8"/>
  <c r="AQ89" i="8"/>
  <c r="AR89" i="8"/>
  <c r="AQ57" i="8"/>
  <c r="AR57" i="8"/>
  <c r="AQ72" i="8"/>
  <c r="AR72" i="8"/>
  <c r="AQ112" i="8"/>
  <c r="AR112" i="8"/>
  <c r="AQ91" i="8"/>
  <c r="AR91" i="8"/>
  <c r="AQ59" i="8"/>
  <c r="AR59" i="8"/>
  <c r="AQ177" i="8"/>
  <c r="AR177" i="8"/>
  <c r="AQ81" i="8"/>
  <c r="AR81" i="8"/>
  <c r="AQ96" i="8"/>
  <c r="AR96" i="8"/>
  <c r="AQ60" i="8"/>
  <c r="AR60" i="8"/>
  <c r="AQ98" i="8"/>
  <c r="AR98" i="8"/>
  <c r="AQ109" i="8"/>
  <c r="AR109" i="8"/>
  <c r="AQ116" i="8"/>
  <c r="AR116" i="8"/>
  <c r="AQ80" i="8"/>
  <c r="AR80" i="8"/>
  <c r="AQ126" i="8"/>
  <c r="AR126" i="8"/>
  <c r="AQ137" i="8"/>
  <c r="AR137" i="8"/>
  <c r="AQ155" i="8"/>
  <c r="AR155" i="8"/>
  <c r="AQ154" i="8"/>
  <c r="AR154" i="8"/>
  <c r="AQ133" i="8"/>
  <c r="AR133" i="8"/>
  <c r="AQ104" i="8"/>
  <c r="AR104" i="8"/>
  <c r="AQ167" i="8"/>
  <c r="AR167" i="8"/>
  <c r="AQ88" i="8"/>
  <c r="AR88" i="8"/>
  <c r="AQ140" i="8"/>
  <c r="AR140" i="8"/>
  <c r="AQ187" i="8"/>
  <c r="AV143" i="9" s="1"/>
  <c r="AR187" i="8"/>
  <c r="BB143" i="9" s="1"/>
  <c r="AQ123" i="8"/>
  <c r="AR123" i="8"/>
  <c r="AQ168" i="8"/>
  <c r="AR168" i="8"/>
  <c r="AQ92" i="8"/>
  <c r="AR92" i="8"/>
  <c r="AQ95" i="8"/>
  <c r="AR95" i="8"/>
  <c r="AQ63" i="8"/>
  <c r="AR63" i="8"/>
  <c r="AQ170" i="8"/>
  <c r="AR170" i="8"/>
  <c r="AQ138" i="8"/>
  <c r="AR138" i="8"/>
  <c r="AQ106" i="8"/>
  <c r="AR106" i="8"/>
  <c r="AQ74" i="8"/>
  <c r="AR74" i="8"/>
  <c r="AQ181" i="8"/>
  <c r="AR181" i="8"/>
  <c r="AQ149" i="8"/>
  <c r="AR149" i="8"/>
  <c r="AQ117" i="8"/>
  <c r="AR117" i="8"/>
  <c r="AQ85" i="8"/>
  <c r="AR85" i="8"/>
  <c r="AQ56" i="8"/>
  <c r="AR56" i="8"/>
  <c r="AP192" i="8"/>
  <c r="AQ192" i="8"/>
  <c r="AP117" i="8"/>
  <c r="AR73" i="9" s="1"/>
  <c r="AP111" i="8"/>
  <c r="AR67" i="9" s="1"/>
  <c r="AP103" i="8"/>
  <c r="AR59" i="9" s="1"/>
  <c r="AP185" i="8"/>
  <c r="AR141" i="9" s="1"/>
  <c r="AP177" i="8"/>
  <c r="AR133" i="9" s="1"/>
  <c r="AP169" i="8"/>
  <c r="AR125" i="9" s="1"/>
  <c r="AP161" i="8"/>
  <c r="AR117" i="9" s="1"/>
  <c r="AP153" i="8"/>
  <c r="AR109" i="9" s="1"/>
  <c r="AP145" i="8"/>
  <c r="AR101" i="9" s="1"/>
  <c r="AP137" i="8"/>
  <c r="AR93" i="9" s="1"/>
  <c r="AP129" i="8"/>
  <c r="AR85" i="9" s="1"/>
  <c r="AP64" i="8"/>
  <c r="AR20" i="9" s="1"/>
  <c r="AP76" i="8"/>
  <c r="AR32" i="9" s="1"/>
  <c r="AP74" i="8"/>
  <c r="AR30" i="9" s="1"/>
  <c r="AP184" i="8"/>
  <c r="AR140" i="9" s="1"/>
  <c r="AP176" i="8"/>
  <c r="AR132" i="9" s="1"/>
  <c r="AP168" i="8"/>
  <c r="AR124" i="9" s="1"/>
  <c r="AP90" i="8"/>
  <c r="AR46" i="9" s="1"/>
  <c r="AP62" i="8"/>
  <c r="AR18" i="9" s="1"/>
  <c r="AP156" i="8"/>
  <c r="AR112" i="9" s="1"/>
  <c r="AP148" i="8"/>
  <c r="AR104" i="9" s="1"/>
  <c r="AP140" i="8"/>
  <c r="AR96" i="9" s="1"/>
  <c r="AP132" i="8"/>
  <c r="AR88" i="9" s="1"/>
  <c r="AP124" i="8"/>
  <c r="AR80" i="9" s="1"/>
  <c r="AP116" i="8"/>
  <c r="AR72" i="9" s="1"/>
  <c r="AP108" i="8"/>
  <c r="AR64" i="9" s="1"/>
  <c r="AP98" i="8"/>
  <c r="AR54" i="9" s="1"/>
  <c r="AP99" i="8"/>
  <c r="AR55" i="9" s="1"/>
  <c r="AP91" i="8"/>
  <c r="AR47" i="9" s="1"/>
  <c r="AP83" i="8"/>
  <c r="AR39" i="9" s="1"/>
  <c r="AP75" i="8"/>
  <c r="AR31" i="9" s="1"/>
  <c r="AP65" i="8"/>
  <c r="AR21" i="9" s="1"/>
  <c r="AP57" i="8"/>
  <c r="AR13" i="9" s="1"/>
  <c r="AP115" i="8"/>
  <c r="AR71" i="9" s="1"/>
  <c r="AP109" i="8"/>
  <c r="AR65" i="9" s="1"/>
  <c r="AP191" i="8"/>
  <c r="AR147" i="9" s="1"/>
  <c r="AP183" i="8"/>
  <c r="AR139" i="9" s="1"/>
  <c r="AP175" i="8"/>
  <c r="AR131" i="9" s="1"/>
  <c r="AP167" i="8"/>
  <c r="AR123" i="9" s="1"/>
  <c r="AP159" i="8"/>
  <c r="AR115" i="9" s="1"/>
  <c r="AP151" i="8"/>
  <c r="AR107" i="9" s="1"/>
  <c r="AP143" i="8"/>
  <c r="AR99" i="9" s="1"/>
  <c r="AP135" i="8"/>
  <c r="AR91" i="9" s="1"/>
  <c r="AP127" i="8"/>
  <c r="AR83" i="9" s="1"/>
  <c r="AP125" i="8"/>
  <c r="AR81" i="9" s="1"/>
  <c r="AP72" i="8"/>
  <c r="AR28" i="9" s="1"/>
  <c r="AP66" i="8"/>
  <c r="AR22" i="9" s="1"/>
  <c r="AP190" i="8"/>
  <c r="AR146" i="9" s="1"/>
  <c r="AP182" i="8"/>
  <c r="AR138" i="9" s="1"/>
  <c r="AP174" i="8"/>
  <c r="AR130" i="9" s="1"/>
  <c r="AP166" i="8"/>
  <c r="AR122" i="9" s="1"/>
  <c r="AP86" i="8"/>
  <c r="AR42" i="9" s="1"/>
  <c r="AP162" i="8"/>
  <c r="AR118" i="9" s="1"/>
  <c r="AP154" i="8"/>
  <c r="AR110" i="9" s="1"/>
  <c r="AP146" i="8"/>
  <c r="AR102" i="9" s="1"/>
  <c r="AP138" i="8"/>
  <c r="AR94" i="9" s="1"/>
  <c r="AP130" i="8"/>
  <c r="AR86" i="9" s="1"/>
  <c r="AP122" i="8"/>
  <c r="AR78" i="9" s="1"/>
  <c r="AP114" i="8"/>
  <c r="AR70" i="9" s="1"/>
  <c r="AP106" i="8"/>
  <c r="AR62" i="9" s="1"/>
  <c r="AP60" i="8"/>
  <c r="AR16" i="9" s="1"/>
  <c r="AP97" i="8"/>
  <c r="AR53" i="9" s="1"/>
  <c r="AP89" i="8"/>
  <c r="AR45" i="9" s="1"/>
  <c r="AP81" i="8"/>
  <c r="AR37" i="9" s="1"/>
  <c r="AP73" i="8"/>
  <c r="AR29" i="9" s="1"/>
  <c r="AP63" i="8"/>
  <c r="AR19" i="9" s="1"/>
  <c r="AP121" i="8"/>
  <c r="AR77" i="9" s="1"/>
  <c r="AP92" i="8"/>
  <c r="AR48" i="9" s="1"/>
  <c r="AP107" i="8"/>
  <c r="AR63" i="9" s="1"/>
  <c r="AP189" i="8"/>
  <c r="AR145" i="9" s="1"/>
  <c r="AP181" i="8"/>
  <c r="AR137" i="9" s="1"/>
  <c r="AP173" i="8"/>
  <c r="AR129" i="9" s="1"/>
  <c r="AP165" i="8"/>
  <c r="AR121" i="9" s="1"/>
  <c r="AP157" i="8"/>
  <c r="AR113" i="9" s="1"/>
  <c r="AP149" i="8"/>
  <c r="AR105" i="9" s="1"/>
  <c r="AP141" i="8"/>
  <c r="AR97" i="9" s="1"/>
  <c r="AP133" i="8"/>
  <c r="AR89" i="9" s="1"/>
  <c r="AP96" i="8"/>
  <c r="AR52" i="9" s="1"/>
  <c r="AP123" i="8"/>
  <c r="AR79" i="9" s="1"/>
  <c r="AP88" i="8"/>
  <c r="AR44" i="9" s="1"/>
  <c r="AP80" i="8"/>
  <c r="AR36" i="9" s="1"/>
  <c r="AP188" i="8"/>
  <c r="AR144" i="9" s="1"/>
  <c r="AP180" i="8"/>
  <c r="AR136" i="9" s="1"/>
  <c r="AP172" i="8"/>
  <c r="AR128" i="9" s="1"/>
  <c r="AP164" i="8"/>
  <c r="AR120" i="9" s="1"/>
  <c r="AP78" i="8"/>
  <c r="AR34" i="9" s="1"/>
  <c r="AP160" i="8"/>
  <c r="AR116" i="9" s="1"/>
  <c r="AP152" i="8"/>
  <c r="AR108" i="9" s="1"/>
  <c r="AP144" i="8"/>
  <c r="AR100" i="9" s="1"/>
  <c r="AP136" i="8"/>
  <c r="AR92" i="9" s="1"/>
  <c r="AP128" i="8"/>
  <c r="AR84" i="9" s="1"/>
  <c r="AP120" i="8"/>
  <c r="AR76" i="9" s="1"/>
  <c r="AP112" i="8"/>
  <c r="AR68" i="9" s="1"/>
  <c r="AP104" i="8"/>
  <c r="AR60" i="9" s="1"/>
  <c r="AP58" i="8"/>
  <c r="AR14" i="9" s="1"/>
  <c r="AP95" i="8"/>
  <c r="AR51" i="9" s="1"/>
  <c r="AP87" i="8"/>
  <c r="AR43" i="9" s="1"/>
  <c r="AP79" i="8"/>
  <c r="AR35" i="9" s="1"/>
  <c r="AP69" i="8"/>
  <c r="AR25" i="9" s="1"/>
  <c r="AP61" i="8"/>
  <c r="AR17" i="9" s="1"/>
  <c r="AP119" i="8"/>
  <c r="AR75" i="9" s="1"/>
  <c r="AP113" i="8"/>
  <c r="AR69" i="9" s="1"/>
  <c r="AP105" i="8"/>
  <c r="AR61" i="9" s="1"/>
  <c r="AP187" i="8"/>
  <c r="AR143" i="9" s="1"/>
  <c r="AP179" i="8"/>
  <c r="AR135" i="9" s="1"/>
  <c r="AP171" i="8"/>
  <c r="AR127" i="9" s="1"/>
  <c r="AP163" i="8"/>
  <c r="AR119" i="9" s="1"/>
  <c r="AP155" i="8"/>
  <c r="AR111" i="9" s="1"/>
  <c r="AP147" i="8"/>
  <c r="AR103" i="9" s="1"/>
  <c r="AP139" i="8"/>
  <c r="AR95" i="9" s="1"/>
  <c r="AP131" i="8"/>
  <c r="AR87" i="9" s="1"/>
  <c r="AP84" i="8"/>
  <c r="AR40" i="9" s="1"/>
  <c r="AP100" i="8"/>
  <c r="AR56" i="9" s="1"/>
  <c r="AP82" i="8"/>
  <c r="AR38" i="9" s="1"/>
  <c r="AP68" i="8"/>
  <c r="AR24" i="9" s="1"/>
  <c r="AP186" i="8"/>
  <c r="AR142" i="9" s="1"/>
  <c r="AP178" i="8"/>
  <c r="AR134" i="9" s="1"/>
  <c r="AP170" i="8"/>
  <c r="AR126" i="9" s="1"/>
  <c r="AP94" i="8"/>
  <c r="AR50" i="9" s="1"/>
  <c r="AP70" i="8"/>
  <c r="AR26" i="9" s="1"/>
  <c r="AP158" i="8"/>
  <c r="AR114" i="9" s="1"/>
  <c r="AP150" i="8"/>
  <c r="AR106" i="9" s="1"/>
  <c r="AP142" i="8"/>
  <c r="AR98" i="9" s="1"/>
  <c r="AP134" i="8"/>
  <c r="AR90" i="9" s="1"/>
  <c r="AP126" i="8"/>
  <c r="AR82" i="9" s="1"/>
  <c r="AP118" i="8"/>
  <c r="AR74" i="9" s="1"/>
  <c r="AP110" i="8"/>
  <c r="AR66" i="9" s="1"/>
  <c r="AP102" i="8"/>
  <c r="AR58" i="9" s="1"/>
  <c r="AP101" i="8"/>
  <c r="AR57" i="9" s="1"/>
  <c r="AP93" i="8"/>
  <c r="AR49" i="9" s="1"/>
  <c r="AP85" i="8"/>
  <c r="AR41" i="9" s="1"/>
  <c r="AP77" i="8"/>
  <c r="AR33" i="9" s="1"/>
  <c r="AP67" i="8"/>
  <c r="AR23" i="9" s="1"/>
  <c r="AP59" i="8"/>
  <c r="AR15" i="9" s="1"/>
  <c r="AP71" i="8"/>
  <c r="AR27" i="9" s="1"/>
  <c r="AA72" i="8"/>
  <c r="AN143" i="8"/>
  <c r="AO143" i="8"/>
  <c r="AN106" i="8"/>
  <c r="AO106" i="8"/>
  <c r="AN189" i="8"/>
  <c r="AG145" i="9" s="1"/>
  <c r="AO189" i="8"/>
  <c r="AN173" i="8"/>
  <c r="AO173" i="8"/>
  <c r="AN157" i="8"/>
  <c r="AO157" i="8"/>
  <c r="AN141" i="8"/>
  <c r="AO141" i="8"/>
  <c r="AN96" i="8"/>
  <c r="AO96" i="8"/>
  <c r="AN88" i="8"/>
  <c r="AO88" i="8"/>
  <c r="AN188" i="8"/>
  <c r="AG144" i="9" s="1"/>
  <c r="AO188" i="8"/>
  <c r="AN172" i="8"/>
  <c r="AO172" i="8"/>
  <c r="AN78" i="8"/>
  <c r="AO78" i="8"/>
  <c r="AN152" i="8"/>
  <c r="AO152" i="8"/>
  <c r="AN136" i="8"/>
  <c r="AO136" i="8"/>
  <c r="AN120" i="8"/>
  <c r="AO120" i="8"/>
  <c r="AN104" i="8"/>
  <c r="AO104" i="8"/>
  <c r="AN95" i="8"/>
  <c r="AO95" i="8"/>
  <c r="AN79" i="8"/>
  <c r="AO79" i="8"/>
  <c r="AN63" i="8"/>
  <c r="AO63" i="8"/>
  <c r="AN191" i="8"/>
  <c r="AG147" i="9" s="1"/>
  <c r="AO191" i="8"/>
  <c r="AN154" i="8"/>
  <c r="AO154" i="8"/>
  <c r="AN81" i="8"/>
  <c r="AO81" i="8"/>
  <c r="AN113" i="8"/>
  <c r="AO113" i="8"/>
  <c r="AN187" i="8"/>
  <c r="AG143" i="9" s="1"/>
  <c r="AO187" i="8"/>
  <c r="AN171" i="8"/>
  <c r="AO171" i="8"/>
  <c r="AN155" i="8"/>
  <c r="AO155" i="8"/>
  <c r="AN139" i="8"/>
  <c r="AO139" i="8"/>
  <c r="AN84" i="8"/>
  <c r="AO84" i="8"/>
  <c r="AN82" i="8"/>
  <c r="AO82" i="8"/>
  <c r="AN186" i="8"/>
  <c r="AG142" i="9" s="1"/>
  <c r="AO186" i="8"/>
  <c r="AN170" i="8"/>
  <c r="AO170" i="8"/>
  <c r="AN70" i="8"/>
  <c r="AO70" i="8"/>
  <c r="AN150" i="8"/>
  <c r="AO150" i="8"/>
  <c r="AN134" i="8"/>
  <c r="AO134" i="8"/>
  <c r="AN118" i="8"/>
  <c r="AO118" i="8"/>
  <c r="AN102" i="8"/>
  <c r="AO102" i="8"/>
  <c r="AN93" i="8"/>
  <c r="AO93" i="8"/>
  <c r="AN77" i="8"/>
  <c r="AO77" i="8"/>
  <c r="AN61" i="8"/>
  <c r="AO61" i="8"/>
  <c r="AN72" i="8"/>
  <c r="AO72" i="8"/>
  <c r="AN86" i="8"/>
  <c r="AO86" i="8"/>
  <c r="AN65" i="8"/>
  <c r="AO65" i="8"/>
  <c r="AN111" i="8"/>
  <c r="AO111" i="8"/>
  <c r="AN185" i="8"/>
  <c r="AG141" i="9" s="1"/>
  <c r="AO185" i="8"/>
  <c r="AN169" i="8"/>
  <c r="AO169" i="8"/>
  <c r="AN153" i="8"/>
  <c r="AO153" i="8"/>
  <c r="AN137" i="8"/>
  <c r="AO137" i="8"/>
  <c r="AN64" i="8"/>
  <c r="AO64" i="8"/>
  <c r="AN74" i="8"/>
  <c r="AO74" i="8"/>
  <c r="AN184" i="8"/>
  <c r="AO184" i="8"/>
  <c r="AN168" i="8"/>
  <c r="AO168" i="8"/>
  <c r="AN62" i="8"/>
  <c r="AO62" i="8"/>
  <c r="AN148" i="8"/>
  <c r="AO148" i="8"/>
  <c r="AN132" i="8"/>
  <c r="AO132" i="8"/>
  <c r="AN116" i="8"/>
  <c r="AO116" i="8"/>
  <c r="AN98" i="8"/>
  <c r="AO98" i="8"/>
  <c r="AN91" i="8"/>
  <c r="AO91" i="8"/>
  <c r="AN75" i="8"/>
  <c r="AO75" i="8"/>
  <c r="AN59" i="8"/>
  <c r="AO59" i="8"/>
  <c r="AN175" i="8"/>
  <c r="AO175" i="8"/>
  <c r="AN190" i="8"/>
  <c r="AG146" i="9" s="1"/>
  <c r="AO190" i="8"/>
  <c r="AN97" i="8"/>
  <c r="AO97" i="8"/>
  <c r="AN109" i="8"/>
  <c r="AO109" i="8"/>
  <c r="AN183" i="8"/>
  <c r="AO183" i="8"/>
  <c r="AN167" i="8"/>
  <c r="AO167" i="8"/>
  <c r="AN151" i="8"/>
  <c r="AO151" i="8"/>
  <c r="AN135" i="8"/>
  <c r="AO135" i="8"/>
  <c r="AN125" i="8"/>
  <c r="AO125" i="8"/>
  <c r="AN66" i="8"/>
  <c r="AO66" i="8"/>
  <c r="AN182" i="8"/>
  <c r="AO182" i="8"/>
  <c r="AN166" i="8"/>
  <c r="AO166" i="8"/>
  <c r="AN162" i="8"/>
  <c r="AO162" i="8"/>
  <c r="AN146" i="8"/>
  <c r="AO146" i="8"/>
  <c r="AN130" i="8"/>
  <c r="AO130" i="8"/>
  <c r="AN114" i="8"/>
  <c r="AO114" i="8"/>
  <c r="AN60" i="8"/>
  <c r="AO60" i="8"/>
  <c r="AN89" i="8"/>
  <c r="AO89" i="8"/>
  <c r="AN73" i="8"/>
  <c r="AO73" i="8"/>
  <c r="AN57" i="8"/>
  <c r="AO57" i="8"/>
  <c r="AN159" i="8"/>
  <c r="AO159" i="8"/>
  <c r="AN122" i="8"/>
  <c r="AO122" i="8"/>
  <c r="AN92" i="8"/>
  <c r="AO92" i="8"/>
  <c r="AN121" i="8"/>
  <c r="AO121" i="8"/>
  <c r="AN107" i="8"/>
  <c r="AO107" i="8"/>
  <c r="AN181" i="8"/>
  <c r="AO181" i="8"/>
  <c r="AN165" i="8"/>
  <c r="AO165" i="8"/>
  <c r="AN149" i="8"/>
  <c r="AO149" i="8"/>
  <c r="AN133" i="8"/>
  <c r="AO133" i="8"/>
  <c r="AN123" i="8"/>
  <c r="AO123" i="8"/>
  <c r="AN80" i="8"/>
  <c r="AO80" i="8"/>
  <c r="AN180" i="8"/>
  <c r="AO180" i="8"/>
  <c r="AN164" i="8"/>
  <c r="AO164" i="8"/>
  <c r="AN160" i="8"/>
  <c r="AO160" i="8"/>
  <c r="AN144" i="8"/>
  <c r="AO144" i="8"/>
  <c r="AN128" i="8"/>
  <c r="AO128" i="8"/>
  <c r="AN112" i="8"/>
  <c r="AO112" i="8"/>
  <c r="AN58" i="8"/>
  <c r="AO58" i="8"/>
  <c r="AN87" i="8"/>
  <c r="AO87" i="8"/>
  <c r="AN71" i="8"/>
  <c r="AO71" i="8"/>
  <c r="AN115" i="8"/>
  <c r="AO115" i="8"/>
  <c r="AN174" i="8"/>
  <c r="AO174" i="8"/>
  <c r="AN119" i="8"/>
  <c r="AO119" i="8"/>
  <c r="AN105" i="8"/>
  <c r="AO105" i="8"/>
  <c r="AN179" i="8"/>
  <c r="AO179" i="8"/>
  <c r="AN163" i="8"/>
  <c r="AO163" i="8"/>
  <c r="AN147" i="8"/>
  <c r="AO147" i="8"/>
  <c r="AN131" i="8"/>
  <c r="AO131" i="8"/>
  <c r="AN100" i="8"/>
  <c r="AO100" i="8"/>
  <c r="AN68" i="8"/>
  <c r="AO68" i="8"/>
  <c r="AN178" i="8"/>
  <c r="AO178" i="8"/>
  <c r="AN94" i="8"/>
  <c r="AO94" i="8"/>
  <c r="AN158" i="8"/>
  <c r="AO158" i="8"/>
  <c r="AN142" i="8"/>
  <c r="AO142" i="8"/>
  <c r="AN126" i="8"/>
  <c r="AO126" i="8"/>
  <c r="AN110" i="8"/>
  <c r="AO110" i="8"/>
  <c r="AN101" i="8"/>
  <c r="AO101" i="8"/>
  <c r="AN85" i="8"/>
  <c r="AO85" i="8"/>
  <c r="AN69" i="8"/>
  <c r="AO69" i="8"/>
  <c r="AN127" i="8"/>
  <c r="AO127" i="8"/>
  <c r="AN138" i="8"/>
  <c r="AO138" i="8"/>
  <c r="AN117" i="8"/>
  <c r="AO117" i="8"/>
  <c r="AN103" i="8"/>
  <c r="AO103" i="8"/>
  <c r="AN177" i="8"/>
  <c r="AO177" i="8"/>
  <c r="AN161" i="8"/>
  <c r="AO161" i="8"/>
  <c r="AN145" i="8"/>
  <c r="AO145" i="8"/>
  <c r="AN129" i="8"/>
  <c r="AO129" i="8"/>
  <c r="AN76" i="8"/>
  <c r="AO76" i="8"/>
  <c r="AN192" i="8"/>
  <c r="AO192" i="8"/>
  <c r="AN176" i="8"/>
  <c r="AO176" i="8"/>
  <c r="AN90" i="8"/>
  <c r="AO90" i="8"/>
  <c r="AN156" i="8"/>
  <c r="AO156" i="8"/>
  <c r="AN140" i="8"/>
  <c r="AO140" i="8"/>
  <c r="AN124" i="8"/>
  <c r="AO124" i="8"/>
  <c r="AN108" i="8"/>
  <c r="AO108" i="8"/>
  <c r="AN99" i="8"/>
  <c r="AO99" i="8"/>
  <c r="AN83" i="8"/>
  <c r="AO83" i="8"/>
  <c r="AN67" i="8"/>
  <c r="AO67" i="8"/>
  <c r="AL63" i="8"/>
  <c r="AM63" i="8"/>
  <c r="AL191" i="8"/>
  <c r="AO147" i="9" s="1"/>
  <c r="AM191" i="8"/>
  <c r="AP147" i="9" s="1"/>
  <c r="AL72" i="8"/>
  <c r="AM72" i="8"/>
  <c r="AL86" i="8"/>
  <c r="AM86" i="8"/>
  <c r="AL141" i="8"/>
  <c r="AM141" i="8"/>
  <c r="AL188" i="8"/>
  <c r="AO144" i="9" s="1"/>
  <c r="AM188" i="8"/>
  <c r="AP144" i="9" s="1"/>
  <c r="AL104" i="8"/>
  <c r="AM104" i="8"/>
  <c r="AL155" i="8"/>
  <c r="AM155" i="8"/>
  <c r="AL139" i="8"/>
  <c r="AM139" i="8"/>
  <c r="AL84" i="8"/>
  <c r="AM84" i="8"/>
  <c r="AL82" i="8"/>
  <c r="AM82" i="8"/>
  <c r="AL186" i="8"/>
  <c r="AO142" i="9" s="1"/>
  <c r="AM186" i="8"/>
  <c r="AP142" i="9" s="1"/>
  <c r="AL170" i="8"/>
  <c r="AM170" i="8"/>
  <c r="AL70" i="8"/>
  <c r="AM70" i="8"/>
  <c r="AL150" i="8"/>
  <c r="AM150" i="8"/>
  <c r="AL134" i="8"/>
  <c r="AM134" i="8"/>
  <c r="AL118" i="8"/>
  <c r="AM118" i="8"/>
  <c r="AL102" i="8"/>
  <c r="AM102" i="8"/>
  <c r="AL93" i="8"/>
  <c r="AM93" i="8"/>
  <c r="AL77" i="8"/>
  <c r="AM77" i="8"/>
  <c r="AL61" i="8"/>
  <c r="AM61" i="8"/>
  <c r="AL175" i="8"/>
  <c r="AM175" i="8"/>
  <c r="AL190" i="8"/>
  <c r="AO146" i="9" s="1"/>
  <c r="AM190" i="8"/>
  <c r="AP146" i="9" s="1"/>
  <c r="AL97" i="8"/>
  <c r="AM97" i="8"/>
  <c r="AL96" i="8"/>
  <c r="AM96" i="8"/>
  <c r="AL78" i="8"/>
  <c r="AM78" i="8"/>
  <c r="AL95" i="8"/>
  <c r="AM95" i="8"/>
  <c r="AL171" i="8"/>
  <c r="AM171" i="8"/>
  <c r="AL153" i="8"/>
  <c r="AM153" i="8"/>
  <c r="AL137" i="8"/>
  <c r="AM137" i="8"/>
  <c r="AL64" i="8"/>
  <c r="AM64" i="8"/>
  <c r="AL74" i="8"/>
  <c r="AM74" i="8"/>
  <c r="AL184" i="8"/>
  <c r="AM184" i="8"/>
  <c r="AL168" i="8"/>
  <c r="AM168" i="8"/>
  <c r="AL62" i="8"/>
  <c r="AM62" i="8"/>
  <c r="AL148" i="8"/>
  <c r="AM148" i="8"/>
  <c r="AL132" i="8"/>
  <c r="AM132" i="8"/>
  <c r="AL116" i="8"/>
  <c r="AM116" i="8"/>
  <c r="AL98" i="8"/>
  <c r="AM98" i="8"/>
  <c r="AL91" i="8"/>
  <c r="AM91" i="8"/>
  <c r="AL75" i="8"/>
  <c r="AM75" i="8"/>
  <c r="AL59" i="8"/>
  <c r="AM59" i="8"/>
  <c r="AL143" i="8"/>
  <c r="AM143" i="8"/>
  <c r="AL154" i="8"/>
  <c r="AM154" i="8"/>
  <c r="AL65" i="8"/>
  <c r="AM65" i="8"/>
  <c r="AL173" i="8"/>
  <c r="AM173" i="8"/>
  <c r="AL88" i="8"/>
  <c r="AM88" i="8"/>
  <c r="AL152" i="8"/>
  <c r="AM152" i="8"/>
  <c r="AL120" i="8"/>
  <c r="AM120" i="8"/>
  <c r="AL79" i="8"/>
  <c r="AM79" i="8"/>
  <c r="AL187" i="8"/>
  <c r="AO143" i="9" s="1"/>
  <c r="AM187" i="8"/>
  <c r="AP143" i="9" s="1"/>
  <c r="AL111" i="8"/>
  <c r="AM111" i="8"/>
  <c r="AL185" i="8"/>
  <c r="AO141" i="9" s="1"/>
  <c r="AM185" i="8"/>
  <c r="AP141" i="9" s="1"/>
  <c r="AL109" i="8"/>
  <c r="AM109" i="8"/>
  <c r="AL183" i="8"/>
  <c r="AM183" i="8"/>
  <c r="AL167" i="8"/>
  <c r="AM167" i="8"/>
  <c r="AL151" i="8"/>
  <c r="AM151" i="8"/>
  <c r="AL135" i="8"/>
  <c r="AM135" i="8"/>
  <c r="AL125" i="8"/>
  <c r="AM125" i="8"/>
  <c r="AL66" i="8"/>
  <c r="AM66" i="8"/>
  <c r="AL182" i="8"/>
  <c r="AM182" i="8"/>
  <c r="AL166" i="8"/>
  <c r="AM166" i="8"/>
  <c r="AL162" i="8"/>
  <c r="AM162" i="8"/>
  <c r="AL146" i="8"/>
  <c r="AM146" i="8"/>
  <c r="AL130" i="8"/>
  <c r="AM130" i="8"/>
  <c r="AL114" i="8"/>
  <c r="AM114" i="8"/>
  <c r="AL60" i="8"/>
  <c r="AM60" i="8"/>
  <c r="AL89" i="8"/>
  <c r="AM89" i="8"/>
  <c r="AL73" i="8"/>
  <c r="AM73" i="8"/>
  <c r="AL57" i="8"/>
  <c r="AM57" i="8"/>
  <c r="AL115" i="8"/>
  <c r="AM115" i="8"/>
  <c r="AL174" i="8"/>
  <c r="AM174" i="8"/>
  <c r="AL138" i="8"/>
  <c r="AM138" i="8"/>
  <c r="AL81" i="8"/>
  <c r="AM81" i="8"/>
  <c r="AL157" i="8"/>
  <c r="AM157" i="8"/>
  <c r="AL172" i="8"/>
  <c r="AM172" i="8"/>
  <c r="AL136" i="8"/>
  <c r="AM136" i="8"/>
  <c r="AL113" i="8"/>
  <c r="AM113" i="8"/>
  <c r="AL169" i="8"/>
  <c r="AM169" i="8"/>
  <c r="AL121" i="8"/>
  <c r="AM121" i="8"/>
  <c r="AL107" i="8"/>
  <c r="AM107" i="8"/>
  <c r="AL181" i="8"/>
  <c r="AM181" i="8"/>
  <c r="AL165" i="8"/>
  <c r="AM165" i="8"/>
  <c r="AL149" i="8"/>
  <c r="AM149" i="8"/>
  <c r="AL133" i="8"/>
  <c r="AM133" i="8"/>
  <c r="AL123" i="8"/>
  <c r="AM123" i="8"/>
  <c r="AL80" i="8"/>
  <c r="AM80" i="8"/>
  <c r="AL180" i="8"/>
  <c r="AM180" i="8"/>
  <c r="AL164" i="8"/>
  <c r="AM164" i="8"/>
  <c r="AL160" i="8"/>
  <c r="AM160" i="8"/>
  <c r="AL144" i="8"/>
  <c r="AM144" i="8"/>
  <c r="AL128" i="8"/>
  <c r="AM128" i="8"/>
  <c r="AL112" i="8"/>
  <c r="AM112" i="8"/>
  <c r="AL58" i="8"/>
  <c r="AM58" i="8"/>
  <c r="AL87" i="8"/>
  <c r="AM87" i="8"/>
  <c r="AL71" i="8"/>
  <c r="AM71" i="8"/>
  <c r="AL159" i="8"/>
  <c r="AM159" i="8"/>
  <c r="AL106" i="8"/>
  <c r="AM106" i="8"/>
  <c r="AL119" i="8"/>
  <c r="AM119" i="8"/>
  <c r="AL105" i="8"/>
  <c r="AM105" i="8"/>
  <c r="AL179" i="8"/>
  <c r="AM179" i="8"/>
  <c r="AL163" i="8"/>
  <c r="AM163" i="8"/>
  <c r="AL147" i="8"/>
  <c r="AM147" i="8"/>
  <c r="AL131" i="8"/>
  <c r="AM131" i="8"/>
  <c r="AL100" i="8"/>
  <c r="AM100" i="8"/>
  <c r="AL68" i="8"/>
  <c r="AM68" i="8"/>
  <c r="AL178" i="8"/>
  <c r="AM178" i="8"/>
  <c r="AL94" i="8"/>
  <c r="AM94" i="8"/>
  <c r="AL158" i="8"/>
  <c r="AM158" i="8"/>
  <c r="AL142" i="8"/>
  <c r="AM142" i="8"/>
  <c r="AL126" i="8"/>
  <c r="AM126" i="8"/>
  <c r="AL110" i="8"/>
  <c r="AM110" i="8"/>
  <c r="AL101" i="8"/>
  <c r="AM101" i="8"/>
  <c r="AL85" i="8"/>
  <c r="AM85" i="8"/>
  <c r="AL69" i="8"/>
  <c r="AM69" i="8"/>
  <c r="AL127" i="8"/>
  <c r="AM127" i="8"/>
  <c r="AL122" i="8"/>
  <c r="AM122" i="8"/>
  <c r="AL92" i="8"/>
  <c r="AM92" i="8"/>
  <c r="AL189" i="8"/>
  <c r="AO145" i="9" s="1"/>
  <c r="AM189" i="8"/>
  <c r="AP145" i="9" s="1"/>
  <c r="AL117" i="8"/>
  <c r="AM117" i="8"/>
  <c r="AL103" i="8"/>
  <c r="AM103" i="8"/>
  <c r="AL177" i="8"/>
  <c r="AM177" i="8"/>
  <c r="AL161" i="8"/>
  <c r="AM161" i="8"/>
  <c r="AL145" i="8"/>
  <c r="AM145" i="8"/>
  <c r="AL129" i="8"/>
  <c r="AM129" i="8"/>
  <c r="AL76" i="8"/>
  <c r="AM76" i="8"/>
  <c r="AL192" i="8"/>
  <c r="AM192" i="8"/>
  <c r="AL176" i="8"/>
  <c r="AM176" i="8"/>
  <c r="AL90" i="8"/>
  <c r="AM90" i="8"/>
  <c r="AL156" i="8"/>
  <c r="AM156" i="8"/>
  <c r="AL140" i="8"/>
  <c r="AM140" i="8"/>
  <c r="AL124" i="8"/>
  <c r="AM124" i="8"/>
  <c r="AL108" i="8"/>
  <c r="AM108" i="8"/>
  <c r="AL99" i="8"/>
  <c r="AM99" i="8"/>
  <c r="AL83" i="8"/>
  <c r="AM83" i="8"/>
  <c r="AL67" i="8"/>
  <c r="AM67" i="8"/>
  <c r="AJ177" i="8"/>
  <c r="AK177" i="8"/>
  <c r="AJ115" i="8"/>
  <c r="AK115" i="8"/>
  <c r="AJ191" i="8"/>
  <c r="AM147" i="9" s="1"/>
  <c r="AK191" i="8"/>
  <c r="AN147" i="9" s="1"/>
  <c r="AJ175" i="8"/>
  <c r="AK175" i="8"/>
  <c r="AJ159" i="8"/>
  <c r="AK159" i="8"/>
  <c r="AJ143" i="8"/>
  <c r="AK143" i="8"/>
  <c r="AJ127" i="8"/>
  <c r="AK127" i="8"/>
  <c r="AJ72" i="8"/>
  <c r="AK72" i="8"/>
  <c r="AJ190" i="8"/>
  <c r="AM146" i="9" s="1"/>
  <c r="AK190" i="8"/>
  <c r="AN146" i="9" s="1"/>
  <c r="AJ174" i="8"/>
  <c r="AK174" i="8"/>
  <c r="AJ86" i="8"/>
  <c r="AK86" i="8"/>
  <c r="AJ154" i="8"/>
  <c r="AK154" i="8"/>
  <c r="AJ138" i="8"/>
  <c r="AK138" i="8"/>
  <c r="AJ122" i="8"/>
  <c r="AK122" i="8"/>
  <c r="AJ106" i="8"/>
  <c r="AK106" i="8"/>
  <c r="AJ97" i="8"/>
  <c r="AK97" i="8"/>
  <c r="AJ81" i="8"/>
  <c r="AK81" i="8"/>
  <c r="AJ65" i="8"/>
  <c r="AK65" i="8"/>
  <c r="AJ161" i="8"/>
  <c r="AK161" i="8"/>
  <c r="AJ189" i="8"/>
  <c r="AM145" i="9" s="1"/>
  <c r="AK189" i="8"/>
  <c r="AN145" i="9" s="1"/>
  <c r="AJ173" i="8"/>
  <c r="AK173" i="8"/>
  <c r="AJ157" i="8"/>
  <c r="AK157" i="8"/>
  <c r="AJ141" i="8"/>
  <c r="AK141" i="8"/>
  <c r="AJ96" i="8"/>
  <c r="AK96" i="8"/>
  <c r="AJ88" i="8"/>
  <c r="AK88" i="8"/>
  <c r="AJ188" i="8"/>
  <c r="AM144" i="9" s="1"/>
  <c r="AK188" i="8"/>
  <c r="AN144" i="9" s="1"/>
  <c r="AJ172" i="8"/>
  <c r="AK172" i="8"/>
  <c r="AJ78" i="8"/>
  <c r="AK78" i="8"/>
  <c r="AJ152" i="8"/>
  <c r="AK152" i="8"/>
  <c r="AJ136" i="8"/>
  <c r="AK136" i="8"/>
  <c r="AJ120" i="8"/>
  <c r="AK120" i="8"/>
  <c r="AJ104" i="8"/>
  <c r="AK104" i="8"/>
  <c r="AJ95" i="8"/>
  <c r="AK95" i="8"/>
  <c r="AJ79" i="8"/>
  <c r="AK79" i="8"/>
  <c r="AJ63" i="8"/>
  <c r="AK63" i="8"/>
  <c r="AJ117" i="8"/>
  <c r="AK117" i="8"/>
  <c r="AJ113" i="8"/>
  <c r="AK113" i="8"/>
  <c r="AJ187" i="8"/>
  <c r="AM143" i="9" s="1"/>
  <c r="AK187" i="8"/>
  <c r="AN143" i="9" s="1"/>
  <c r="AJ171" i="8"/>
  <c r="AK171" i="8"/>
  <c r="AJ155" i="8"/>
  <c r="AK155" i="8"/>
  <c r="AJ139" i="8"/>
  <c r="AK139" i="8"/>
  <c r="AJ84" i="8"/>
  <c r="AK84" i="8"/>
  <c r="AJ82" i="8"/>
  <c r="AK82" i="8"/>
  <c r="AJ186" i="8"/>
  <c r="AM142" i="9" s="1"/>
  <c r="AK186" i="8"/>
  <c r="AN142" i="9" s="1"/>
  <c r="AJ170" i="8"/>
  <c r="AK170" i="8"/>
  <c r="AJ70" i="8"/>
  <c r="AK70" i="8"/>
  <c r="AJ150" i="8"/>
  <c r="AK150" i="8"/>
  <c r="AJ134" i="8"/>
  <c r="AK134" i="8"/>
  <c r="AJ118" i="8"/>
  <c r="AK118" i="8"/>
  <c r="AJ102" i="8"/>
  <c r="AK102" i="8"/>
  <c r="AJ93" i="8"/>
  <c r="AK93" i="8"/>
  <c r="AJ77" i="8"/>
  <c r="AK77" i="8"/>
  <c r="AJ61" i="8"/>
  <c r="AK61" i="8"/>
  <c r="AJ103" i="8"/>
  <c r="AK103" i="8"/>
  <c r="AJ92" i="8"/>
  <c r="AK92" i="8"/>
  <c r="AJ111" i="8"/>
  <c r="AK111" i="8"/>
  <c r="AJ185" i="8"/>
  <c r="AM141" i="9" s="1"/>
  <c r="AK185" i="8"/>
  <c r="AN141" i="9" s="1"/>
  <c r="AJ169" i="8"/>
  <c r="AK169" i="8"/>
  <c r="AJ153" i="8"/>
  <c r="AK153" i="8"/>
  <c r="AJ137" i="8"/>
  <c r="AK137" i="8"/>
  <c r="AJ64" i="8"/>
  <c r="AK64" i="8"/>
  <c r="AJ74" i="8"/>
  <c r="AK74" i="8"/>
  <c r="AJ184" i="8"/>
  <c r="AK184" i="8"/>
  <c r="AJ168" i="8"/>
  <c r="AK168" i="8"/>
  <c r="AJ62" i="8"/>
  <c r="AK62" i="8"/>
  <c r="AJ148" i="8"/>
  <c r="AK148" i="8"/>
  <c r="AJ132" i="8"/>
  <c r="AK132" i="8"/>
  <c r="AJ116" i="8"/>
  <c r="AK116" i="8"/>
  <c r="AJ98" i="8"/>
  <c r="AK98" i="8"/>
  <c r="AJ91" i="8"/>
  <c r="AK91" i="8"/>
  <c r="AJ75" i="8"/>
  <c r="AK75" i="8"/>
  <c r="AJ59" i="8"/>
  <c r="AK59" i="8"/>
  <c r="AJ129" i="8"/>
  <c r="AK129" i="8"/>
  <c r="AJ109" i="8"/>
  <c r="AK109" i="8"/>
  <c r="AJ183" i="8"/>
  <c r="AK183" i="8"/>
  <c r="AJ167" i="8"/>
  <c r="AK167" i="8"/>
  <c r="AJ151" i="8"/>
  <c r="AK151" i="8"/>
  <c r="AJ135" i="8"/>
  <c r="AK135" i="8"/>
  <c r="AJ125" i="8"/>
  <c r="AK125" i="8"/>
  <c r="AJ66" i="8"/>
  <c r="AK66" i="8"/>
  <c r="AJ182" i="8"/>
  <c r="AK182" i="8"/>
  <c r="AJ166" i="8"/>
  <c r="AK166" i="8"/>
  <c r="AJ162" i="8"/>
  <c r="AK162" i="8"/>
  <c r="AJ146" i="8"/>
  <c r="AK146" i="8"/>
  <c r="AJ130" i="8"/>
  <c r="AK130" i="8"/>
  <c r="AJ114" i="8"/>
  <c r="AK114" i="8"/>
  <c r="AJ60" i="8"/>
  <c r="AK60" i="8"/>
  <c r="AJ89" i="8"/>
  <c r="AK89" i="8"/>
  <c r="AJ73" i="8"/>
  <c r="AK73" i="8"/>
  <c r="AJ57" i="8"/>
  <c r="AK57" i="8"/>
  <c r="AJ145" i="8"/>
  <c r="AK145" i="8"/>
  <c r="AJ121" i="8"/>
  <c r="AK121" i="8"/>
  <c r="AJ107" i="8"/>
  <c r="AK107" i="8"/>
  <c r="AJ181" i="8"/>
  <c r="AK181" i="8"/>
  <c r="AJ165" i="8"/>
  <c r="AK165" i="8"/>
  <c r="AJ149" i="8"/>
  <c r="AK149" i="8"/>
  <c r="AJ133" i="8"/>
  <c r="AK133" i="8"/>
  <c r="AJ123" i="8"/>
  <c r="AK123" i="8"/>
  <c r="AJ80" i="8"/>
  <c r="AK80" i="8"/>
  <c r="AJ180" i="8"/>
  <c r="AK180" i="8"/>
  <c r="AJ164" i="8"/>
  <c r="AK164" i="8"/>
  <c r="AJ160" i="8"/>
  <c r="AK160" i="8"/>
  <c r="AJ144" i="8"/>
  <c r="AK144" i="8"/>
  <c r="AJ128" i="8"/>
  <c r="AK128" i="8"/>
  <c r="AJ112" i="8"/>
  <c r="AK112" i="8"/>
  <c r="AJ58" i="8"/>
  <c r="AK58" i="8"/>
  <c r="AJ87" i="8"/>
  <c r="AK87" i="8"/>
  <c r="AJ71" i="8"/>
  <c r="AK71" i="8"/>
  <c r="AJ119" i="8"/>
  <c r="AK119" i="8"/>
  <c r="AJ105" i="8"/>
  <c r="AK105" i="8"/>
  <c r="AJ179" i="8"/>
  <c r="AK179" i="8"/>
  <c r="AJ163" i="8"/>
  <c r="AK163" i="8"/>
  <c r="AJ147" i="8"/>
  <c r="AK147" i="8"/>
  <c r="AJ131" i="8"/>
  <c r="AK131" i="8"/>
  <c r="AJ100" i="8"/>
  <c r="AK100" i="8"/>
  <c r="AJ68" i="8"/>
  <c r="AK68" i="8"/>
  <c r="AJ178" i="8"/>
  <c r="AK178" i="8"/>
  <c r="AJ94" i="8"/>
  <c r="AK94" i="8"/>
  <c r="AJ158" i="8"/>
  <c r="AK158" i="8"/>
  <c r="AJ142" i="8"/>
  <c r="AK142" i="8"/>
  <c r="AJ126" i="8"/>
  <c r="AK126" i="8"/>
  <c r="AJ110" i="8"/>
  <c r="AK110" i="8"/>
  <c r="AJ101" i="8"/>
  <c r="AK101" i="8"/>
  <c r="AJ85" i="8"/>
  <c r="AK85" i="8"/>
  <c r="AJ69" i="8"/>
  <c r="AK69" i="8"/>
  <c r="AJ76" i="8"/>
  <c r="AK76" i="8"/>
  <c r="AJ192" i="8"/>
  <c r="AK192" i="8"/>
  <c r="AJ176" i="8"/>
  <c r="AK176" i="8"/>
  <c r="AJ90" i="8"/>
  <c r="AK90" i="8"/>
  <c r="AJ156" i="8"/>
  <c r="AK156" i="8"/>
  <c r="AJ140" i="8"/>
  <c r="AK140" i="8"/>
  <c r="AJ124" i="8"/>
  <c r="AK124" i="8"/>
  <c r="AJ108" i="8"/>
  <c r="AK108" i="8"/>
  <c r="AJ99" i="8"/>
  <c r="AK99" i="8"/>
  <c r="AJ83" i="8"/>
  <c r="AK83" i="8"/>
  <c r="AJ67" i="8"/>
  <c r="AK67" i="8"/>
  <c r="AI115" i="8"/>
  <c r="AH115" i="8"/>
  <c r="AI159" i="8"/>
  <c r="AH159" i="8"/>
  <c r="AI174" i="8"/>
  <c r="AH174" i="8"/>
  <c r="AI138" i="8"/>
  <c r="AH138" i="8"/>
  <c r="AI97" i="8"/>
  <c r="AH97" i="8"/>
  <c r="AI173" i="8"/>
  <c r="AH173" i="8"/>
  <c r="AI96" i="8"/>
  <c r="AH96" i="8"/>
  <c r="AI88" i="8"/>
  <c r="AH88" i="8"/>
  <c r="AI152" i="8"/>
  <c r="AH152" i="8"/>
  <c r="AI104" i="8"/>
  <c r="AH104" i="8"/>
  <c r="AI113" i="8"/>
  <c r="AH113" i="8"/>
  <c r="AI187" i="8"/>
  <c r="AL143" i="9" s="1"/>
  <c r="AH187" i="8"/>
  <c r="AI139" i="8"/>
  <c r="AH139" i="8"/>
  <c r="AI84" i="8"/>
  <c r="AH84" i="8"/>
  <c r="AI186" i="8"/>
  <c r="AL142" i="9" s="1"/>
  <c r="AH186" i="8"/>
  <c r="AI70" i="8"/>
  <c r="AH70" i="8"/>
  <c r="AI118" i="8"/>
  <c r="AH118" i="8"/>
  <c r="AI93" i="8"/>
  <c r="AH93" i="8"/>
  <c r="AI61" i="8"/>
  <c r="AH61" i="8"/>
  <c r="AI185" i="8"/>
  <c r="AL141" i="9" s="1"/>
  <c r="AH185" i="8"/>
  <c r="AI137" i="8"/>
  <c r="AH137" i="8"/>
  <c r="AI74" i="8"/>
  <c r="AH74" i="8"/>
  <c r="AI184" i="8"/>
  <c r="AH184" i="8"/>
  <c r="AI148" i="8"/>
  <c r="AH148" i="8"/>
  <c r="AI98" i="8"/>
  <c r="AH98" i="8"/>
  <c r="AI109" i="8"/>
  <c r="AH109" i="8"/>
  <c r="AI183" i="8"/>
  <c r="AH183" i="8"/>
  <c r="AI135" i="8"/>
  <c r="AH135" i="8"/>
  <c r="AI166" i="8"/>
  <c r="AH166" i="8"/>
  <c r="AI114" i="8"/>
  <c r="AH114" i="8"/>
  <c r="AI60" i="8"/>
  <c r="AH60" i="8"/>
  <c r="AI73" i="8"/>
  <c r="AH73" i="8"/>
  <c r="AI57" i="8"/>
  <c r="AH57" i="8"/>
  <c r="AI121" i="8"/>
  <c r="AH121" i="8"/>
  <c r="AI107" i="8"/>
  <c r="AH107" i="8"/>
  <c r="AI181" i="8"/>
  <c r="AH181" i="8"/>
  <c r="AI165" i="8"/>
  <c r="AH165" i="8"/>
  <c r="AI149" i="8"/>
  <c r="AH149" i="8"/>
  <c r="AI133" i="8"/>
  <c r="AH133" i="8"/>
  <c r="AI123" i="8"/>
  <c r="AH123" i="8"/>
  <c r="AI80" i="8"/>
  <c r="AH80" i="8"/>
  <c r="AI180" i="8"/>
  <c r="AH180" i="8"/>
  <c r="AI164" i="8"/>
  <c r="AH164" i="8"/>
  <c r="AI160" i="8"/>
  <c r="AH160" i="8"/>
  <c r="AI144" i="8"/>
  <c r="AH144" i="8"/>
  <c r="AI128" i="8"/>
  <c r="AH128" i="8"/>
  <c r="AI112" i="8"/>
  <c r="AH112" i="8"/>
  <c r="AI58" i="8"/>
  <c r="AH58" i="8"/>
  <c r="AI87" i="8"/>
  <c r="AH87" i="8"/>
  <c r="AI71" i="8"/>
  <c r="AH71" i="8"/>
  <c r="AI175" i="8"/>
  <c r="AH175" i="8"/>
  <c r="AI127" i="8"/>
  <c r="AH127" i="8"/>
  <c r="AI154" i="8"/>
  <c r="AH154" i="8"/>
  <c r="AI106" i="8"/>
  <c r="AH106" i="8"/>
  <c r="AI65" i="8"/>
  <c r="AH65" i="8"/>
  <c r="AI157" i="8"/>
  <c r="AH157" i="8"/>
  <c r="AI172" i="8"/>
  <c r="AH172" i="8"/>
  <c r="AI136" i="8"/>
  <c r="AH136" i="8"/>
  <c r="AI120" i="8"/>
  <c r="AH120" i="8"/>
  <c r="AI79" i="8"/>
  <c r="AH79" i="8"/>
  <c r="AI171" i="8"/>
  <c r="AH171" i="8"/>
  <c r="AI82" i="8"/>
  <c r="AH82" i="8"/>
  <c r="AI150" i="8"/>
  <c r="AH150" i="8"/>
  <c r="AI102" i="8"/>
  <c r="AH102" i="8"/>
  <c r="AI111" i="8"/>
  <c r="AH111" i="8"/>
  <c r="AI153" i="8"/>
  <c r="AH153" i="8"/>
  <c r="AI168" i="8"/>
  <c r="AH168" i="8"/>
  <c r="AI132" i="8"/>
  <c r="AH132" i="8"/>
  <c r="AI91" i="8"/>
  <c r="AH91" i="8"/>
  <c r="AI59" i="8"/>
  <c r="AH59" i="8"/>
  <c r="AI151" i="8"/>
  <c r="AH151" i="8"/>
  <c r="AI66" i="8"/>
  <c r="AH66" i="8"/>
  <c r="AI182" i="8"/>
  <c r="AH182" i="8"/>
  <c r="AI146" i="8"/>
  <c r="AH146" i="8"/>
  <c r="AI89" i="8"/>
  <c r="AH89" i="8"/>
  <c r="AI119" i="8"/>
  <c r="AH119" i="8"/>
  <c r="AI105" i="8"/>
  <c r="AH105" i="8"/>
  <c r="AI179" i="8"/>
  <c r="AH179" i="8"/>
  <c r="AI163" i="8"/>
  <c r="AH163" i="8"/>
  <c r="AI147" i="8"/>
  <c r="AH147" i="8"/>
  <c r="AI131" i="8"/>
  <c r="AH131" i="8"/>
  <c r="AI100" i="8"/>
  <c r="AH100" i="8"/>
  <c r="AI68" i="8"/>
  <c r="AH68" i="8"/>
  <c r="AI178" i="8"/>
  <c r="AH178" i="8"/>
  <c r="AI94" i="8"/>
  <c r="AH94" i="8"/>
  <c r="AI158" i="8"/>
  <c r="AH158" i="8"/>
  <c r="AI142" i="8"/>
  <c r="AH142" i="8"/>
  <c r="AI126" i="8"/>
  <c r="AH126" i="8"/>
  <c r="AI110" i="8"/>
  <c r="AH110" i="8"/>
  <c r="AI101" i="8"/>
  <c r="AH101" i="8"/>
  <c r="AI85" i="8"/>
  <c r="AH85" i="8"/>
  <c r="AI69" i="8"/>
  <c r="AH69" i="8"/>
  <c r="AI191" i="8"/>
  <c r="AL147" i="9" s="1"/>
  <c r="AH191" i="8"/>
  <c r="AI143" i="8"/>
  <c r="AH143" i="8"/>
  <c r="AI72" i="8"/>
  <c r="AH72" i="8"/>
  <c r="AI190" i="8"/>
  <c r="AL146" i="9" s="1"/>
  <c r="AH190" i="8"/>
  <c r="AI86" i="8"/>
  <c r="AH86" i="8"/>
  <c r="AI122" i="8"/>
  <c r="AH122" i="8"/>
  <c r="AI81" i="8"/>
  <c r="AH81" i="8"/>
  <c r="AI92" i="8"/>
  <c r="AH92" i="8"/>
  <c r="AI189" i="8"/>
  <c r="AL145" i="9" s="1"/>
  <c r="AH189" i="8"/>
  <c r="AI141" i="8"/>
  <c r="AH141" i="8"/>
  <c r="AI188" i="8"/>
  <c r="AL144" i="9" s="1"/>
  <c r="AH188" i="8"/>
  <c r="AI78" i="8"/>
  <c r="AH78" i="8"/>
  <c r="AI95" i="8"/>
  <c r="AH95" i="8"/>
  <c r="AI63" i="8"/>
  <c r="AH63" i="8"/>
  <c r="AI155" i="8"/>
  <c r="AH155" i="8"/>
  <c r="AI170" i="8"/>
  <c r="AH170" i="8"/>
  <c r="AI134" i="8"/>
  <c r="AH134" i="8"/>
  <c r="AI77" i="8"/>
  <c r="AH77" i="8"/>
  <c r="AI169" i="8"/>
  <c r="AH169" i="8"/>
  <c r="AI64" i="8"/>
  <c r="AH64" i="8"/>
  <c r="AI62" i="8"/>
  <c r="AH62" i="8"/>
  <c r="AI116" i="8"/>
  <c r="AH116" i="8"/>
  <c r="AI75" i="8"/>
  <c r="AH75" i="8"/>
  <c r="AI167" i="8"/>
  <c r="AH167" i="8"/>
  <c r="AI125" i="8"/>
  <c r="AH125" i="8"/>
  <c r="AI162" i="8"/>
  <c r="AH162" i="8"/>
  <c r="AI130" i="8"/>
  <c r="AH130" i="8"/>
  <c r="AI117" i="8"/>
  <c r="AH117" i="8"/>
  <c r="AI103" i="8"/>
  <c r="AH103" i="8"/>
  <c r="AI177" i="8"/>
  <c r="AH177" i="8"/>
  <c r="AI161" i="8"/>
  <c r="AH161" i="8"/>
  <c r="AI145" i="8"/>
  <c r="AH145" i="8"/>
  <c r="AI129" i="8"/>
  <c r="AH129" i="8"/>
  <c r="AI76" i="8"/>
  <c r="AH76" i="8"/>
  <c r="AI192" i="8"/>
  <c r="AH192" i="8"/>
  <c r="AI176" i="8"/>
  <c r="AH176" i="8"/>
  <c r="AI90" i="8"/>
  <c r="AH90" i="8"/>
  <c r="AI156" i="8"/>
  <c r="AH156" i="8"/>
  <c r="AI140" i="8"/>
  <c r="AH140" i="8"/>
  <c r="AI124" i="8"/>
  <c r="AH124" i="8"/>
  <c r="AI108" i="8"/>
  <c r="AH108" i="8"/>
  <c r="AI99" i="8"/>
  <c r="AH99" i="8"/>
  <c r="AI83" i="8"/>
  <c r="AH83" i="8"/>
  <c r="AI67" i="8"/>
  <c r="AH67" i="8"/>
  <c r="AF143" i="8"/>
  <c r="AG143" i="8"/>
  <c r="AF86" i="8"/>
  <c r="AG86" i="8"/>
  <c r="AF138" i="8"/>
  <c r="AG138" i="8"/>
  <c r="AF97" i="8"/>
  <c r="AG97" i="8"/>
  <c r="AF173" i="8"/>
  <c r="AG173" i="8"/>
  <c r="AF141" i="8"/>
  <c r="AG141" i="8"/>
  <c r="AF172" i="8"/>
  <c r="AG172" i="8"/>
  <c r="AF78" i="8"/>
  <c r="AG78" i="8"/>
  <c r="AF152" i="8"/>
  <c r="AG152" i="8"/>
  <c r="AF136" i="8"/>
  <c r="AG136" i="8"/>
  <c r="AF120" i="8"/>
  <c r="AG120" i="8"/>
  <c r="AF104" i="8"/>
  <c r="AG104" i="8"/>
  <c r="AF95" i="8"/>
  <c r="AG95" i="8"/>
  <c r="AF79" i="8"/>
  <c r="AG79" i="8"/>
  <c r="AF63" i="8"/>
  <c r="AG63" i="8"/>
  <c r="AF115" i="8"/>
  <c r="AG115" i="8"/>
  <c r="AF191" i="8"/>
  <c r="AE147" i="9" s="1"/>
  <c r="AG191" i="8"/>
  <c r="V147" i="9" s="1"/>
  <c r="AF127" i="8"/>
  <c r="AG127" i="8"/>
  <c r="AF190" i="8"/>
  <c r="AE146" i="9" s="1"/>
  <c r="AG190" i="8"/>
  <c r="V146" i="9" s="1"/>
  <c r="AF154" i="8"/>
  <c r="AG154" i="8"/>
  <c r="AF122" i="8"/>
  <c r="AG122" i="8"/>
  <c r="AF106" i="8"/>
  <c r="AG106" i="8"/>
  <c r="AF81" i="8"/>
  <c r="AG81" i="8"/>
  <c r="AF65" i="8"/>
  <c r="AG65" i="8"/>
  <c r="AF92" i="8"/>
  <c r="AG92" i="8"/>
  <c r="AF189" i="8"/>
  <c r="AE145" i="9" s="1"/>
  <c r="AG189" i="8"/>
  <c r="V145" i="9" s="1"/>
  <c r="AF157" i="8"/>
  <c r="AG157" i="8"/>
  <c r="AF96" i="8"/>
  <c r="AG96" i="8"/>
  <c r="AF88" i="8"/>
  <c r="AG88" i="8"/>
  <c r="AF188" i="8"/>
  <c r="AE144" i="9" s="1"/>
  <c r="AG188" i="8"/>
  <c r="V144" i="9" s="1"/>
  <c r="AF113" i="8"/>
  <c r="AG113" i="8"/>
  <c r="AF187" i="8"/>
  <c r="AE143" i="9" s="1"/>
  <c r="AG187" i="8"/>
  <c r="V143" i="9" s="1"/>
  <c r="AF171" i="8"/>
  <c r="AG171" i="8"/>
  <c r="AF155" i="8"/>
  <c r="AG155" i="8"/>
  <c r="AF139" i="8"/>
  <c r="AG139" i="8"/>
  <c r="AF84" i="8"/>
  <c r="AG84" i="8"/>
  <c r="AF82" i="8"/>
  <c r="AG82" i="8"/>
  <c r="AF186" i="8"/>
  <c r="AE142" i="9" s="1"/>
  <c r="AG186" i="8"/>
  <c r="V142" i="9" s="1"/>
  <c r="AF170" i="8"/>
  <c r="AG170" i="8"/>
  <c r="AF70" i="8"/>
  <c r="AG70" i="8"/>
  <c r="AF150" i="8"/>
  <c r="AG150" i="8"/>
  <c r="AF134" i="8"/>
  <c r="AG134" i="8"/>
  <c r="AF118" i="8"/>
  <c r="AG118" i="8"/>
  <c r="AF102" i="8"/>
  <c r="AG102" i="8"/>
  <c r="AF93" i="8"/>
  <c r="AG93" i="8"/>
  <c r="AF77" i="8"/>
  <c r="AG77" i="8"/>
  <c r="AF61" i="8"/>
  <c r="AG61" i="8"/>
  <c r="AF119" i="8"/>
  <c r="AG119" i="8"/>
  <c r="AF159" i="8"/>
  <c r="AG159" i="8"/>
  <c r="AF72" i="8"/>
  <c r="AG72" i="8"/>
  <c r="AF111" i="8"/>
  <c r="AG111" i="8"/>
  <c r="AF185" i="8"/>
  <c r="AE141" i="9" s="1"/>
  <c r="AG185" i="8"/>
  <c r="V141" i="9" s="1"/>
  <c r="AF153" i="8"/>
  <c r="AG153" i="8"/>
  <c r="AF64" i="8"/>
  <c r="AG64" i="8"/>
  <c r="AF168" i="8"/>
  <c r="AG168" i="8"/>
  <c r="AF148" i="8"/>
  <c r="AG148" i="8"/>
  <c r="AF98" i="8"/>
  <c r="AG98" i="8"/>
  <c r="AF75" i="8"/>
  <c r="AG75" i="8"/>
  <c r="AF59" i="8"/>
  <c r="AG59" i="8"/>
  <c r="AF183" i="8"/>
  <c r="AG183" i="8"/>
  <c r="AF167" i="8"/>
  <c r="AG167" i="8"/>
  <c r="AF151" i="8"/>
  <c r="AG151" i="8"/>
  <c r="AF135" i="8"/>
  <c r="AG135" i="8"/>
  <c r="AF125" i="8"/>
  <c r="AG125" i="8"/>
  <c r="AF66" i="8"/>
  <c r="AG66" i="8"/>
  <c r="AF182" i="8"/>
  <c r="AG182" i="8"/>
  <c r="AF166" i="8"/>
  <c r="AG166" i="8"/>
  <c r="AF162" i="8"/>
  <c r="AG162" i="8"/>
  <c r="AF146" i="8"/>
  <c r="AG146" i="8"/>
  <c r="AF130" i="8"/>
  <c r="AG130" i="8"/>
  <c r="AF114" i="8"/>
  <c r="AG114" i="8"/>
  <c r="AF60" i="8"/>
  <c r="AG60" i="8"/>
  <c r="AF89" i="8"/>
  <c r="AG89" i="8"/>
  <c r="AF73" i="8"/>
  <c r="AG73" i="8"/>
  <c r="AF57" i="8"/>
  <c r="AG57" i="8"/>
  <c r="AF117" i="8"/>
  <c r="AG117" i="8"/>
  <c r="AF175" i="8"/>
  <c r="AG175" i="8"/>
  <c r="AF174" i="8"/>
  <c r="AG174" i="8"/>
  <c r="AF169" i="8"/>
  <c r="AG169" i="8"/>
  <c r="AF137" i="8"/>
  <c r="AG137" i="8"/>
  <c r="AF74" i="8"/>
  <c r="AG74" i="8"/>
  <c r="AF184" i="8"/>
  <c r="AG184" i="8"/>
  <c r="AF62" i="8"/>
  <c r="AG62" i="8"/>
  <c r="AF132" i="8"/>
  <c r="AG132" i="8"/>
  <c r="AF116" i="8"/>
  <c r="AG116" i="8"/>
  <c r="AF91" i="8"/>
  <c r="AG91" i="8"/>
  <c r="AF109" i="8"/>
  <c r="AG109" i="8"/>
  <c r="AF121" i="8"/>
  <c r="AG121" i="8"/>
  <c r="AF107" i="8"/>
  <c r="AG107" i="8"/>
  <c r="AF181" i="8"/>
  <c r="AG181" i="8"/>
  <c r="AF165" i="8"/>
  <c r="AG165" i="8"/>
  <c r="AF149" i="8"/>
  <c r="AG149" i="8"/>
  <c r="AF133" i="8"/>
  <c r="AG133" i="8"/>
  <c r="AF123" i="8"/>
  <c r="AG123" i="8"/>
  <c r="AF80" i="8"/>
  <c r="AG80" i="8"/>
  <c r="AF180" i="8"/>
  <c r="AG180" i="8"/>
  <c r="AF164" i="8"/>
  <c r="AG164" i="8"/>
  <c r="AF160" i="8"/>
  <c r="AG160" i="8"/>
  <c r="AF144" i="8"/>
  <c r="AG144" i="8"/>
  <c r="AF128" i="8"/>
  <c r="AG128" i="8"/>
  <c r="AF112" i="8"/>
  <c r="AG112" i="8"/>
  <c r="AF58" i="8"/>
  <c r="AG58" i="8"/>
  <c r="AF87" i="8"/>
  <c r="AG87" i="8"/>
  <c r="AF71" i="8"/>
  <c r="AG71" i="8"/>
  <c r="AF105" i="8"/>
  <c r="AG105" i="8"/>
  <c r="AF179" i="8"/>
  <c r="AG179" i="8"/>
  <c r="AF163" i="8"/>
  <c r="AG163" i="8"/>
  <c r="AF147" i="8"/>
  <c r="AG147" i="8"/>
  <c r="AF131" i="8"/>
  <c r="AG131" i="8"/>
  <c r="AF100" i="8"/>
  <c r="AG100" i="8"/>
  <c r="AF68" i="8"/>
  <c r="AG68" i="8"/>
  <c r="AF178" i="8"/>
  <c r="AG178" i="8"/>
  <c r="AF94" i="8"/>
  <c r="AG94" i="8"/>
  <c r="V50" i="9" s="1"/>
  <c r="AF158" i="8"/>
  <c r="AG158" i="8"/>
  <c r="AF142" i="8"/>
  <c r="AG142" i="8"/>
  <c r="AF126" i="8"/>
  <c r="AG126" i="8"/>
  <c r="AF110" i="8"/>
  <c r="AG110" i="8"/>
  <c r="AF101" i="8"/>
  <c r="AG101" i="8"/>
  <c r="AF85" i="8"/>
  <c r="AG85" i="8"/>
  <c r="AF69" i="8"/>
  <c r="AG69" i="8"/>
  <c r="AF103" i="8"/>
  <c r="AG103" i="8"/>
  <c r="AF177" i="8"/>
  <c r="AG177" i="8"/>
  <c r="AF161" i="8"/>
  <c r="AG161" i="8"/>
  <c r="AF145" i="8"/>
  <c r="AG145" i="8"/>
  <c r="AF129" i="8"/>
  <c r="AG129" i="8"/>
  <c r="AF76" i="8"/>
  <c r="AG76" i="8"/>
  <c r="AF192" i="8"/>
  <c r="AG192" i="8"/>
  <c r="AF176" i="8"/>
  <c r="AG176" i="8"/>
  <c r="AF90" i="8"/>
  <c r="AF156" i="8"/>
  <c r="AG156" i="8"/>
  <c r="AF140" i="8"/>
  <c r="AG140" i="8"/>
  <c r="AF124" i="8"/>
  <c r="AG124" i="8"/>
  <c r="AF108" i="8"/>
  <c r="AG108" i="8"/>
  <c r="AF99" i="8"/>
  <c r="AG99" i="8"/>
  <c r="AF83" i="8"/>
  <c r="AG83" i="8"/>
  <c r="AF67" i="8"/>
  <c r="AG67" i="8"/>
  <c r="AD143" i="8"/>
  <c r="AE143" i="8"/>
  <c r="AD122" i="8"/>
  <c r="AE122" i="8"/>
  <c r="AD92" i="8"/>
  <c r="AE92" i="8"/>
  <c r="AD189" i="8"/>
  <c r="AC145" i="9" s="1"/>
  <c r="AE189" i="8"/>
  <c r="AD145" i="9" s="1"/>
  <c r="AD173" i="8"/>
  <c r="AE173" i="8"/>
  <c r="AD157" i="8"/>
  <c r="AE157" i="8"/>
  <c r="AD141" i="8"/>
  <c r="AE141" i="8"/>
  <c r="AD96" i="8"/>
  <c r="AE96" i="8"/>
  <c r="AD88" i="8"/>
  <c r="AE88" i="8"/>
  <c r="AD188" i="8"/>
  <c r="AC144" i="9" s="1"/>
  <c r="AE188" i="8"/>
  <c r="AD144" i="9" s="1"/>
  <c r="AD172" i="8"/>
  <c r="AE172" i="8"/>
  <c r="AD78" i="8"/>
  <c r="AE78" i="8"/>
  <c r="AD152" i="8"/>
  <c r="AE152" i="8"/>
  <c r="AD136" i="8"/>
  <c r="AE136" i="8"/>
  <c r="AD120" i="8"/>
  <c r="AE120" i="8"/>
  <c r="AD104" i="8"/>
  <c r="AE104" i="8"/>
  <c r="AD95" i="8"/>
  <c r="AE95" i="8"/>
  <c r="AD79" i="8"/>
  <c r="AE79" i="8"/>
  <c r="AD63" i="8"/>
  <c r="AE63" i="8"/>
  <c r="AD191" i="8"/>
  <c r="AC147" i="9" s="1"/>
  <c r="AE191" i="8"/>
  <c r="AD147" i="9" s="1"/>
  <c r="AD154" i="8"/>
  <c r="AE154" i="8"/>
  <c r="AD81" i="8"/>
  <c r="AE81" i="8"/>
  <c r="AD113" i="8"/>
  <c r="AE113" i="8"/>
  <c r="AD187" i="8"/>
  <c r="AC143" i="9" s="1"/>
  <c r="AE187" i="8"/>
  <c r="AD143" i="9" s="1"/>
  <c r="AD171" i="8"/>
  <c r="AE171" i="8"/>
  <c r="AD155" i="8"/>
  <c r="AE155" i="8"/>
  <c r="AD139" i="8"/>
  <c r="AE139" i="8"/>
  <c r="AD84" i="8"/>
  <c r="AE84" i="8"/>
  <c r="AD82" i="8"/>
  <c r="AE82" i="8"/>
  <c r="AD186" i="8"/>
  <c r="AC142" i="9" s="1"/>
  <c r="AE186" i="8"/>
  <c r="AD142" i="9" s="1"/>
  <c r="AD170" i="8"/>
  <c r="AE170" i="8"/>
  <c r="AD70" i="8"/>
  <c r="AE70" i="8"/>
  <c r="AD150" i="8"/>
  <c r="AE150" i="8"/>
  <c r="AD134" i="8"/>
  <c r="AE134" i="8"/>
  <c r="AD118" i="8"/>
  <c r="AE118" i="8"/>
  <c r="AD102" i="8"/>
  <c r="AE102" i="8"/>
  <c r="AD93" i="8"/>
  <c r="AE93" i="8"/>
  <c r="AD77" i="8"/>
  <c r="AE77" i="8"/>
  <c r="AD61" i="8"/>
  <c r="AE61" i="8"/>
  <c r="AD174" i="8"/>
  <c r="AE174" i="8"/>
  <c r="AD86" i="8"/>
  <c r="AE86" i="8"/>
  <c r="AD65" i="8"/>
  <c r="AE65" i="8"/>
  <c r="AD111" i="8"/>
  <c r="AE111" i="8"/>
  <c r="AD185" i="8"/>
  <c r="AC141" i="9" s="1"/>
  <c r="AE185" i="8"/>
  <c r="AD141" i="9" s="1"/>
  <c r="AD169" i="8"/>
  <c r="AE169" i="8"/>
  <c r="AD153" i="8"/>
  <c r="AE153" i="8"/>
  <c r="AD137" i="8"/>
  <c r="AE137" i="8"/>
  <c r="AD64" i="8"/>
  <c r="AE64" i="8"/>
  <c r="AD74" i="8"/>
  <c r="AE74" i="8"/>
  <c r="AD184" i="8"/>
  <c r="AE184" i="8"/>
  <c r="AD168" i="8"/>
  <c r="AE168" i="8"/>
  <c r="AD62" i="8"/>
  <c r="AE62" i="8"/>
  <c r="AD148" i="8"/>
  <c r="AE148" i="8"/>
  <c r="AD132" i="8"/>
  <c r="AE132" i="8"/>
  <c r="AD116" i="8"/>
  <c r="AE116" i="8"/>
  <c r="AD98" i="8"/>
  <c r="AE98" i="8"/>
  <c r="AD91" i="8"/>
  <c r="AE91" i="8"/>
  <c r="AD75" i="8"/>
  <c r="AE75" i="8"/>
  <c r="AD59" i="8"/>
  <c r="AE59" i="8"/>
  <c r="AD159" i="8"/>
  <c r="AE159" i="8"/>
  <c r="AD106" i="8"/>
  <c r="AE106" i="8"/>
  <c r="AD109" i="8"/>
  <c r="AE109" i="8"/>
  <c r="AD183" i="8"/>
  <c r="AE183" i="8"/>
  <c r="AD167" i="8"/>
  <c r="AE167" i="8"/>
  <c r="AD151" i="8"/>
  <c r="AE151" i="8"/>
  <c r="AD135" i="8"/>
  <c r="AE135" i="8"/>
  <c r="AD125" i="8"/>
  <c r="AE125" i="8"/>
  <c r="AD66" i="8"/>
  <c r="AE66" i="8"/>
  <c r="AD182" i="8"/>
  <c r="AE182" i="8"/>
  <c r="AD166" i="8"/>
  <c r="AE166" i="8"/>
  <c r="AD162" i="8"/>
  <c r="AE162" i="8"/>
  <c r="AD146" i="8"/>
  <c r="AE146" i="8"/>
  <c r="AD130" i="8"/>
  <c r="AE130" i="8"/>
  <c r="AD114" i="8"/>
  <c r="AE114" i="8"/>
  <c r="AD60" i="8"/>
  <c r="AE60" i="8"/>
  <c r="AD89" i="8"/>
  <c r="AE89" i="8"/>
  <c r="AD73" i="8"/>
  <c r="AE73" i="8"/>
  <c r="AD57" i="8"/>
  <c r="AE57" i="8"/>
  <c r="AD175" i="8"/>
  <c r="AE175" i="8"/>
  <c r="AD190" i="8"/>
  <c r="AC146" i="9" s="1"/>
  <c r="AE190" i="8"/>
  <c r="AD146" i="9" s="1"/>
  <c r="AD97" i="8"/>
  <c r="AE97" i="8"/>
  <c r="AD121" i="8"/>
  <c r="AE121" i="8"/>
  <c r="AD107" i="8"/>
  <c r="AE107" i="8"/>
  <c r="AD181" i="8"/>
  <c r="AE181" i="8"/>
  <c r="AD165" i="8"/>
  <c r="AE165" i="8"/>
  <c r="AD149" i="8"/>
  <c r="AE149" i="8"/>
  <c r="AD133" i="8"/>
  <c r="AE133" i="8"/>
  <c r="AD123" i="8"/>
  <c r="AE123" i="8"/>
  <c r="AD80" i="8"/>
  <c r="AE80" i="8"/>
  <c r="AD180" i="8"/>
  <c r="AE180" i="8"/>
  <c r="AD164" i="8"/>
  <c r="AE164" i="8"/>
  <c r="AD160" i="8"/>
  <c r="AE160" i="8"/>
  <c r="AD144" i="8"/>
  <c r="AE144" i="8"/>
  <c r="AD128" i="8"/>
  <c r="AE128" i="8"/>
  <c r="AD112" i="8"/>
  <c r="AE112" i="8"/>
  <c r="AD58" i="8"/>
  <c r="AE58" i="8"/>
  <c r="AD87" i="8"/>
  <c r="AE87" i="8"/>
  <c r="AD71" i="8"/>
  <c r="AE71" i="8"/>
  <c r="AD115" i="8"/>
  <c r="AE115" i="8"/>
  <c r="AD72" i="8"/>
  <c r="AE72" i="8"/>
  <c r="AD119" i="8"/>
  <c r="AE119" i="8"/>
  <c r="AD105" i="8"/>
  <c r="AE105" i="8"/>
  <c r="AD179" i="8"/>
  <c r="AE179" i="8"/>
  <c r="AD163" i="8"/>
  <c r="AE163" i="8"/>
  <c r="AD147" i="8"/>
  <c r="AE147" i="8"/>
  <c r="AD131" i="8"/>
  <c r="AE131" i="8"/>
  <c r="AD100" i="8"/>
  <c r="AE100" i="8"/>
  <c r="AD68" i="8"/>
  <c r="AE68" i="8"/>
  <c r="AD178" i="8"/>
  <c r="AE178" i="8"/>
  <c r="AD94" i="8"/>
  <c r="AE94" i="8"/>
  <c r="AD158" i="8"/>
  <c r="AE158" i="8"/>
  <c r="AD142" i="8"/>
  <c r="AE142" i="8"/>
  <c r="AD126" i="8"/>
  <c r="AE126" i="8"/>
  <c r="AD110" i="8"/>
  <c r="AE110" i="8"/>
  <c r="AD101" i="8"/>
  <c r="AE101" i="8"/>
  <c r="AD85" i="8"/>
  <c r="AE85" i="8"/>
  <c r="AD69" i="8"/>
  <c r="AE69" i="8"/>
  <c r="AD127" i="8"/>
  <c r="AE127" i="8"/>
  <c r="AD138" i="8"/>
  <c r="AE138" i="8"/>
  <c r="AD117" i="8"/>
  <c r="AE117" i="8"/>
  <c r="AD103" i="8"/>
  <c r="AE103" i="8"/>
  <c r="AD177" i="8"/>
  <c r="AE177" i="8"/>
  <c r="AD161" i="8"/>
  <c r="AE161" i="8"/>
  <c r="AD145" i="8"/>
  <c r="AE145" i="8"/>
  <c r="AD129" i="8"/>
  <c r="AE129" i="8"/>
  <c r="AD76" i="8"/>
  <c r="AE76" i="8"/>
  <c r="AD192" i="8"/>
  <c r="AE192" i="8"/>
  <c r="AD176" i="8"/>
  <c r="AE176" i="8"/>
  <c r="AD90" i="8"/>
  <c r="AE90" i="8"/>
  <c r="AD156" i="8"/>
  <c r="AE156" i="8"/>
  <c r="AD140" i="8"/>
  <c r="AE140" i="8"/>
  <c r="AD124" i="8"/>
  <c r="AE124" i="8"/>
  <c r="AD108" i="8"/>
  <c r="AE108" i="8"/>
  <c r="AD99" i="8"/>
  <c r="AE99" i="8"/>
  <c r="AD83" i="8"/>
  <c r="AE83" i="8"/>
  <c r="AD67" i="8"/>
  <c r="AE67" i="8"/>
  <c r="AB115" i="8"/>
  <c r="AC115" i="8"/>
  <c r="AB159" i="8"/>
  <c r="AC159" i="8"/>
  <c r="AB127" i="8"/>
  <c r="AC127" i="8"/>
  <c r="AB190" i="8"/>
  <c r="AA146" i="9" s="1"/>
  <c r="AC190" i="8"/>
  <c r="AB146" i="9" s="1"/>
  <c r="AB174" i="8"/>
  <c r="AC174" i="8"/>
  <c r="AB86" i="8"/>
  <c r="AC86" i="8"/>
  <c r="AB154" i="8"/>
  <c r="AC154" i="8"/>
  <c r="AB138" i="8"/>
  <c r="AC138" i="8"/>
  <c r="AB122" i="8"/>
  <c r="AC122" i="8"/>
  <c r="AB106" i="8"/>
  <c r="AC106" i="8"/>
  <c r="AB97" i="8"/>
  <c r="AC97" i="8"/>
  <c r="AB81" i="8"/>
  <c r="AC81" i="8"/>
  <c r="AB65" i="8"/>
  <c r="AC65" i="8"/>
  <c r="AB113" i="8"/>
  <c r="AC113" i="8"/>
  <c r="AB191" i="8"/>
  <c r="AA147" i="9" s="1"/>
  <c r="AC191" i="8"/>
  <c r="AB147" i="9" s="1"/>
  <c r="AB175" i="8"/>
  <c r="AC175" i="8"/>
  <c r="AB143" i="8"/>
  <c r="AC143" i="8"/>
  <c r="AB72" i="8"/>
  <c r="AC72" i="8"/>
  <c r="AB92" i="8"/>
  <c r="AC92" i="8"/>
  <c r="AB189" i="8"/>
  <c r="AA145" i="9" s="1"/>
  <c r="AC189" i="8"/>
  <c r="AB145" i="9" s="1"/>
  <c r="AB173" i="8"/>
  <c r="AC173" i="8"/>
  <c r="AB157" i="8"/>
  <c r="AC157" i="8"/>
  <c r="AB141" i="8"/>
  <c r="AC141" i="8"/>
  <c r="AB96" i="8"/>
  <c r="AC96" i="8"/>
  <c r="AB88" i="8"/>
  <c r="AC88" i="8"/>
  <c r="AB188" i="8"/>
  <c r="AA144" i="9" s="1"/>
  <c r="AC188" i="8"/>
  <c r="AB144" i="9" s="1"/>
  <c r="AB172" i="8"/>
  <c r="AC172" i="8"/>
  <c r="AB78" i="8"/>
  <c r="AC78" i="8"/>
  <c r="AB152" i="8"/>
  <c r="AC152" i="8"/>
  <c r="AB136" i="8"/>
  <c r="AC136" i="8"/>
  <c r="AB120" i="8"/>
  <c r="AC120" i="8"/>
  <c r="AB104" i="8"/>
  <c r="AC104" i="8"/>
  <c r="AB95" i="8"/>
  <c r="AC95" i="8"/>
  <c r="AB79" i="8"/>
  <c r="AC79" i="8"/>
  <c r="AB63" i="8"/>
  <c r="AC63" i="8"/>
  <c r="AB155" i="8"/>
  <c r="AC155" i="8"/>
  <c r="AB84" i="8"/>
  <c r="AC84" i="8"/>
  <c r="AB186" i="8"/>
  <c r="AA142" i="9" s="1"/>
  <c r="AC186" i="8"/>
  <c r="AB142" i="9" s="1"/>
  <c r="AB118" i="8"/>
  <c r="AC118" i="8"/>
  <c r="AB61" i="8"/>
  <c r="AC61" i="8"/>
  <c r="AB111" i="8"/>
  <c r="AC111" i="8"/>
  <c r="AB185" i="8"/>
  <c r="AA141" i="9" s="1"/>
  <c r="AC185" i="8"/>
  <c r="AB141" i="9" s="1"/>
  <c r="AB169" i="8"/>
  <c r="AC169" i="8"/>
  <c r="AB153" i="8"/>
  <c r="AC153" i="8"/>
  <c r="AB137" i="8"/>
  <c r="AC137" i="8"/>
  <c r="AB64" i="8"/>
  <c r="AC64" i="8"/>
  <c r="AB74" i="8"/>
  <c r="AC74" i="8"/>
  <c r="AB184" i="8"/>
  <c r="AC184" i="8"/>
  <c r="AB168" i="8"/>
  <c r="AC168" i="8"/>
  <c r="AB62" i="8"/>
  <c r="AC62" i="8"/>
  <c r="AB148" i="8"/>
  <c r="AC148" i="8"/>
  <c r="AB132" i="8"/>
  <c r="AC132" i="8"/>
  <c r="AB116" i="8"/>
  <c r="AC116" i="8"/>
  <c r="AB98" i="8"/>
  <c r="AC98" i="8"/>
  <c r="AB91" i="8"/>
  <c r="AC91" i="8"/>
  <c r="AB75" i="8"/>
  <c r="AC75" i="8"/>
  <c r="AB59" i="8"/>
  <c r="AC59" i="8"/>
  <c r="AB139" i="8"/>
  <c r="AC139" i="8"/>
  <c r="AB150" i="8"/>
  <c r="AC150" i="8"/>
  <c r="AB77" i="8"/>
  <c r="AC77" i="8"/>
  <c r="AB109" i="8"/>
  <c r="AC109" i="8"/>
  <c r="AB183" i="8"/>
  <c r="AC183" i="8"/>
  <c r="AB167" i="8"/>
  <c r="AC167" i="8"/>
  <c r="AB151" i="8"/>
  <c r="AC151" i="8"/>
  <c r="AB135" i="8"/>
  <c r="AC135" i="8"/>
  <c r="AB125" i="8"/>
  <c r="AC125" i="8"/>
  <c r="AB66" i="8"/>
  <c r="AC66" i="8"/>
  <c r="AB182" i="8"/>
  <c r="AC182" i="8"/>
  <c r="AB166" i="8"/>
  <c r="AC166" i="8"/>
  <c r="AB162" i="8"/>
  <c r="AC162" i="8"/>
  <c r="AB146" i="8"/>
  <c r="AC146" i="8"/>
  <c r="AB130" i="8"/>
  <c r="AC130" i="8"/>
  <c r="AB114" i="8"/>
  <c r="AC114" i="8"/>
  <c r="AB60" i="8"/>
  <c r="AC60" i="8"/>
  <c r="AB89" i="8"/>
  <c r="AC89" i="8"/>
  <c r="AB73" i="8"/>
  <c r="AC73" i="8"/>
  <c r="AB57" i="8"/>
  <c r="AC57" i="8"/>
  <c r="AB187" i="8"/>
  <c r="AA143" i="9" s="1"/>
  <c r="AC187" i="8"/>
  <c r="AB143" i="9" s="1"/>
  <c r="AB82" i="8"/>
  <c r="AC82" i="8"/>
  <c r="AB134" i="8"/>
  <c r="AC134" i="8"/>
  <c r="AB93" i="8"/>
  <c r="AC93" i="8"/>
  <c r="AB121" i="8"/>
  <c r="AC121" i="8"/>
  <c r="AB107" i="8"/>
  <c r="AC107" i="8"/>
  <c r="AB181" i="8"/>
  <c r="AC181" i="8"/>
  <c r="AB165" i="8"/>
  <c r="AC165" i="8"/>
  <c r="AB149" i="8"/>
  <c r="AC149" i="8"/>
  <c r="AB133" i="8"/>
  <c r="AC133" i="8"/>
  <c r="AB123" i="8"/>
  <c r="AC123" i="8"/>
  <c r="AB80" i="8"/>
  <c r="AC80" i="8"/>
  <c r="AB180" i="8"/>
  <c r="AC180" i="8"/>
  <c r="AB164" i="8"/>
  <c r="AC164" i="8"/>
  <c r="AB160" i="8"/>
  <c r="AC160" i="8"/>
  <c r="AB144" i="8"/>
  <c r="AC144" i="8"/>
  <c r="AB128" i="8"/>
  <c r="AC128" i="8"/>
  <c r="AB112" i="8"/>
  <c r="AC112" i="8"/>
  <c r="AB58" i="8"/>
  <c r="AC58" i="8"/>
  <c r="AB87" i="8"/>
  <c r="AC87" i="8"/>
  <c r="AB71" i="8"/>
  <c r="AC71" i="8"/>
  <c r="AB171" i="8"/>
  <c r="AC171" i="8"/>
  <c r="AB70" i="8"/>
  <c r="AC70" i="8"/>
  <c r="AB102" i="8"/>
  <c r="AC102" i="8"/>
  <c r="AB119" i="8"/>
  <c r="AC119" i="8"/>
  <c r="AB105" i="8"/>
  <c r="AC105" i="8"/>
  <c r="AB179" i="8"/>
  <c r="AC179" i="8"/>
  <c r="AB163" i="8"/>
  <c r="AC163" i="8"/>
  <c r="AB147" i="8"/>
  <c r="AC147" i="8"/>
  <c r="AB131" i="8"/>
  <c r="AC131" i="8"/>
  <c r="AB100" i="8"/>
  <c r="AC100" i="8"/>
  <c r="AB68" i="8"/>
  <c r="AC68" i="8"/>
  <c r="AB178" i="8"/>
  <c r="AC178" i="8"/>
  <c r="AB94" i="8"/>
  <c r="AC94" i="8"/>
  <c r="AB158" i="8"/>
  <c r="AC158" i="8"/>
  <c r="AB142" i="8"/>
  <c r="AC142" i="8"/>
  <c r="AB126" i="8"/>
  <c r="AC126" i="8"/>
  <c r="AB110" i="8"/>
  <c r="AC110" i="8"/>
  <c r="AB101" i="8"/>
  <c r="AC101" i="8"/>
  <c r="AB85" i="8"/>
  <c r="AC85" i="8"/>
  <c r="AB69" i="8"/>
  <c r="AC69" i="8"/>
  <c r="AB170" i="8"/>
  <c r="AC170" i="8"/>
  <c r="AB117" i="8"/>
  <c r="AC117" i="8"/>
  <c r="AB103" i="8"/>
  <c r="AC103" i="8"/>
  <c r="AB177" i="8"/>
  <c r="AC177" i="8"/>
  <c r="AB161" i="8"/>
  <c r="AC161" i="8"/>
  <c r="AB145" i="8"/>
  <c r="AC145" i="8"/>
  <c r="AB129" i="8"/>
  <c r="AC129" i="8"/>
  <c r="AB76" i="8"/>
  <c r="AC76" i="8"/>
  <c r="AB192" i="8"/>
  <c r="AC192" i="8"/>
  <c r="AB176" i="8"/>
  <c r="AC176" i="8"/>
  <c r="AB90" i="8"/>
  <c r="AC90" i="8"/>
  <c r="AB156" i="8"/>
  <c r="AC156" i="8"/>
  <c r="AB140" i="8"/>
  <c r="AC140" i="8"/>
  <c r="AB124" i="8"/>
  <c r="AC124" i="8"/>
  <c r="AB108" i="8"/>
  <c r="AC108" i="8"/>
  <c r="AB99" i="8"/>
  <c r="AC99" i="8"/>
  <c r="AB83" i="8"/>
  <c r="AC83" i="8"/>
  <c r="AB67" i="8"/>
  <c r="AC67" i="8"/>
  <c r="AB218" i="8"/>
  <c r="AA121" i="8"/>
  <c r="AA107" i="8"/>
  <c r="AA173" i="8"/>
  <c r="AA149" i="8"/>
  <c r="AA141" i="8"/>
  <c r="AA123" i="8"/>
  <c r="AA80" i="8"/>
  <c r="AA188" i="8"/>
  <c r="N144" i="9" s="1"/>
  <c r="AA172" i="8"/>
  <c r="AA160" i="8"/>
  <c r="AA144" i="8"/>
  <c r="AA120" i="8"/>
  <c r="AA104" i="8"/>
  <c r="AA95" i="8"/>
  <c r="AA79" i="8"/>
  <c r="AA63" i="8"/>
  <c r="AA113" i="8"/>
  <c r="AA187" i="8"/>
  <c r="N143" i="9" s="1"/>
  <c r="AA179" i="8"/>
  <c r="AA163" i="8"/>
  <c r="AA147" i="8"/>
  <c r="AA131" i="8"/>
  <c r="AA82" i="8"/>
  <c r="AA178" i="8"/>
  <c r="AA94" i="8"/>
  <c r="AA70" i="8"/>
  <c r="AA150" i="8"/>
  <c r="AA134" i="8"/>
  <c r="AA118" i="8"/>
  <c r="AA101" i="8"/>
  <c r="AA93" i="8"/>
  <c r="AA77" i="8"/>
  <c r="AA61" i="8"/>
  <c r="AA117" i="8"/>
  <c r="AA111" i="8"/>
  <c r="AA103" i="8"/>
  <c r="AA185" i="8"/>
  <c r="N141" i="9" s="1"/>
  <c r="AA177" i="8"/>
  <c r="AA169" i="8"/>
  <c r="AA161" i="8"/>
  <c r="AA153" i="8"/>
  <c r="AA145" i="8"/>
  <c r="AA137" i="8"/>
  <c r="AA129" i="8"/>
  <c r="AA64" i="8"/>
  <c r="AA76" i="8"/>
  <c r="AA74" i="8"/>
  <c r="AA192" i="8"/>
  <c r="AA184" i="8"/>
  <c r="N140" i="9" s="1"/>
  <c r="AA176" i="8"/>
  <c r="AA168" i="8"/>
  <c r="AA90" i="8"/>
  <c r="AA62" i="8"/>
  <c r="AA156" i="8"/>
  <c r="AA148" i="8"/>
  <c r="AA140" i="8"/>
  <c r="AA132" i="8"/>
  <c r="AA124" i="8"/>
  <c r="AA116" i="8"/>
  <c r="AA108" i="8"/>
  <c r="AA98" i="8"/>
  <c r="AA99" i="8"/>
  <c r="AA91" i="8"/>
  <c r="AA83" i="8"/>
  <c r="AA75" i="8"/>
  <c r="AA67" i="8"/>
  <c r="AA59" i="8"/>
  <c r="AA92" i="8"/>
  <c r="AA189" i="8"/>
  <c r="N145" i="9" s="1"/>
  <c r="AA181" i="8"/>
  <c r="AA165" i="8"/>
  <c r="AA157" i="8"/>
  <c r="AA133" i="8"/>
  <c r="AA96" i="8"/>
  <c r="AA88" i="8"/>
  <c r="AA180" i="8"/>
  <c r="AA164" i="8"/>
  <c r="AA78" i="8"/>
  <c r="AA152" i="8"/>
  <c r="AA136" i="8"/>
  <c r="AA128" i="8"/>
  <c r="AA112" i="8"/>
  <c r="AA58" i="8"/>
  <c r="AA87" i="8"/>
  <c r="AA71" i="8"/>
  <c r="AA119" i="8"/>
  <c r="AA105" i="8"/>
  <c r="AA171" i="8"/>
  <c r="AA155" i="8"/>
  <c r="AA139" i="8"/>
  <c r="AA84" i="8"/>
  <c r="AA100" i="8"/>
  <c r="AA68" i="8"/>
  <c r="AA186" i="8"/>
  <c r="N142" i="9" s="1"/>
  <c r="AA170" i="8"/>
  <c r="AA158" i="8"/>
  <c r="AA142" i="8"/>
  <c r="AA126" i="8"/>
  <c r="AA110" i="8"/>
  <c r="AA102" i="8"/>
  <c r="AA85" i="8"/>
  <c r="AA69" i="8"/>
  <c r="AA115" i="8"/>
  <c r="AA109" i="8"/>
  <c r="AA191" i="8"/>
  <c r="N147" i="9" s="1"/>
  <c r="AA183" i="8"/>
  <c r="N139" i="9" s="1"/>
  <c r="AA175" i="8"/>
  <c r="AA167" i="8"/>
  <c r="AA159" i="8"/>
  <c r="AA151" i="8"/>
  <c r="AA143" i="8"/>
  <c r="AA135" i="8"/>
  <c r="AA127" i="8"/>
  <c r="AA125" i="8"/>
  <c r="AA66" i="8"/>
  <c r="AA190" i="8"/>
  <c r="N146" i="9" s="1"/>
  <c r="AA182" i="8"/>
  <c r="AA174" i="8"/>
  <c r="AA166" i="8"/>
  <c r="AA86" i="8"/>
  <c r="AA162" i="8"/>
  <c r="AA154" i="8"/>
  <c r="AA146" i="8"/>
  <c r="AA138" i="8"/>
  <c r="AA130" i="8"/>
  <c r="AA122" i="8"/>
  <c r="AA114" i="8"/>
  <c r="AA106" i="8"/>
  <c r="AA60" i="8"/>
  <c r="AA97" i="8"/>
  <c r="AA89" i="8"/>
  <c r="AA81" i="8"/>
  <c r="AA73" i="8"/>
  <c r="AA65" i="8"/>
  <c r="AA57" i="8"/>
  <c r="AB214" i="8"/>
  <c r="AB217" i="8"/>
  <c r="AQ55" i="8"/>
  <c r="AM55" i="8"/>
  <c r="AF55" i="8"/>
  <c r="AB215" i="8" l="1"/>
  <c r="AL135" i="9" l="1"/>
  <c r="AN135" i="9"/>
  <c r="AL129" i="9"/>
  <c r="AN129" i="9"/>
  <c r="AL109" i="9"/>
  <c r="AN109" i="9"/>
  <c r="AL72" i="9"/>
  <c r="AN72" i="9"/>
  <c r="AL57" i="9"/>
  <c r="AN57" i="9"/>
  <c r="AL136" i="9"/>
  <c r="AN136" i="9"/>
  <c r="AL118" i="9"/>
  <c r="AN118" i="9"/>
  <c r="AL75" i="9"/>
  <c r="AN75" i="9"/>
  <c r="AL105" i="9"/>
  <c r="AN105" i="9"/>
  <c r="AL33" i="9"/>
  <c r="AN33" i="9"/>
  <c r="AL134" i="9"/>
  <c r="AN134" i="9"/>
  <c r="AL115" i="9"/>
  <c r="AN115" i="9"/>
  <c r="AL96" i="9"/>
  <c r="AN96" i="9"/>
  <c r="AL125" i="9"/>
  <c r="AN125" i="9"/>
  <c r="AL108" i="9"/>
  <c r="AN108" i="9"/>
  <c r="AL87" i="9"/>
  <c r="AN87" i="9"/>
  <c r="AL62" i="9"/>
  <c r="AN62" i="9"/>
  <c r="AL95" i="9"/>
  <c r="AN95" i="9"/>
  <c r="AL73" i="9"/>
  <c r="AN73" i="9"/>
  <c r="AL54" i="9"/>
  <c r="AN54" i="9"/>
  <c r="AL41" i="9"/>
  <c r="AN41" i="9"/>
  <c r="AL19" i="9"/>
  <c r="AN19" i="9"/>
  <c r="AL23" i="9"/>
  <c r="AN23" i="9"/>
  <c r="AL98" i="9"/>
  <c r="AN98" i="9"/>
  <c r="AL82" i="9"/>
  <c r="AN82" i="9"/>
  <c r="AL66" i="9"/>
  <c r="AN66" i="9"/>
  <c r="AL47" i="9"/>
  <c r="AN47" i="9"/>
  <c r="AL60" i="9"/>
  <c r="AN60" i="9"/>
  <c r="AL44" i="9"/>
  <c r="AN44" i="9"/>
  <c r="AL36" i="9"/>
  <c r="AN36" i="9"/>
  <c r="AL13" i="9"/>
  <c r="AN13" i="9"/>
  <c r="AL20" i="9"/>
  <c r="AN20" i="9"/>
  <c r="AL139" i="9"/>
  <c r="AN139" i="9"/>
  <c r="AL122" i="9"/>
  <c r="AN122" i="9"/>
  <c r="AL124" i="9"/>
  <c r="AN124" i="9"/>
  <c r="AL104" i="9"/>
  <c r="AN104" i="9"/>
  <c r="AL67" i="9"/>
  <c r="AN67" i="9"/>
  <c r="AL17" i="9"/>
  <c r="AN17" i="9"/>
  <c r="AL132" i="9"/>
  <c r="AN132" i="9"/>
  <c r="AL111" i="9"/>
  <c r="AN111" i="9"/>
  <c r="AL64" i="9"/>
  <c r="AN64" i="9"/>
  <c r="AL93" i="9"/>
  <c r="AN93" i="9"/>
  <c r="AL130" i="9"/>
  <c r="AN130" i="9"/>
  <c r="AL112" i="9"/>
  <c r="AN112" i="9"/>
  <c r="AL91" i="9"/>
  <c r="AN91" i="9"/>
  <c r="AL121" i="9"/>
  <c r="AN121" i="9"/>
  <c r="AL103" i="9"/>
  <c r="AN103" i="9"/>
  <c r="AL81" i="9"/>
  <c r="AN81" i="9"/>
  <c r="AL27" i="9"/>
  <c r="AN27" i="9"/>
  <c r="AL89" i="9"/>
  <c r="AN89" i="9"/>
  <c r="AL68" i="9"/>
  <c r="AN68" i="9"/>
  <c r="AL51" i="9"/>
  <c r="AN51" i="9"/>
  <c r="AL35" i="9"/>
  <c r="AN35" i="9"/>
  <c r="AL55" i="9"/>
  <c r="AN55" i="9"/>
  <c r="AL110" i="9"/>
  <c r="AN110" i="9"/>
  <c r="AL94" i="9"/>
  <c r="AN94" i="9"/>
  <c r="AL78" i="9"/>
  <c r="AN78" i="9"/>
  <c r="AL63" i="9"/>
  <c r="AN63" i="9"/>
  <c r="AL42" i="9"/>
  <c r="AN42" i="9"/>
  <c r="AL56" i="9"/>
  <c r="AN56" i="9"/>
  <c r="AL40" i="9"/>
  <c r="AN40" i="9"/>
  <c r="AL31" i="9"/>
  <c r="AN31" i="9"/>
  <c r="AL32" i="9"/>
  <c r="AN32" i="9"/>
  <c r="AL16" i="9"/>
  <c r="AN16" i="9"/>
  <c r="AL131" i="9"/>
  <c r="AN131" i="9"/>
  <c r="AL137" i="9"/>
  <c r="AN137" i="9"/>
  <c r="AL119" i="9"/>
  <c r="AN119" i="9"/>
  <c r="AL99" i="9"/>
  <c r="AN99" i="9"/>
  <c r="AL65" i="9"/>
  <c r="AN65" i="9"/>
  <c r="AL128" i="9"/>
  <c r="AN128" i="9"/>
  <c r="AL85" i="9"/>
  <c r="AN85" i="9"/>
  <c r="AL38" i="9"/>
  <c r="AN38" i="9"/>
  <c r="AL88" i="9"/>
  <c r="AN88" i="9"/>
  <c r="AL126" i="9"/>
  <c r="AN126" i="9"/>
  <c r="AL107" i="9"/>
  <c r="AN107" i="9"/>
  <c r="AL69" i="9"/>
  <c r="AN69" i="9"/>
  <c r="AL117" i="9"/>
  <c r="AN117" i="9"/>
  <c r="AL97" i="9"/>
  <c r="AN97" i="9"/>
  <c r="AL76" i="9"/>
  <c r="AN76" i="9"/>
  <c r="AL18" i="9"/>
  <c r="AN18" i="9"/>
  <c r="AL84" i="9"/>
  <c r="AN84" i="9"/>
  <c r="AL43" i="9"/>
  <c r="AN43" i="9"/>
  <c r="AL49" i="9"/>
  <c r="AN49" i="9"/>
  <c r="AL34" i="9"/>
  <c r="AN34" i="9"/>
  <c r="AL50" i="9"/>
  <c r="AN50" i="9"/>
  <c r="AL106" i="9"/>
  <c r="AN106" i="9"/>
  <c r="AL90" i="9"/>
  <c r="AN90" i="9"/>
  <c r="AL74" i="9"/>
  <c r="AN74" i="9"/>
  <c r="AL58" i="9"/>
  <c r="AN58" i="9"/>
  <c r="AL30" i="9"/>
  <c r="AN30" i="9"/>
  <c r="AL52" i="9"/>
  <c r="AN52" i="9"/>
  <c r="AL37" i="9"/>
  <c r="AN37" i="9"/>
  <c r="AL26" i="9"/>
  <c r="AN26" i="9"/>
  <c r="AL28" i="9"/>
  <c r="AN28" i="9"/>
  <c r="AL15" i="9"/>
  <c r="AN15" i="9"/>
  <c r="AL127" i="9"/>
  <c r="AN127" i="9"/>
  <c r="AL133" i="9"/>
  <c r="AN133" i="9"/>
  <c r="AL114" i="9"/>
  <c r="AN114" i="9"/>
  <c r="AL77" i="9"/>
  <c r="AN77" i="9"/>
  <c r="AL61" i="9"/>
  <c r="AN61" i="9"/>
  <c r="AL140" i="9"/>
  <c r="AN140" i="9"/>
  <c r="AL123" i="9"/>
  <c r="AN123" i="9"/>
  <c r="AL80" i="9"/>
  <c r="AN80" i="9"/>
  <c r="AL116" i="9"/>
  <c r="AN116" i="9"/>
  <c r="AL83" i="9"/>
  <c r="AN83" i="9"/>
  <c r="AL138" i="9"/>
  <c r="AN138" i="9"/>
  <c r="AL120" i="9"/>
  <c r="AN120" i="9"/>
  <c r="AL101" i="9"/>
  <c r="AN101" i="9"/>
  <c r="AL39" i="9"/>
  <c r="AN39" i="9"/>
  <c r="AL113" i="9"/>
  <c r="AN113" i="9"/>
  <c r="AL92" i="9"/>
  <c r="AN92" i="9"/>
  <c r="AL71" i="9"/>
  <c r="AN71" i="9"/>
  <c r="AL100" i="9"/>
  <c r="AN100" i="9"/>
  <c r="AL79" i="9"/>
  <c r="AN79" i="9"/>
  <c r="AL59" i="9"/>
  <c r="AN59" i="9"/>
  <c r="AL46" i="9"/>
  <c r="AN46" i="9"/>
  <c r="AL22" i="9"/>
  <c r="AN22" i="9"/>
  <c r="AL45" i="9"/>
  <c r="AN45" i="9"/>
  <c r="AL102" i="9"/>
  <c r="AN102" i="9"/>
  <c r="AL86" i="9"/>
  <c r="AN86" i="9"/>
  <c r="AL70" i="9"/>
  <c r="AN70" i="9"/>
  <c r="AL53" i="9"/>
  <c r="AN53" i="9"/>
  <c r="AL25" i="9"/>
  <c r="AN25" i="9"/>
  <c r="AL48" i="9"/>
  <c r="AN48" i="9"/>
  <c r="AL29" i="9"/>
  <c r="AN29" i="9"/>
  <c r="AL21" i="9"/>
  <c r="AN21" i="9"/>
  <c r="AL24" i="9"/>
  <c r="AN24" i="9"/>
  <c r="AL14" i="9"/>
  <c r="AN14" i="9"/>
  <c r="AC110" i="9"/>
  <c r="AC94" i="9"/>
  <c r="AC78" i="9"/>
  <c r="AC63" i="9"/>
  <c r="AC42" i="9"/>
  <c r="AC56" i="9"/>
  <c r="AC40" i="9"/>
  <c r="AC31" i="9"/>
  <c r="AC32" i="9"/>
  <c r="AC16" i="9"/>
  <c r="AC135" i="9"/>
  <c r="AC129" i="9"/>
  <c r="AC109" i="9"/>
  <c r="AC72" i="9"/>
  <c r="AC57" i="9"/>
  <c r="AC136" i="9"/>
  <c r="AC118" i="9"/>
  <c r="AC75" i="9"/>
  <c r="AC105" i="9"/>
  <c r="AC33" i="9"/>
  <c r="AC134" i="9"/>
  <c r="AC115" i="9"/>
  <c r="AC96" i="9"/>
  <c r="AC125" i="9"/>
  <c r="AC108" i="9"/>
  <c r="AC87" i="9"/>
  <c r="AC62" i="9"/>
  <c r="AC95" i="9"/>
  <c r="AC73" i="9"/>
  <c r="AC54" i="9"/>
  <c r="AC41" i="9"/>
  <c r="AC19" i="9"/>
  <c r="AC23" i="9"/>
  <c r="AC98" i="9"/>
  <c r="AC82" i="9"/>
  <c r="AC66" i="9"/>
  <c r="AC47" i="9"/>
  <c r="AC60" i="9"/>
  <c r="AC44" i="9"/>
  <c r="AC36" i="9"/>
  <c r="AC13" i="9"/>
  <c r="AC20" i="9"/>
  <c r="AC139" i="9"/>
  <c r="AC122" i="9"/>
  <c r="AC124" i="9"/>
  <c r="AC104" i="9"/>
  <c r="AC67" i="9"/>
  <c r="AC17" i="9"/>
  <c r="AC132" i="9"/>
  <c r="AC111" i="9"/>
  <c r="AC64" i="9"/>
  <c r="AC93" i="9"/>
  <c r="AC130" i="9"/>
  <c r="AC112" i="9"/>
  <c r="AC91" i="9"/>
  <c r="AC121" i="9"/>
  <c r="AC103" i="9"/>
  <c r="AC81" i="9"/>
  <c r="AC27" i="9"/>
  <c r="AC89" i="9"/>
  <c r="AC68" i="9"/>
  <c r="AC51" i="9"/>
  <c r="AC35" i="9"/>
  <c r="AC55" i="9"/>
  <c r="AC131" i="9"/>
  <c r="AC137" i="9"/>
  <c r="AC119" i="9"/>
  <c r="AC99" i="9"/>
  <c r="AC65" i="9"/>
  <c r="AC128" i="9"/>
  <c r="AC85" i="9"/>
  <c r="AC38" i="9"/>
  <c r="AC88" i="9"/>
  <c r="AC126" i="9"/>
  <c r="AC107" i="9"/>
  <c r="AC69" i="9"/>
  <c r="AC117" i="9"/>
  <c r="AC97" i="9"/>
  <c r="AC76" i="9"/>
  <c r="AC18" i="9"/>
  <c r="AC84" i="9"/>
  <c r="AC43" i="9"/>
  <c r="AC49" i="9"/>
  <c r="AC34" i="9"/>
  <c r="AC50" i="9"/>
  <c r="AC106" i="9"/>
  <c r="AC90" i="9"/>
  <c r="AC74" i="9"/>
  <c r="AC58" i="9"/>
  <c r="AC30" i="9"/>
  <c r="AC52" i="9"/>
  <c r="AC37" i="9"/>
  <c r="AC26" i="9"/>
  <c r="AC28" i="9"/>
  <c r="AC15" i="9"/>
  <c r="AC127" i="9"/>
  <c r="AC133" i="9"/>
  <c r="AC114" i="9"/>
  <c r="AC77" i="9"/>
  <c r="AC61" i="9"/>
  <c r="AC140" i="9"/>
  <c r="AC123" i="9"/>
  <c r="AC80" i="9"/>
  <c r="AC116" i="9"/>
  <c r="AC83" i="9"/>
  <c r="AC138" i="9"/>
  <c r="AC120" i="9"/>
  <c r="AC101" i="9"/>
  <c r="AC39" i="9"/>
  <c r="AC113" i="9"/>
  <c r="AC92" i="9"/>
  <c r="AC71" i="9"/>
  <c r="AC100" i="9"/>
  <c r="AC79" i="9"/>
  <c r="AC59" i="9"/>
  <c r="AC46" i="9"/>
  <c r="AC22" i="9"/>
  <c r="AC45" i="9"/>
  <c r="AC102" i="9"/>
  <c r="AC86" i="9"/>
  <c r="AC70" i="9"/>
  <c r="AC53" i="9"/>
  <c r="AC25" i="9"/>
  <c r="AC48" i="9"/>
  <c r="AC29" i="9"/>
  <c r="AC21" i="9"/>
  <c r="AC24" i="9"/>
  <c r="AC14" i="9"/>
  <c r="AV129" i="9"/>
  <c r="AA129" i="9"/>
  <c r="AA72" i="9"/>
  <c r="AV118" i="9"/>
  <c r="AA118" i="9"/>
  <c r="AV105" i="9"/>
  <c r="AA105" i="9"/>
  <c r="AV115" i="9"/>
  <c r="AA115" i="9"/>
  <c r="AV125" i="9"/>
  <c r="AA125" i="9"/>
  <c r="AV108" i="9"/>
  <c r="AA108" i="9"/>
  <c r="AV95" i="9"/>
  <c r="AA95" i="9"/>
  <c r="AA41" i="9"/>
  <c r="AA23" i="9"/>
  <c r="AV82" i="9"/>
  <c r="AA82" i="9"/>
  <c r="AA47" i="9"/>
  <c r="AA44" i="9"/>
  <c r="AA13" i="9"/>
  <c r="AV122" i="9"/>
  <c r="AA122" i="9"/>
  <c r="AV104" i="9"/>
  <c r="AA104" i="9"/>
  <c r="AA17" i="9"/>
  <c r="AV111" i="9"/>
  <c r="AA111" i="9"/>
  <c r="AA64" i="9"/>
  <c r="AV130" i="9"/>
  <c r="AA130" i="9"/>
  <c r="AV91" i="9"/>
  <c r="AA91" i="9"/>
  <c r="AV103" i="9"/>
  <c r="AA103" i="9"/>
  <c r="AV89" i="9"/>
  <c r="AA89" i="9"/>
  <c r="AA51" i="9"/>
  <c r="AV110" i="9"/>
  <c r="AA110" i="9"/>
  <c r="AV78" i="9"/>
  <c r="AA78" i="9"/>
  <c r="AA42" i="9"/>
  <c r="AA40" i="9"/>
  <c r="AA32" i="9"/>
  <c r="AA16" i="9"/>
  <c r="AV131" i="9"/>
  <c r="AA131" i="9"/>
  <c r="AV137" i="9"/>
  <c r="AA137" i="9"/>
  <c r="AV119" i="9"/>
  <c r="AA119" i="9"/>
  <c r="AV99" i="9"/>
  <c r="AA99" i="9"/>
  <c r="AA65" i="9"/>
  <c r="AV128" i="9"/>
  <c r="AA128" i="9"/>
  <c r="AV85" i="9"/>
  <c r="AA85" i="9"/>
  <c r="AA38" i="9"/>
  <c r="AV88" i="9"/>
  <c r="AA88" i="9"/>
  <c r="AV126" i="9"/>
  <c r="AA126" i="9"/>
  <c r="AV107" i="9"/>
  <c r="AA107" i="9"/>
  <c r="AA69" i="9"/>
  <c r="AV117" i="9"/>
  <c r="AA117" i="9"/>
  <c r="AV97" i="9"/>
  <c r="AA97" i="9"/>
  <c r="AV76" i="9"/>
  <c r="AA76" i="9"/>
  <c r="AA18" i="9"/>
  <c r="AV84" i="9"/>
  <c r="AA84" i="9"/>
  <c r="AA43" i="9"/>
  <c r="AA49" i="9"/>
  <c r="AA34" i="9"/>
  <c r="AA50" i="9"/>
  <c r="AV106" i="9"/>
  <c r="AA106" i="9"/>
  <c r="AV90" i="9"/>
  <c r="AA90" i="9"/>
  <c r="AA74" i="9"/>
  <c r="AA58" i="9"/>
  <c r="AA30" i="9"/>
  <c r="AA52" i="9"/>
  <c r="AA37" i="9"/>
  <c r="AA26" i="9"/>
  <c r="AA28" i="9"/>
  <c r="AA15" i="9"/>
  <c r="AV135" i="9"/>
  <c r="AA135" i="9"/>
  <c r="AV109" i="9"/>
  <c r="AA109" i="9"/>
  <c r="AA57" i="9"/>
  <c r="AV136" i="9"/>
  <c r="AA136" i="9"/>
  <c r="AA75" i="9"/>
  <c r="AA33" i="9"/>
  <c r="AV134" i="9"/>
  <c r="AA134" i="9"/>
  <c r="AV96" i="9"/>
  <c r="AA96" i="9"/>
  <c r="AV87" i="9"/>
  <c r="AA87" i="9"/>
  <c r="AA62" i="9"/>
  <c r="AA73" i="9"/>
  <c r="AA54" i="9"/>
  <c r="AA19" i="9"/>
  <c r="AV98" i="9"/>
  <c r="AA98" i="9"/>
  <c r="AA66" i="9"/>
  <c r="AA60" i="9"/>
  <c r="AA36" i="9"/>
  <c r="AA20" i="9"/>
  <c r="AV139" i="9"/>
  <c r="AA139" i="9"/>
  <c r="AV124" i="9"/>
  <c r="AA124" i="9"/>
  <c r="AA67" i="9"/>
  <c r="AV132" i="9"/>
  <c r="AA132" i="9"/>
  <c r="AV93" i="9"/>
  <c r="AA93" i="9"/>
  <c r="AV112" i="9"/>
  <c r="AA112" i="9"/>
  <c r="AV121" i="9"/>
  <c r="AA121" i="9"/>
  <c r="AV81" i="9"/>
  <c r="AA81" i="9"/>
  <c r="AA27" i="9"/>
  <c r="AA68" i="9"/>
  <c r="AA35" i="9"/>
  <c r="AA55" i="9"/>
  <c r="AV94" i="9"/>
  <c r="AA94" i="9"/>
  <c r="AA63" i="9"/>
  <c r="AA56" i="9"/>
  <c r="AA31" i="9"/>
  <c r="AV127" i="9"/>
  <c r="AA127" i="9"/>
  <c r="AV133" i="9"/>
  <c r="AA133" i="9"/>
  <c r="AV114" i="9"/>
  <c r="AA114" i="9"/>
  <c r="AV77" i="9"/>
  <c r="AA77" i="9"/>
  <c r="AA61" i="9"/>
  <c r="AV140" i="9"/>
  <c r="AA140" i="9"/>
  <c r="AV123" i="9"/>
  <c r="AA123" i="9"/>
  <c r="AV80" i="9"/>
  <c r="AA80" i="9"/>
  <c r="AV116" i="9"/>
  <c r="AA116" i="9"/>
  <c r="AV83" i="9"/>
  <c r="AA83" i="9"/>
  <c r="AV138" i="9"/>
  <c r="AA138" i="9"/>
  <c r="AV120" i="9"/>
  <c r="AA120" i="9"/>
  <c r="AV101" i="9"/>
  <c r="AA101" i="9"/>
  <c r="AA39" i="9"/>
  <c r="AV113" i="9"/>
  <c r="AA113" i="9"/>
  <c r="AV92" i="9"/>
  <c r="AA92" i="9"/>
  <c r="AA71" i="9"/>
  <c r="AV100" i="9"/>
  <c r="AA100" i="9"/>
  <c r="AV79" i="9"/>
  <c r="AA79" i="9"/>
  <c r="AA59" i="9"/>
  <c r="AA46" i="9"/>
  <c r="AA22" i="9"/>
  <c r="AA45" i="9"/>
  <c r="AV102" i="9"/>
  <c r="AA102" i="9"/>
  <c r="AV86" i="9"/>
  <c r="AA86" i="9"/>
  <c r="AA70" i="9"/>
  <c r="AA53" i="9"/>
  <c r="AA25" i="9"/>
  <c r="AA48" i="9"/>
  <c r="AA29" i="9"/>
  <c r="AA21" i="9"/>
  <c r="AA24" i="9"/>
  <c r="AA14" i="9"/>
  <c r="AY48" i="8" l="1"/>
  <c r="AU58" i="8" l="1"/>
  <c r="AU92" i="8"/>
  <c r="CB92" i="8" s="1"/>
  <c r="AU108" i="8"/>
  <c r="CB108" i="8" s="1"/>
  <c r="AU124" i="8"/>
  <c r="CB124" i="8" s="1"/>
  <c r="AU140" i="8"/>
  <c r="CB140" i="8" s="1"/>
  <c r="AU156" i="8"/>
  <c r="CB156" i="8" s="1"/>
  <c r="AU172" i="8"/>
  <c r="CB172" i="8" s="1"/>
  <c r="AU188" i="8"/>
  <c r="CB188" i="8" s="1"/>
  <c r="AU134" i="8"/>
  <c r="AU182" i="8"/>
  <c r="CB182" i="8" s="1"/>
  <c r="AU111" i="8"/>
  <c r="CB111" i="8" s="1"/>
  <c r="AU151" i="8"/>
  <c r="CB151" i="8" s="1"/>
  <c r="AU77" i="8"/>
  <c r="AU93" i="8"/>
  <c r="CB93" i="8" s="1"/>
  <c r="AU109" i="8"/>
  <c r="CB109" i="8" s="1"/>
  <c r="AU125" i="8"/>
  <c r="CB125" i="8" s="1"/>
  <c r="AU141" i="8"/>
  <c r="CB141" i="8" s="1"/>
  <c r="AU157" i="8"/>
  <c r="CB157" i="8" s="1"/>
  <c r="AU173" i="8"/>
  <c r="CB173" i="8" s="1"/>
  <c r="AU189" i="8"/>
  <c r="CB189" i="8" s="1"/>
  <c r="AU90" i="8"/>
  <c r="CB90" i="8" s="1"/>
  <c r="AU106" i="8"/>
  <c r="CB106" i="8" s="1"/>
  <c r="AU130" i="8"/>
  <c r="CB130" i="8" s="1"/>
  <c r="AU154" i="8"/>
  <c r="CB154" i="8" s="1"/>
  <c r="AU178" i="8"/>
  <c r="CB178" i="8" s="1"/>
  <c r="AU87" i="8"/>
  <c r="CB87" i="8" s="1"/>
  <c r="AU115" i="8"/>
  <c r="AU139" i="8"/>
  <c r="AU167" i="8"/>
  <c r="AU187" i="8"/>
  <c r="CB187" i="8" s="1"/>
  <c r="AU63" i="8"/>
  <c r="AU70" i="8"/>
  <c r="AU72" i="8"/>
  <c r="AU65" i="8"/>
  <c r="AU76" i="8"/>
  <c r="AU80" i="8"/>
  <c r="CB80" i="8" s="1"/>
  <c r="AU96" i="8"/>
  <c r="CB96" i="8" s="1"/>
  <c r="AU112" i="8"/>
  <c r="CB112" i="8" s="1"/>
  <c r="AU128" i="8"/>
  <c r="AU144" i="8"/>
  <c r="CB144" i="8" s="1"/>
  <c r="AU160" i="8"/>
  <c r="CB160" i="8" s="1"/>
  <c r="AU176" i="8"/>
  <c r="CB176" i="8" s="1"/>
  <c r="AU192" i="8"/>
  <c r="CB192" i="8" s="1"/>
  <c r="AU146" i="8"/>
  <c r="CB146" i="8" s="1"/>
  <c r="AU79" i="8"/>
  <c r="AU119" i="8"/>
  <c r="CB119" i="8" s="1"/>
  <c r="AU163" i="8"/>
  <c r="CB163" i="8" s="1"/>
  <c r="AU81" i="8"/>
  <c r="CB81" i="8" s="1"/>
  <c r="AU97" i="8"/>
  <c r="CB97" i="8" s="1"/>
  <c r="AU113" i="8"/>
  <c r="CB113" i="8" s="1"/>
  <c r="AU129" i="8"/>
  <c r="CB129" i="8" s="1"/>
  <c r="AU145" i="8"/>
  <c r="CB145" i="8" s="1"/>
  <c r="AU161" i="8"/>
  <c r="CB161" i="8" s="1"/>
  <c r="AU177" i="8"/>
  <c r="CB177" i="8" s="1"/>
  <c r="AU78" i="8"/>
  <c r="CB78" i="8" s="1"/>
  <c r="AU94" i="8"/>
  <c r="CB94" i="8" s="1"/>
  <c r="AU110" i="8"/>
  <c r="CB110" i="8" s="1"/>
  <c r="AU138" i="8"/>
  <c r="CB138" i="8" s="1"/>
  <c r="AU162" i="8"/>
  <c r="CB162" i="8" s="1"/>
  <c r="AU186" i="8"/>
  <c r="CB186" i="8" s="1"/>
  <c r="AU95" i="8"/>
  <c r="CB95" i="8" s="1"/>
  <c r="AU123" i="8"/>
  <c r="CB123" i="8" s="1"/>
  <c r="AU147" i="8"/>
  <c r="CB147" i="8" s="1"/>
  <c r="AU171" i="8"/>
  <c r="AU57" i="8"/>
  <c r="AU60" i="8"/>
  <c r="AU67" i="8"/>
  <c r="AU69" i="8"/>
  <c r="AU68" i="8"/>
  <c r="AU84" i="8"/>
  <c r="CB84" i="8" s="1"/>
  <c r="AU100" i="8"/>
  <c r="CB100" i="8" s="1"/>
  <c r="AU116" i="8"/>
  <c r="CB116" i="8" s="1"/>
  <c r="AU132" i="8"/>
  <c r="AU148" i="8"/>
  <c r="CB148" i="8" s="1"/>
  <c r="AU164" i="8"/>
  <c r="CB164" i="8" s="1"/>
  <c r="AU180" i="8"/>
  <c r="CB180" i="8" s="1"/>
  <c r="AU114" i="8"/>
  <c r="CB114" i="8" s="1"/>
  <c r="AU158" i="8"/>
  <c r="AU91" i="8"/>
  <c r="CB91" i="8" s="1"/>
  <c r="AU131" i="8"/>
  <c r="AU179" i="8"/>
  <c r="CB179" i="8" s="1"/>
  <c r="AU85" i="8"/>
  <c r="CB85" i="8" s="1"/>
  <c r="AU101" i="8"/>
  <c r="CB101" i="8" s="1"/>
  <c r="AU117" i="8"/>
  <c r="AU133" i="8"/>
  <c r="CB133" i="8" s="1"/>
  <c r="AU149" i="8"/>
  <c r="CB149" i="8" s="1"/>
  <c r="AU165" i="8"/>
  <c r="CB165" i="8" s="1"/>
  <c r="AU181" i="8"/>
  <c r="CB181" i="8" s="1"/>
  <c r="AU82" i="8"/>
  <c r="CB82" i="8" s="1"/>
  <c r="AU98" i="8"/>
  <c r="CB98" i="8" s="1"/>
  <c r="AU118" i="8"/>
  <c r="AU142" i="8"/>
  <c r="CB142" i="8" s="1"/>
  <c r="AU166" i="8"/>
  <c r="CB166" i="8" s="1"/>
  <c r="AU190" i="8"/>
  <c r="CB190" i="8" s="1"/>
  <c r="AU99" i="8"/>
  <c r="CB99" i="8" s="1"/>
  <c r="AU127" i="8"/>
  <c r="CB127" i="8" s="1"/>
  <c r="AU155" i="8"/>
  <c r="CB155" i="8" s="1"/>
  <c r="AU175" i="8"/>
  <c r="CB175" i="8" s="1"/>
  <c r="AU73" i="8"/>
  <c r="AU61" i="8"/>
  <c r="AU64" i="8"/>
  <c r="AU59" i="8"/>
  <c r="AU74" i="8"/>
  <c r="AU88" i="8"/>
  <c r="CB88" i="8" s="1"/>
  <c r="AU104" i="8"/>
  <c r="CB104" i="8" s="1"/>
  <c r="AU120" i="8"/>
  <c r="CB120" i="8" s="1"/>
  <c r="AU136" i="8"/>
  <c r="CB136" i="8" s="1"/>
  <c r="AU152" i="8"/>
  <c r="CB152" i="8" s="1"/>
  <c r="AU168" i="8"/>
  <c r="CB168" i="8" s="1"/>
  <c r="AU184" i="8"/>
  <c r="CB184" i="8" s="1"/>
  <c r="AU126" i="8"/>
  <c r="CB126" i="8" s="1"/>
  <c r="AU170" i="8"/>
  <c r="CB170" i="8" s="1"/>
  <c r="AU103" i="8"/>
  <c r="CB103" i="8" s="1"/>
  <c r="AU143" i="8"/>
  <c r="CB143" i="8" s="1"/>
  <c r="AU191" i="8"/>
  <c r="CB191" i="8" s="1"/>
  <c r="AU89" i="8"/>
  <c r="AU105" i="8"/>
  <c r="AU121" i="8"/>
  <c r="CB121" i="8" s="1"/>
  <c r="AU137" i="8"/>
  <c r="CB137" i="8" s="1"/>
  <c r="AU153" i="8"/>
  <c r="CB153" i="8" s="1"/>
  <c r="AU169" i="8"/>
  <c r="CB169" i="8" s="1"/>
  <c r="AU185" i="8"/>
  <c r="CB185" i="8" s="1"/>
  <c r="AU86" i="8"/>
  <c r="AU102" i="8"/>
  <c r="CB102" i="8" s="1"/>
  <c r="AU122" i="8"/>
  <c r="CB122" i="8" s="1"/>
  <c r="AU150" i="8"/>
  <c r="AU174" i="8"/>
  <c r="CB174" i="8" s="1"/>
  <c r="AU83" i="8"/>
  <c r="CB83" i="8" s="1"/>
  <c r="AU107" i="8"/>
  <c r="CB107" i="8" s="1"/>
  <c r="AU135" i="8"/>
  <c r="CB135" i="8" s="1"/>
  <c r="AU159" i="8"/>
  <c r="CB159" i="8" s="1"/>
  <c r="AU183" i="8"/>
  <c r="CB183" i="8" s="1"/>
  <c r="AU66" i="8"/>
  <c r="AU56" i="8"/>
  <c r="BW56" i="8" s="1"/>
  <c r="AU71" i="8"/>
  <c r="AU75" i="8"/>
  <c r="AU62" i="8"/>
  <c r="V10" i="10"/>
  <c r="BU10" i="10"/>
  <c r="AM10" i="10"/>
  <c r="BO10" i="10"/>
  <c r="AA10" i="10"/>
  <c r="Q10" i="10"/>
  <c r="AJ10" i="10"/>
  <c r="AE10" i="10"/>
  <c r="BZ56" i="8" l="1"/>
  <c r="BY138" i="8"/>
  <c r="BZ138" i="8"/>
  <c r="BY87" i="8"/>
  <c r="BZ87" i="8"/>
  <c r="BY106" i="8"/>
  <c r="BZ106" i="8"/>
  <c r="BY79" i="8"/>
  <c r="BZ79" i="8"/>
  <c r="BY187" i="8"/>
  <c r="BZ187" i="8"/>
  <c r="BY135" i="8"/>
  <c r="BZ135" i="8"/>
  <c r="BY72" i="8"/>
  <c r="BZ72" i="8"/>
  <c r="BY191" i="8"/>
  <c r="BZ191" i="8"/>
  <c r="BY68" i="8"/>
  <c r="BZ68" i="8"/>
  <c r="BY128" i="8"/>
  <c r="BZ128" i="8"/>
  <c r="BY92" i="8"/>
  <c r="BZ92" i="8"/>
  <c r="BY184" i="8"/>
  <c r="BZ184" i="8"/>
  <c r="BY148" i="8"/>
  <c r="BZ148" i="8"/>
  <c r="BY170" i="8"/>
  <c r="BZ170" i="8"/>
  <c r="BY149" i="8"/>
  <c r="BZ149" i="8"/>
  <c r="BY95" i="8"/>
  <c r="BZ95" i="8"/>
  <c r="BY150" i="8"/>
  <c r="BZ150" i="8"/>
  <c r="BY130" i="8"/>
  <c r="BZ130" i="8"/>
  <c r="BY142" i="8"/>
  <c r="BZ142" i="8"/>
  <c r="BY98" i="8"/>
  <c r="BZ98" i="8"/>
  <c r="BY134" i="8"/>
  <c r="BZ134" i="8"/>
  <c r="BY185" i="8"/>
  <c r="BZ185" i="8"/>
  <c r="BY190" i="8"/>
  <c r="BZ190" i="8"/>
  <c r="BY169" i="8"/>
  <c r="BZ169" i="8"/>
  <c r="BY127" i="8"/>
  <c r="BZ127" i="8"/>
  <c r="BY70" i="8"/>
  <c r="BZ70" i="8"/>
  <c r="BY183" i="8"/>
  <c r="BZ183" i="8"/>
  <c r="BY65" i="8"/>
  <c r="BZ65" i="8"/>
  <c r="BY120" i="8"/>
  <c r="BZ120" i="8"/>
  <c r="BY84" i="8"/>
  <c r="BZ84" i="8"/>
  <c r="BY121" i="8"/>
  <c r="BZ121" i="8"/>
  <c r="BY85" i="8"/>
  <c r="BZ85" i="8"/>
  <c r="BY163" i="8"/>
  <c r="BZ163" i="8"/>
  <c r="BY154" i="8"/>
  <c r="BZ154" i="8"/>
  <c r="BY86" i="8"/>
  <c r="BZ86" i="8"/>
  <c r="BY122" i="8"/>
  <c r="BZ122" i="8"/>
  <c r="BY78" i="8"/>
  <c r="BZ78" i="8"/>
  <c r="BY90" i="8"/>
  <c r="BZ90" i="8"/>
  <c r="BY189" i="8"/>
  <c r="BZ189" i="8"/>
  <c r="BY178" i="8"/>
  <c r="BZ178" i="8"/>
  <c r="BY126" i="8"/>
  <c r="BZ126" i="8"/>
  <c r="BY162" i="8"/>
  <c r="BZ162" i="8"/>
  <c r="BY182" i="8"/>
  <c r="BZ182" i="8"/>
  <c r="BY139" i="8"/>
  <c r="BZ139" i="8"/>
  <c r="BY119" i="8"/>
  <c r="BZ119" i="8"/>
  <c r="BY67" i="8"/>
  <c r="BZ67" i="8"/>
  <c r="BY175" i="8"/>
  <c r="BZ175" i="8"/>
  <c r="BY69" i="8"/>
  <c r="BZ69" i="8"/>
  <c r="BY176" i="8"/>
  <c r="BZ176" i="8"/>
  <c r="BY140" i="8"/>
  <c r="BZ140" i="8"/>
  <c r="BY146" i="8"/>
  <c r="BZ146" i="8"/>
  <c r="BY171" i="8"/>
  <c r="BZ171" i="8"/>
  <c r="BY181" i="8"/>
  <c r="BZ181" i="8"/>
  <c r="BY155" i="8"/>
  <c r="BZ155" i="8"/>
  <c r="BY118" i="8"/>
  <c r="BZ118" i="8"/>
  <c r="BY131" i="8"/>
  <c r="BZ131" i="8"/>
  <c r="BY174" i="8"/>
  <c r="BZ174" i="8"/>
  <c r="BY107" i="8"/>
  <c r="BZ107" i="8"/>
  <c r="BY111" i="8"/>
  <c r="BZ111" i="8"/>
  <c r="BY71" i="8"/>
  <c r="BZ71" i="8"/>
  <c r="BY112" i="8"/>
  <c r="BZ112" i="8"/>
  <c r="BY58" i="8"/>
  <c r="BZ58" i="8"/>
  <c r="BY133" i="8"/>
  <c r="BZ133" i="8"/>
  <c r="BY113" i="8"/>
  <c r="BZ113" i="8"/>
  <c r="BY180" i="8"/>
  <c r="BZ180" i="8"/>
  <c r="BY153" i="8"/>
  <c r="BZ153" i="8"/>
  <c r="BY117" i="8"/>
  <c r="BZ117" i="8"/>
  <c r="BY147" i="8"/>
  <c r="BZ147" i="8"/>
  <c r="BY173" i="8"/>
  <c r="BZ173" i="8"/>
  <c r="BY123" i="8"/>
  <c r="BZ123" i="8"/>
  <c r="BY110" i="8"/>
  <c r="BZ110" i="8"/>
  <c r="BY99" i="8"/>
  <c r="BZ99" i="8"/>
  <c r="BY166" i="8"/>
  <c r="BZ166" i="8"/>
  <c r="BY64" i="8"/>
  <c r="BZ64" i="8"/>
  <c r="BY167" i="8"/>
  <c r="BZ167" i="8"/>
  <c r="BY114" i="8"/>
  <c r="BZ114" i="8"/>
  <c r="BY77" i="8"/>
  <c r="BZ77" i="8"/>
  <c r="BY188" i="8"/>
  <c r="BZ188" i="8"/>
  <c r="BY160" i="8"/>
  <c r="BZ160" i="8"/>
  <c r="BY152" i="8"/>
  <c r="BZ152" i="8"/>
  <c r="BY89" i="8"/>
  <c r="BZ89" i="8"/>
  <c r="BY172" i="8"/>
  <c r="BZ172" i="8"/>
  <c r="BY145" i="8"/>
  <c r="BZ145" i="8"/>
  <c r="BY109" i="8"/>
  <c r="BZ109" i="8"/>
  <c r="BY115" i="8"/>
  <c r="BZ115" i="8"/>
  <c r="BY165" i="8"/>
  <c r="BZ165" i="8"/>
  <c r="BY91" i="8"/>
  <c r="BZ91" i="8"/>
  <c r="BY102" i="8"/>
  <c r="BZ102" i="8"/>
  <c r="BY186" i="8"/>
  <c r="BZ186" i="8"/>
  <c r="BY103" i="8"/>
  <c r="BZ103" i="8"/>
  <c r="BY57" i="8"/>
  <c r="BZ57" i="8"/>
  <c r="BY161" i="8"/>
  <c r="BZ161" i="8"/>
  <c r="BY82" i="8"/>
  <c r="BZ82" i="8"/>
  <c r="BY125" i="8"/>
  <c r="BZ125" i="8"/>
  <c r="BY97" i="8"/>
  <c r="BZ97" i="8"/>
  <c r="BY74" i="8"/>
  <c r="BZ74" i="8"/>
  <c r="BY124" i="8"/>
  <c r="BZ124" i="8"/>
  <c r="BY116" i="8"/>
  <c r="BZ116" i="8"/>
  <c r="BY60" i="8"/>
  <c r="BZ60" i="8"/>
  <c r="BY104" i="8"/>
  <c r="BZ104" i="8"/>
  <c r="BY61" i="8"/>
  <c r="BZ61" i="8"/>
  <c r="BY96" i="8"/>
  <c r="BZ96" i="8"/>
  <c r="BY66" i="8"/>
  <c r="BZ66" i="8"/>
  <c r="BY88" i="8"/>
  <c r="BZ88" i="8"/>
  <c r="BY76" i="8"/>
  <c r="BZ76" i="8"/>
  <c r="BY144" i="8"/>
  <c r="BZ144" i="8"/>
  <c r="BY108" i="8"/>
  <c r="BZ108" i="8"/>
  <c r="BY81" i="8"/>
  <c r="BZ81" i="8"/>
  <c r="BY164" i="8"/>
  <c r="BZ164" i="8"/>
  <c r="BY137" i="8"/>
  <c r="BZ137" i="8"/>
  <c r="BY101" i="8"/>
  <c r="BZ101" i="8"/>
  <c r="BY83" i="8"/>
  <c r="BZ83" i="8"/>
  <c r="BY157" i="8"/>
  <c r="BZ157" i="8"/>
  <c r="BY179" i="8"/>
  <c r="BZ179" i="8"/>
  <c r="BY158" i="8"/>
  <c r="BZ158" i="8"/>
  <c r="BY141" i="8"/>
  <c r="BZ141" i="8"/>
  <c r="BY105" i="8"/>
  <c r="BZ105" i="8"/>
  <c r="BY168" i="8"/>
  <c r="BZ168" i="8"/>
  <c r="BY132" i="8"/>
  <c r="BZ132" i="8"/>
  <c r="BY62" i="8"/>
  <c r="BZ62" i="8"/>
  <c r="BY159" i="8"/>
  <c r="BZ159" i="8"/>
  <c r="BY59" i="8"/>
  <c r="BZ59" i="8"/>
  <c r="BY151" i="8"/>
  <c r="BZ151" i="8"/>
  <c r="BY63" i="8"/>
  <c r="BZ63" i="8"/>
  <c r="BY143" i="8"/>
  <c r="BZ143" i="8"/>
  <c r="BY75" i="8"/>
  <c r="BZ75" i="8"/>
  <c r="BY80" i="8"/>
  <c r="BZ80" i="8"/>
  <c r="BY73" i="8"/>
  <c r="BZ73" i="8"/>
  <c r="BY136" i="8"/>
  <c r="BZ136" i="8"/>
  <c r="BY100" i="8"/>
  <c r="BZ100" i="8"/>
  <c r="BY192" i="8"/>
  <c r="BZ192" i="8"/>
  <c r="BY156" i="8"/>
  <c r="BZ156" i="8"/>
  <c r="BY129" i="8"/>
  <c r="BZ129" i="8"/>
  <c r="BY93" i="8"/>
  <c r="BZ93" i="8"/>
  <c r="BY177" i="8"/>
  <c r="BZ177" i="8"/>
  <c r="BY94" i="8"/>
  <c r="BZ94" i="8"/>
  <c r="BX56" i="8"/>
  <c r="BY56" i="8"/>
  <c r="BW159" i="8"/>
  <c r="BX159" i="8"/>
  <c r="BW63" i="8"/>
  <c r="BX63" i="8"/>
  <c r="BW80" i="8"/>
  <c r="BX80" i="8"/>
  <c r="BW100" i="8"/>
  <c r="BX100" i="8"/>
  <c r="BW156" i="8"/>
  <c r="BX156" i="8"/>
  <c r="BW94" i="8"/>
  <c r="BX94" i="8"/>
  <c r="BW95" i="8"/>
  <c r="BX95" i="8"/>
  <c r="BW87" i="8"/>
  <c r="BX87" i="8"/>
  <c r="BW187" i="8"/>
  <c r="BX187" i="8"/>
  <c r="BW191" i="8"/>
  <c r="BX191" i="8"/>
  <c r="BW68" i="8"/>
  <c r="BX68" i="8"/>
  <c r="BW92" i="8"/>
  <c r="BX92" i="8"/>
  <c r="BW148" i="8"/>
  <c r="BX148" i="8"/>
  <c r="BW149" i="8"/>
  <c r="BX149" i="8"/>
  <c r="BW130" i="8"/>
  <c r="BX130" i="8"/>
  <c r="BW185" i="8"/>
  <c r="BX185" i="8"/>
  <c r="BW127" i="8"/>
  <c r="BX127" i="8"/>
  <c r="BW65" i="8"/>
  <c r="BX65" i="8"/>
  <c r="BW84" i="8"/>
  <c r="BX84" i="8"/>
  <c r="BW121" i="8"/>
  <c r="BX121" i="8"/>
  <c r="BW86" i="8"/>
  <c r="BX86" i="8"/>
  <c r="BW78" i="8"/>
  <c r="BX78" i="8"/>
  <c r="BW189" i="8"/>
  <c r="BX189" i="8"/>
  <c r="BW178" i="8"/>
  <c r="BX178" i="8"/>
  <c r="BW162" i="8"/>
  <c r="BX162" i="8"/>
  <c r="BW182" i="8"/>
  <c r="BX182" i="8"/>
  <c r="BW119" i="8"/>
  <c r="BX119" i="8"/>
  <c r="BW67" i="8"/>
  <c r="BX67" i="8"/>
  <c r="BW175" i="8"/>
  <c r="BX175" i="8"/>
  <c r="BW69" i="8"/>
  <c r="BX69" i="8"/>
  <c r="BW176" i="8"/>
  <c r="BX176" i="8"/>
  <c r="BW140" i="8"/>
  <c r="BX140" i="8"/>
  <c r="BW146" i="8"/>
  <c r="BX146" i="8"/>
  <c r="BW141" i="8"/>
  <c r="BX141" i="8"/>
  <c r="BW114" i="8"/>
  <c r="BX114" i="8"/>
  <c r="BW133" i="8"/>
  <c r="BX133" i="8"/>
  <c r="BW82" i="8"/>
  <c r="BX82" i="8"/>
  <c r="BW125" i="8"/>
  <c r="BX125" i="8"/>
  <c r="BW171" i="8"/>
  <c r="BX171" i="8"/>
  <c r="BW181" i="8"/>
  <c r="BX181" i="8"/>
  <c r="BW155" i="8"/>
  <c r="BX155" i="8"/>
  <c r="BW118" i="8"/>
  <c r="BX118" i="8"/>
  <c r="BW131" i="8"/>
  <c r="BX131" i="8"/>
  <c r="BW174" i="8"/>
  <c r="BX174" i="8"/>
  <c r="BW107" i="8"/>
  <c r="BX107" i="8"/>
  <c r="BW111" i="8"/>
  <c r="BX111" i="8"/>
  <c r="BW71" i="8"/>
  <c r="BX71" i="8"/>
  <c r="BW112" i="8"/>
  <c r="BX112" i="8"/>
  <c r="BW58" i="8"/>
  <c r="BX58" i="8"/>
  <c r="BW59" i="8"/>
  <c r="BX59" i="8"/>
  <c r="BW143" i="8"/>
  <c r="BX143" i="8"/>
  <c r="BW73" i="8"/>
  <c r="BX73" i="8"/>
  <c r="BW192" i="8"/>
  <c r="BX192" i="8"/>
  <c r="BW93" i="8"/>
  <c r="BX93" i="8"/>
  <c r="BW138" i="8"/>
  <c r="BX138" i="8"/>
  <c r="BW79" i="8"/>
  <c r="BX79" i="8"/>
  <c r="BW72" i="8"/>
  <c r="BX72" i="8"/>
  <c r="BW184" i="8"/>
  <c r="BX184" i="8"/>
  <c r="BW150" i="8"/>
  <c r="BX150" i="8"/>
  <c r="BW98" i="8"/>
  <c r="BX98" i="8"/>
  <c r="BW190" i="8"/>
  <c r="BX190" i="8"/>
  <c r="BW70" i="8"/>
  <c r="BX70" i="8"/>
  <c r="BW120" i="8"/>
  <c r="BX120" i="8"/>
  <c r="BW85" i="8"/>
  <c r="BX85" i="8"/>
  <c r="BW154" i="8"/>
  <c r="BX154" i="8"/>
  <c r="BW122" i="8"/>
  <c r="BX122" i="8"/>
  <c r="BW90" i="8"/>
  <c r="BX90" i="8"/>
  <c r="BW126" i="8"/>
  <c r="BX126" i="8"/>
  <c r="BW139" i="8"/>
  <c r="BX139" i="8"/>
  <c r="BW113" i="8"/>
  <c r="BX113" i="8"/>
  <c r="BW77" i="8"/>
  <c r="BX77" i="8"/>
  <c r="BW105" i="8"/>
  <c r="BX105" i="8"/>
  <c r="BW188" i="8"/>
  <c r="BX188" i="8"/>
  <c r="BW97" i="8"/>
  <c r="BX97" i="8"/>
  <c r="BW180" i="8"/>
  <c r="BX180" i="8"/>
  <c r="BW153" i="8"/>
  <c r="BX153" i="8"/>
  <c r="BW117" i="8"/>
  <c r="BX117" i="8"/>
  <c r="BW147" i="8"/>
  <c r="BX147" i="8"/>
  <c r="BW173" i="8"/>
  <c r="BX173" i="8"/>
  <c r="BW123" i="8"/>
  <c r="BX123" i="8"/>
  <c r="BW110" i="8"/>
  <c r="BX110" i="8"/>
  <c r="BW99" i="8"/>
  <c r="BX99" i="8"/>
  <c r="BW166" i="8"/>
  <c r="BX166" i="8"/>
  <c r="BW64" i="8"/>
  <c r="BX64" i="8"/>
  <c r="BW167" i="8"/>
  <c r="BX167" i="8"/>
  <c r="BW62" i="8"/>
  <c r="BX62" i="8"/>
  <c r="BW151" i="8"/>
  <c r="BX151" i="8"/>
  <c r="BW75" i="8"/>
  <c r="BX75" i="8"/>
  <c r="BW136" i="8"/>
  <c r="BX136" i="8"/>
  <c r="BW129" i="8"/>
  <c r="BX129" i="8"/>
  <c r="BW177" i="8"/>
  <c r="BX177" i="8"/>
  <c r="BW163" i="8"/>
  <c r="BX163" i="8"/>
  <c r="BW106" i="8"/>
  <c r="BX106" i="8"/>
  <c r="BW135" i="8"/>
  <c r="BX135" i="8"/>
  <c r="BW128" i="8"/>
  <c r="BX128" i="8"/>
  <c r="BW170" i="8"/>
  <c r="BX170" i="8"/>
  <c r="BW161" i="8"/>
  <c r="BX161" i="8"/>
  <c r="BW142" i="8"/>
  <c r="BX142" i="8"/>
  <c r="BW134" i="8"/>
  <c r="BX134" i="8"/>
  <c r="BW169" i="8"/>
  <c r="BX169" i="8"/>
  <c r="BW183" i="8"/>
  <c r="BX183" i="8"/>
  <c r="BW74" i="8"/>
  <c r="BX74" i="8"/>
  <c r="BW168" i="8"/>
  <c r="BX168" i="8"/>
  <c r="BW132" i="8"/>
  <c r="BX132" i="8"/>
  <c r="BW160" i="8"/>
  <c r="BX160" i="8"/>
  <c r="BW124" i="8"/>
  <c r="BX124" i="8"/>
  <c r="BW152" i="8"/>
  <c r="BX152" i="8"/>
  <c r="BW116" i="8"/>
  <c r="BX116" i="8"/>
  <c r="BW89" i="8"/>
  <c r="BX89" i="8"/>
  <c r="BW172" i="8"/>
  <c r="BX172" i="8"/>
  <c r="BW145" i="8"/>
  <c r="BX145" i="8"/>
  <c r="BW109" i="8"/>
  <c r="BX109" i="8"/>
  <c r="BW115" i="8"/>
  <c r="BX115" i="8"/>
  <c r="BW165" i="8"/>
  <c r="BX165" i="8"/>
  <c r="BW91" i="8"/>
  <c r="BX91" i="8"/>
  <c r="BW102" i="8"/>
  <c r="BX102" i="8"/>
  <c r="BW186" i="8"/>
  <c r="BX186" i="8"/>
  <c r="BW103" i="8"/>
  <c r="BX103" i="8"/>
  <c r="BW57" i="8"/>
  <c r="BX57" i="8"/>
  <c r="BW60" i="8"/>
  <c r="BX60" i="8"/>
  <c r="BW104" i="8"/>
  <c r="BX104" i="8"/>
  <c r="BW61" i="8"/>
  <c r="BX61" i="8"/>
  <c r="BW96" i="8"/>
  <c r="BX96" i="8"/>
  <c r="BW66" i="8"/>
  <c r="BX66" i="8"/>
  <c r="BW88" i="8"/>
  <c r="BX88" i="8"/>
  <c r="BW76" i="8"/>
  <c r="BX76" i="8"/>
  <c r="BW144" i="8"/>
  <c r="BX144" i="8"/>
  <c r="BW108" i="8"/>
  <c r="BX108" i="8"/>
  <c r="BW81" i="8"/>
  <c r="BX81" i="8"/>
  <c r="BW164" i="8"/>
  <c r="BX164" i="8"/>
  <c r="BW137" i="8"/>
  <c r="BX137" i="8"/>
  <c r="BW101" i="8"/>
  <c r="BX101" i="8"/>
  <c r="BW83" i="8"/>
  <c r="BX83" i="8"/>
  <c r="BW157" i="8"/>
  <c r="BX157" i="8"/>
  <c r="BW179" i="8"/>
  <c r="BX179" i="8"/>
  <c r="BW158" i="8"/>
  <c r="BX158" i="8"/>
  <c r="BU56" i="8"/>
  <c r="BG89" i="8"/>
  <c r="BU89" i="8"/>
  <c r="BG106" i="8"/>
  <c r="BU106" i="8"/>
  <c r="BG187" i="8"/>
  <c r="BU187" i="8"/>
  <c r="BG72" i="8"/>
  <c r="BU72" i="8"/>
  <c r="BG191" i="8"/>
  <c r="BU191" i="8"/>
  <c r="BG68" i="8"/>
  <c r="BU68" i="8"/>
  <c r="BG128" i="8"/>
  <c r="BU128" i="8"/>
  <c r="BG92" i="8"/>
  <c r="BU92" i="8"/>
  <c r="BG184" i="8"/>
  <c r="BU184" i="8"/>
  <c r="BG148" i="8"/>
  <c r="BU148" i="8"/>
  <c r="BG170" i="8"/>
  <c r="BU170" i="8"/>
  <c r="BG149" i="8"/>
  <c r="BU149" i="8"/>
  <c r="BG132" i="8"/>
  <c r="BU132" i="8"/>
  <c r="BG95" i="8"/>
  <c r="BU95" i="8"/>
  <c r="BG79" i="8"/>
  <c r="BU79" i="8"/>
  <c r="BG135" i="8"/>
  <c r="BU135" i="8"/>
  <c r="BG161" i="8"/>
  <c r="BU161" i="8"/>
  <c r="BG150" i="8"/>
  <c r="BU150" i="8"/>
  <c r="BG130" i="8"/>
  <c r="BU130" i="8"/>
  <c r="BG142" i="8"/>
  <c r="BU142" i="8"/>
  <c r="BG98" i="8"/>
  <c r="BU98" i="8"/>
  <c r="BG134" i="8"/>
  <c r="BU134" i="8"/>
  <c r="BG185" i="8"/>
  <c r="BU185" i="8"/>
  <c r="BG190" i="8"/>
  <c r="BU190" i="8"/>
  <c r="BG169" i="8"/>
  <c r="BU169" i="8"/>
  <c r="BG127" i="8"/>
  <c r="BU127" i="8"/>
  <c r="BG70" i="8"/>
  <c r="BU70" i="8"/>
  <c r="BG183" i="8"/>
  <c r="BU183" i="8"/>
  <c r="BG65" i="8"/>
  <c r="BU65" i="8"/>
  <c r="BG120" i="8"/>
  <c r="BU120" i="8"/>
  <c r="BG84" i="8"/>
  <c r="BU84" i="8"/>
  <c r="BG121" i="8"/>
  <c r="BU121" i="8"/>
  <c r="BG85" i="8"/>
  <c r="BU85" i="8"/>
  <c r="BG160" i="8"/>
  <c r="BU160" i="8"/>
  <c r="BG138" i="8"/>
  <c r="BU138" i="8"/>
  <c r="BG122" i="8"/>
  <c r="BU122" i="8"/>
  <c r="BG90" i="8"/>
  <c r="BU90" i="8"/>
  <c r="BG178" i="8"/>
  <c r="BU178" i="8"/>
  <c r="BG126" i="8"/>
  <c r="BU126" i="8"/>
  <c r="BG162" i="8"/>
  <c r="BU162" i="8"/>
  <c r="BG182" i="8"/>
  <c r="BU182" i="8"/>
  <c r="BG139" i="8"/>
  <c r="BU139" i="8"/>
  <c r="BG119" i="8"/>
  <c r="BU119" i="8"/>
  <c r="BG67" i="8"/>
  <c r="BU67" i="8"/>
  <c r="BG175" i="8"/>
  <c r="BU175" i="8"/>
  <c r="BG69" i="8"/>
  <c r="BU69" i="8"/>
  <c r="BG176" i="8"/>
  <c r="BU176" i="8"/>
  <c r="BG140" i="8"/>
  <c r="BU140" i="8"/>
  <c r="BG74" i="8"/>
  <c r="BU74" i="8"/>
  <c r="BG116" i="8"/>
  <c r="BU116" i="8"/>
  <c r="BG163" i="8"/>
  <c r="BU163" i="8"/>
  <c r="BG87" i="8"/>
  <c r="BU87" i="8"/>
  <c r="BG86" i="8"/>
  <c r="BU86" i="8"/>
  <c r="BG78" i="8"/>
  <c r="BU78" i="8"/>
  <c r="BG189" i="8"/>
  <c r="BU189" i="8"/>
  <c r="BG146" i="8"/>
  <c r="BU146" i="8"/>
  <c r="BG141" i="8"/>
  <c r="BU141" i="8"/>
  <c r="BG114" i="8"/>
  <c r="BU114" i="8"/>
  <c r="BG133" i="8"/>
  <c r="BU133" i="8"/>
  <c r="BG82" i="8"/>
  <c r="BU82" i="8"/>
  <c r="BG125" i="8"/>
  <c r="BU125" i="8"/>
  <c r="BG171" i="8"/>
  <c r="BU171" i="8"/>
  <c r="BG181" i="8"/>
  <c r="BU181" i="8"/>
  <c r="BG155" i="8"/>
  <c r="BU155" i="8"/>
  <c r="BG118" i="8"/>
  <c r="BU118" i="8"/>
  <c r="BG131" i="8"/>
  <c r="BU131" i="8"/>
  <c r="BG174" i="8"/>
  <c r="BU174" i="8"/>
  <c r="BG107" i="8"/>
  <c r="BU107" i="8"/>
  <c r="BG111" i="8"/>
  <c r="BU111" i="8"/>
  <c r="BG71" i="8"/>
  <c r="BU71" i="8"/>
  <c r="BG112" i="8"/>
  <c r="BU112" i="8"/>
  <c r="BG58" i="8"/>
  <c r="BU58" i="8"/>
  <c r="BG152" i="8"/>
  <c r="BU152" i="8"/>
  <c r="BG154" i="8"/>
  <c r="BU154" i="8"/>
  <c r="BG113" i="8"/>
  <c r="BU113" i="8"/>
  <c r="BG77" i="8"/>
  <c r="BU77" i="8"/>
  <c r="BG105" i="8"/>
  <c r="BU105" i="8"/>
  <c r="BG188" i="8"/>
  <c r="BU188" i="8"/>
  <c r="BG97" i="8"/>
  <c r="BU97" i="8"/>
  <c r="BG180" i="8"/>
  <c r="BU180" i="8"/>
  <c r="BG153" i="8"/>
  <c r="BU153" i="8"/>
  <c r="BG117" i="8"/>
  <c r="BU117" i="8"/>
  <c r="BG147" i="8"/>
  <c r="BU147" i="8"/>
  <c r="BG173" i="8"/>
  <c r="BU173" i="8"/>
  <c r="BG123" i="8"/>
  <c r="BU123" i="8"/>
  <c r="BG110" i="8"/>
  <c r="BU110" i="8"/>
  <c r="BG99" i="8"/>
  <c r="BU99" i="8"/>
  <c r="BG166" i="8"/>
  <c r="BU166" i="8"/>
  <c r="BG64" i="8"/>
  <c r="BU64" i="8"/>
  <c r="BG167" i="8"/>
  <c r="BU167" i="8"/>
  <c r="BG124" i="8"/>
  <c r="BU124" i="8"/>
  <c r="BG109" i="8"/>
  <c r="BU109" i="8"/>
  <c r="BG115" i="8"/>
  <c r="BU115" i="8"/>
  <c r="BG102" i="8"/>
  <c r="BU102" i="8"/>
  <c r="BG96" i="8"/>
  <c r="BU96" i="8"/>
  <c r="BG66" i="8"/>
  <c r="BU66" i="8"/>
  <c r="BG88" i="8"/>
  <c r="BU88" i="8"/>
  <c r="BG76" i="8"/>
  <c r="BU76" i="8"/>
  <c r="BG144" i="8"/>
  <c r="BU144" i="8"/>
  <c r="BG108" i="8"/>
  <c r="BU108" i="8"/>
  <c r="BG81" i="8"/>
  <c r="BU81" i="8"/>
  <c r="BG164" i="8"/>
  <c r="BU164" i="8"/>
  <c r="BG137" i="8"/>
  <c r="BU137" i="8"/>
  <c r="BG101" i="8"/>
  <c r="BU101" i="8"/>
  <c r="BG83" i="8"/>
  <c r="BU83" i="8"/>
  <c r="BG157" i="8"/>
  <c r="BU157" i="8"/>
  <c r="BG179" i="8"/>
  <c r="BU179" i="8"/>
  <c r="BG158" i="8"/>
  <c r="BU158" i="8"/>
  <c r="BG168" i="8"/>
  <c r="BU168" i="8"/>
  <c r="BG172" i="8"/>
  <c r="BU172" i="8"/>
  <c r="BG145" i="8"/>
  <c r="BU145" i="8"/>
  <c r="BG165" i="8"/>
  <c r="BU165" i="8"/>
  <c r="BG91" i="8"/>
  <c r="BU91" i="8"/>
  <c r="BG186" i="8"/>
  <c r="BU186" i="8"/>
  <c r="BG103" i="8"/>
  <c r="BU103" i="8"/>
  <c r="BG57" i="8"/>
  <c r="BU57" i="8"/>
  <c r="BG60" i="8"/>
  <c r="BU60" i="8"/>
  <c r="BG104" i="8"/>
  <c r="BU104" i="8"/>
  <c r="BG61" i="8"/>
  <c r="BU61" i="8"/>
  <c r="BG62" i="8"/>
  <c r="BU62" i="8"/>
  <c r="BG159" i="8"/>
  <c r="BU159" i="8"/>
  <c r="BG59" i="8"/>
  <c r="BU59" i="8"/>
  <c r="BG151" i="8"/>
  <c r="BU151" i="8"/>
  <c r="BG63" i="8"/>
  <c r="BU63" i="8"/>
  <c r="BG143" i="8"/>
  <c r="BU143" i="8"/>
  <c r="BG75" i="8"/>
  <c r="BU75" i="8"/>
  <c r="BG80" i="8"/>
  <c r="BU80" i="8"/>
  <c r="BG73" i="8"/>
  <c r="BU73" i="8"/>
  <c r="BG136" i="8"/>
  <c r="BU136" i="8"/>
  <c r="BG100" i="8"/>
  <c r="BU100" i="8"/>
  <c r="BG192" i="8"/>
  <c r="BU192" i="8"/>
  <c r="BG156" i="8"/>
  <c r="BU156" i="8"/>
  <c r="BG129" i="8"/>
  <c r="BU129" i="8"/>
  <c r="BG93" i="8"/>
  <c r="BU93" i="8"/>
  <c r="BG177" i="8"/>
  <c r="BU177" i="8"/>
  <c r="BG94" i="8"/>
  <c r="BU94" i="8"/>
  <c r="BG56" i="8"/>
  <c r="BF61" i="8"/>
  <c r="BB61" i="8"/>
  <c r="BC61" i="8"/>
  <c r="BD61" i="8"/>
  <c r="BE61" i="8"/>
  <c r="BC76" i="8"/>
  <c r="BB76" i="8"/>
  <c r="BD76" i="8"/>
  <c r="BE76" i="8"/>
  <c r="BF76" i="8"/>
  <c r="BF144" i="8"/>
  <c r="BB144" i="8"/>
  <c r="BC144" i="8"/>
  <c r="BD144" i="8"/>
  <c r="BE144" i="8"/>
  <c r="BC108" i="8"/>
  <c r="BD108" i="8"/>
  <c r="BE108" i="8"/>
  <c r="BB108" i="8"/>
  <c r="BF108" i="8"/>
  <c r="BB81" i="8"/>
  <c r="BC81" i="8"/>
  <c r="BD81" i="8"/>
  <c r="BE81" i="8"/>
  <c r="BF81" i="8"/>
  <c r="BC164" i="8"/>
  <c r="BB164" i="8"/>
  <c r="BD164" i="8"/>
  <c r="BE164" i="8"/>
  <c r="BF164" i="8"/>
  <c r="BB137" i="8"/>
  <c r="BE137" i="8"/>
  <c r="BF137" i="8"/>
  <c r="BC137" i="8"/>
  <c r="BD137" i="8"/>
  <c r="BF101" i="8"/>
  <c r="BB101" i="8"/>
  <c r="BC101" i="8"/>
  <c r="BD101" i="8"/>
  <c r="BE101" i="8"/>
  <c r="BB83" i="8"/>
  <c r="BC83" i="8"/>
  <c r="BF83" i="8"/>
  <c r="BD83" i="8"/>
  <c r="BE83" i="8"/>
  <c r="BF157" i="8"/>
  <c r="BE157" i="8"/>
  <c r="BB157" i="8"/>
  <c r="BC157" i="8"/>
  <c r="BD157" i="8"/>
  <c r="BE179" i="8"/>
  <c r="BF179" i="8"/>
  <c r="BB179" i="8"/>
  <c r="BC179" i="8"/>
  <c r="BD179" i="8"/>
  <c r="BB158" i="8"/>
  <c r="BE158" i="8"/>
  <c r="BF158" i="8"/>
  <c r="BC158" i="8"/>
  <c r="BD158" i="8"/>
  <c r="BE62" i="8"/>
  <c r="BF62" i="8"/>
  <c r="BB62" i="8"/>
  <c r="BC62" i="8"/>
  <c r="BD62" i="8"/>
  <c r="BD159" i="8"/>
  <c r="BE159" i="8"/>
  <c r="BF159" i="8"/>
  <c r="BB159" i="8"/>
  <c r="BC159" i="8"/>
  <c r="BB59" i="8"/>
  <c r="BC59" i="8"/>
  <c r="BD59" i="8"/>
  <c r="BE59" i="8"/>
  <c r="BF59" i="8"/>
  <c r="BD151" i="8"/>
  <c r="BC151" i="8"/>
  <c r="BE151" i="8"/>
  <c r="BF151" i="8"/>
  <c r="BB151" i="8"/>
  <c r="BD63" i="8"/>
  <c r="BB63" i="8"/>
  <c r="BE63" i="8"/>
  <c r="BF63" i="8"/>
  <c r="BC63" i="8"/>
  <c r="BD143" i="8"/>
  <c r="BB143" i="8"/>
  <c r="BC143" i="8"/>
  <c r="BE143" i="8"/>
  <c r="BF143" i="8"/>
  <c r="BD75" i="8"/>
  <c r="BE75" i="8"/>
  <c r="BF75" i="8"/>
  <c r="BB75" i="8"/>
  <c r="BC75" i="8"/>
  <c r="BF80" i="8"/>
  <c r="BE80" i="8"/>
  <c r="BB80" i="8"/>
  <c r="BC80" i="8"/>
  <c r="BD80" i="8"/>
  <c r="BB73" i="8"/>
  <c r="BE73" i="8"/>
  <c r="BF73" i="8"/>
  <c r="BC73" i="8"/>
  <c r="BD73" i="8"/>
  <c r="BB136" i="8"/>
  <c r="BE136" i="8"/>
  <c r="BF136" i="8"/>
  <c r="BC136" i="8"/>
  <c r="BD136" i="8"/>
  <c r="BC100" i="8"/>
  <c r="BB100" i="8"/>
  <c r="BD100" i="8"/>
  <c r="BE100" i="8"/>
  <c r="BF100" i="8"/>
  <c r="BD192" i="8"/>
  <c r="BE192" i="8"/>
  <c r="BF192" i="8"/>
  <c r="BB192" i="8"/>
  <c r="BC192" i="8"/>
  <c r="BC156" i="8"/>
  <c r="BB156" i="8"/>
  <c r="BD156" i="8"/>
  <c r="BE156" i="8"/>
  <c r="BF156" i="8"/>
  <c r="BB129" i="8"/>
  <c r="BD129" i="8"/>
  <c r="BE129" i="8"/>
  <c r="BF129" i="8"/>
  <c r="BC129" i="8"/>
  <c r="BF93" i="8"/>
  <c r="BE93" i="8"/>
  <c r="BB93" i="8"/>
  <c r="BC93" i="8"/>
  <c r="BD93" i="8"/>
  <c r="BB177" i="8"/>
  <c r="BF177" i="8"/>
  <c r="BC177" i="8"/>
  <c r="BD177" i="8"/>
  <c r="BE177" i="8"/>
  <c r="BB94" i="8"/>
  <c r="BC94" i="8"/>
  <c r="BD94" i="8"/>
  <c r="BE94" i="8"/>
  <c r="BF94" i="8"/>
  <c r="BB96" i="8"/>
  <c r="BC96" i="8"/>
  <c r="BD96" i="8"/>
  <c r="BE96" i="8"/>
  <c r="BF96" i="8"/>
  <c r="BD95" i="8"/>
  <c r="BE95" i="8"/>
  <c r="BF95" i="8"/>
  <c r="BB95" i="8"/>
  <c r="BC95" i="8"/>
  <c r="BE106" i="8"/>
  <c r="BD106" i="8"/>
  <c r="BF106" i="8"/>
  <c r="BB106" i="8"/>
  <c r="BC106" i="8"/>
  <c r="BD135" i="8"/>
  <c r="BF135" i="8"/>
  <c r="BB135" i="8"/>
  <c r="BC135" i="8"/>
  <c r="BE135" i="8"/>
  <c r="BC68" i="8"/>
  <c r="BB68" i="8"/>
  <c r="BD68" i="8"/>
  <c r="BE68" i="8"/>
  <c r="BF68" i="8"/>
  <c r="BB184" i="8"/>
  <c r="BC184" i="8"/>
  <c r="BD184" i="8"/>
  <c r="BE184" i="8"/>
  <c r="BF184" i="8"/>
  <c r="BF149" i="8"/>
  <c r="BB149" i="8"/>
  <c r="BC149" i="8"/>
  <c r="BD149" i="8"/>
  <c r="BE149" i="8"/>
  <c r="BE130" i="8"/>
  <c r="BC130" i="8"/>
  <c r="BD130" i="8"/>
  <c r="BB130" i="8"/>
  <c r="BF130" i="8"/>
  <c r="BE98" i="8"/>
  <c r="BB98" i="8"/>
  <c r="BC98" i="8"/>
  <c r="BD98" i="8"/>
  <c r="BF98" i="8"/>
  <c r="BE190" i="8"/>
  <c r="BF190" i="8"/>
  <c r="BC190" i="8"/>
  <c r="BD190" i="8"/>
  <c r="BB190" i="8"/>
  <c r="BB70" i="8"/>
  <c r="BC70" i="8"/>
  <c r="BD70" i="8"/>
  <c r="BE70" i="8"/>
  <c r="BF70" i="8"/>
  <c r="BB65" i="8"/>
  <c r="BC65" i="8"/>
  <c r="BD65" i="8"/>
  <c r="BE65" i="8"/>
  <c r="BF65" i="8"/>
  <c r="BB121" i="8"/>
  <c r="BC121" i="8"/>
  <c r="BD121" i="8"/>
  <c r="BE121" i="8"/>
  <c r="BF121" i="8"/>
  <c r="BD86" i="8"/>
  <c r="BE86" i="8"/>
  <c r="BF86" i="8"/>
  <c r="BB86" i="8"/>
  <c r="BC86" i="8"/>
  <c r="BE90" i="8"/>
  <c r="BB90" i="8"/>
  <c r="BC90" i="8"/>
  <c r="BD90" i="8"/>
  <c r="BF90" i="8"/>
  <c r="BE178" i="8"/>
  <c r="BB178" i="8"/>
  <c r="BC178" i="8"/>
  <c r="BD178" i="8"/>
  <c r="BF178" i="8"/>
  <c r="BF182" i="8"/>
  <c r="BB182" i="8"/>
  <c r="BC182" i="8"/>
  <c r="BD182" i="8"/>
  <c r="BE182" i="8"/>
  <c r="BD175" i="8"/>
  <c r="BE175" i="8"/>
  <c r="BF175" i="8"/>
  <c r="BB175" i="8"/>
  <c r="BC175" i="8"/>
  <c r="BB176" i="8"/>
  <c r="BC176" i="8"/>
  <c r="BD176" i="8"/>
  <c r="BE176" i="8"/>
  <c r="BF176" i="8"/>
  <c r="BE146" i="8"/>
  <c r="BF146" i="8"/>
  <c r="BC146" i="8"/>
  <c r="BD146" i="8"/>
  <c r="BB146" i="8"/>
  <c r="BF141" i="8"/>
  <c r="BC141" i="8"/>
  <c r="BD141" i="8"/>
  <c r="BE141" i="8"/>
  <c r="BB141" i="8"/>
  <c r="BE114" i="8"/>
  <c r="BB114" i="8"/>
  <c r="BF114" i="8"/>
  <c r="BC114" i="8"/>
  <c r="BD114" i="8"/>
  <c r="BF133" i="8"/>
  <c r="BB133" i="8"/>
  <c r="BC133" i="8"/>
  <c r="BD133" i="8"/>
  <c r="BE133" i="8"/>
  <c r="BE82" i="8"/>
  <c r="BF82" i="8"/>
  <c r="BB82" i="8"/>
  <c r="BC82" i="8"/>
  <c r="BD82" i="8"/>
  <c r="BF125" i="8"/>
  <c r="BB125" i="8"/>
  <c r="BC125" i="8"/>
  <c r="BD125" i="8"/>
  <c r="BE125" i="8"/>
  <c r="BB171" i="8"/>
  <c r="BC171" i="8"/>
  <c r="BD171" i="8"/>
  <c r="BE171" i="8"/>
  <c r="BF171" i="8"/>
  <c r="BF181" i="8"/>
  <c r="BD181" i="8"/>
  <c r="BE181" i="8"/>
  <c r="BB181" i="8"/>
  <c r="BC181" i="8"/>
  <c r="BF155" i="8"/>
  <c r="BB155" i="8"/>
  <c r="BC155" i="8"/>
  <c r="BD155" i="8"/>
  <c r="BE155" i="8"/>
  <c r="BB118" i="8"/>
  <c r="BC118" i="8"/>
  <c r="BD118" i="8"/>
  <c r="BE118" i="8"/>
  <c r="BF118" i="8"/>
  <c r="BE131" i="8"/>
  <c r="BF131" i="8"/>
  <c r="BB131" i="8"/>
  <c r="BC131" i="8"/>
  <c r="BD131" i="8"/>
  <c r="BC174" i="8"/>
  <c r="BD174" i="8"/>
  <c r="BB174" i="8"/>
  <c r="BE174" i="8"/>
  <c r="BF174" i="8"/>
  <c r="BD107" i="8"/>
  <c r="BE107" i="8"/>
  <c r="BF107" i="8"/>
  <c r="BB107" i="8"/>
  <c r="BC107" i="8"/>
  <c r="BD111" i="8"/>
  <c r="BB111" i="8"/>
  <c r="BC111" i="8"/>
  <c r="BE111" i="8"/>
  <c r="BF111" i="8"/>
  <c r="BD71" i="8"/>
  <c r="BF71" i="8"/>
  <c r="BB71" i="8"/>
  <c r="BC71" i="8"/>
  <c r="BE71" i="8"/>
  <c r="BB112" i="8"/>
  <c r="BC112" i="8"/>
  <c r="BD112" i="8"/>
  <c r="BE112" i="8"/>
  <c r="BF112" i="8"/>
  <c r="BE58" i="8"/>
  <c r="BB58" i="8"/>
  <c r="BC58" i="8"/>
  <c r="BD58" i="8"/>
  <c r="BF58" i="8"/>
  <c r="BC60" i="8"/>
  <c r="BF60" i="8"/>
  <c r="BD60" i="8"/>
  <c r="BE60" i="8"/>
  <c r="BB60" i="8"/>
  <c r="BE66" i="8"/>
  <c r="BC66" i="8"/>
  <c r="BD66" i="8"/>
  <c r="BF66" i="8"/>
  <c r="BB66" i="8"/>
  <c r="BC163" i="8"/>
  <c r="BD163" i="8"/>
  <c r="BE163" i="8"/>
  <c r="BF163" i="8"/>
  <c r="BB163" i="8"/>
  <c r="BD87" i="8"/>
  <c r="BB87" i="8"/>
  <c r="BC87" i="8"/>
  <c r="BE87" i="8"/>
  <c r="BF87" i="8"/>
  <c r="BB187" i="8"/>
  <c r="BC187" i="8"/>
  <c r="BF187" i="8"/>
  <c r="BD187" i="8"/>
  <c r="BE187" i="8"/>
  <c r="BD191" i="8"/>
  <c r="BB191" i="8"/>
  <c r="BC191" i="8"/>
  <c r="BE191" i="8"/>
  <c r="BF191" i="8"/>
  <c r="BC92" i="8"/>
  <c r="BB92" i="8"/>
  <c r="BD92" i="8"/>
  <c r="BF92" i="8"/>
  <c r="BE92" i="8"/>
  <c r="BE170" i="8"/>
  <c r="BD170" i="8"/>
  <c r="BF170" i="8"/>
  <c r="BB170" i="8"/>
  <c r="BC170" i="8"/>
  <c r="BB161" i="8"/>
  <c r="BD161" i="8"/>
  <c r="BE161" i="8"/>
  <c r="BC161" i="8"/>
  <c r="BF161" i="8"/>
  <c r="BB142" i="8"/>
  <c r="BC142" i="8"/>
  <c r="BD142" i="8"/>
  <c r="BE142" i="8"/>
  <c r="BF142" i="8"/>
  <c r="BB185" i="8"/>
  <c r="BC185" i="8"/>
  <c r="BD185" i="8"/>
  <c r="BE185" i="8"/>
  <c r="BF185" i="8"/>
  <c r="BB169" i="8"/>
  <c r="BC169" i="8"/>
  <c r="BD169" i="8"/>
  <c r="BE169" i="8"/>
  <c r="BF169" i="8"/>
  <c r="BD183" i="8"/>
  <c r="BC183" i="8"/>
  <c r="BE183" i="8"/>
  <c r="BB183" i="8"/>
  <c r="BF183" i="8"/>
  <c r="BC84" i="8"/>
  <c r="BE84" i="8"/>
  <c r="BF84" i="8"/>
  <c r="BB84" i="8"/>
  <c r="BD84" i="8"/>
  <c r="BE154" i="8"/>
  <c r="BB154" i="8"/>
  <c r="BC154" i="8"/>
  <c r="BD154" i="8"/>
  <c r="BF154" i="8"/>
  <c r="BC78" i="8"/>
  <c r="BD78" i="8"/>
  <c r="BE78" i="8"/>
  <c r="BF78" i="8"/>
  <c r="BB78" i="8"/>
  <c r="BE126" i="8"/>
  <c r="BF126" i="8"/>
  <c r="BB126" i="8"/>
  <c r="BC126" i="8"/>
  <c r="BD126" i="8"/>
  <c r="BD139" i="8"/>
  <c r="BE139" i="8"/>
  <c r="BB139" i="8"/>
  <c r="BC139" i="8"/>
  <c r="BF139" i="8"/>
  <c r="BB67" i="8"/>
  <c r="BC67" i="8"/>
  <c r="BD67" i="8"/>
  <c r="BE67" i="8"/>
  <c r="BF67" i="8"/>
  <c r="BF69" i="8"/>
  <c r="BC69" i="8"/>
  <c r="BD69" i="8"/>
  <c r="BE69" i="8"/>
  <c r="BB69" i="8"/>
  <c r="BB113" i="8"/>
  <c r="BF113" i="8"/>
  <c r="BC113" i="8"/>
  <c r="BD113" i="8"/>
  <c r="BE113" i="8"/>
  <c r="BF77" i="8"/>
  <c r="BC77" i="8"/>
  <c r="BD77" i="8"/>
  <c r="BE77" i="8"/>
  <c r="BB77" i="8"/>
  <c r="BB105" i="8"/>
  <c r="BC105" i="8"/>
  <c r="BD105" i="8"/>
  <c r="BE105" i="8"/>
  <c r="BF105" i="8"/>
  <c r="BC188" i="8"/>
  <c r="BF188" i="8"/>
  <c r="BB188" i="8"/>
  <c r="BD188" i="8"/>
  <c r="BE188" i="8"/>
  <c r="BB97" i="8"/>
  <c r="BD97" i="8"/>
  <c r="BE97" i="8"/>
  <c r="BF97" i="8"/>
  <c r="BC97" i="8"/>
  <c r="BC180" i="8"/>
  <c r="BE180" i="8"/>
  <c r="BF180" i="8"/>
  <c r="BB180" i="8"/>
  <c r="BD180" i="8"/>
  <c r="BB153" i="8"/>
  <c r="BE153" i="8"/>
  <c r="BF153" i="8"/>
  <c r="BC153" i="8"/>
  <c r="BD153" i="8"/>
  <c r="BF117" i="8"/>
  <c r="BD117" i="8"/>
  <c r="BE117" i="8"/>
  <c r="BB117" i="8"/>
  <c r="BC117" i="8"/>
  <c r="BB147" i="8"/>
  <c r="BC147" i="8"/>
  <c r="BD147" i="8"/>
  <c r="BE147" i="8"/>
  <c r="BF147" i="8"/>
  <c r="BF173" i="8"/>
  <c r="BC173" i="8"/>
  <c r="BD173" i="8"/>
  <c r="BE173" i="8"/>
  <c r="BB173" i="8"/>
  <c r="BB123" i="8"/>
  <c r="BC123" i="8"/>
  <c r="BD123" i="8"/>
  <c r="BE123" i="8"/>
  <c r="BF123" i="8"/>
  <c r="BC110" i="8"/>
  <c r="BD110" i="8"/>
  <c r="BB110" i="8"/>
  <c r="BE110" i="8"/>
  <c r="BF110" i="8"/>
  <c r="BC99" i="8"/>
  <c r="BD99" i="8"/>
  <c r="BB99" i="8"/>
  <c r="BE99" i="8"/>
  <c r="BF99" i="8"/>
  <c r="BF166" i="8"/>
  <c r="BB166" i="8"/>
  <c r="BC166" i="8"/>
  <c r="BD166" i="8"/>
  <c r="BE166" i="8"/>
  <c r="BD64" i="8"/>
  <c r="BE64" i="8"/>
  <c r="BF64" i="8"/>
  <c r="BB64" i="8"/>
  <c r="BC64" i="8"/>
  <c r="BD167" i="8"/>
  <c r="BB167" i="8"/>
  <c r="BC167" i="8"/>
  <c r="BE167" i="8"/>
  <c r="BF167" i="8"/>
  <c r="BE104" i="8"/>
  <c r="BF104" i="8"/>
  <c r="BB104" i="8"/>
  <c r="BC104" i="8"/>
  <c r="BD104" i="8"/>
  <c r="BC88" i="8"/>
  <c r="BD88" i="8"/>
  <c r="BE88" i="8"/>
  <c r="BB88" i="8"/>
  <c r="BF88" i="8"/>
  <c r="BE138" i="8"/>
  <c r="BB138" i="8"/>
  <c r="BC138" i="8"/>
  <c r="BD138" i="8"/>
  <c r="BF138" i="8"/>
  <c r="BD79" i="8"/>
  <c r="BB79" i="8"/>
  <c r="BC79" i="8"/>
  <c r="BE79" i="8"/>
  <c r="BF79" i="8"/>
  <c r="BB72" i="8"/>
  <c r="BC72" i="8"/>
  <c r="BD72" i="8"/>
  <c r="BE72" i="8"/>
  <c r="BF72" i="8"/>
  <c r="BD128" i="8"/>
  <c r="BE128" i="8"/>
  <c r="BB128" i="8"/>
  <c r="BC128" i="8"/>
  <c r="BF128" i="8"/>
  <c r="BC148" i="8"/>
  <c r="BE148" i="8"/>
  <c r="BF148" i="8"/>
  <c r="BB148" i="8"/>
  <c r="BD148" i="8"/>
  <c r="BD150" i="8"/>
  <c r="BE150" i="8"/>
  <c r="BB150" i="8"/>
  <c r="BC150" i="8"/>
  <c r="BF150" i="8"/>
  <c r="BB134" i="8"/>
  <c r="BC134" i="8"/>
  <c r="BD134" i="8"/>
  <c r="BE134" i="8"/>
  <c r="BF134" i="8"/>
  <c r="BD127" i="8"/>
  <c r="BB127" i="8"/>
  <c r="BC127" i="8"/>
  <c r="BE127" i="8"/>
  <c r="BF127" i="8"/>
  <c r="BB120" i="8"/>
  <c r="BC120" i="8"/>
  <c r="BD120" i="8"/>
  <c r="BE120" i="8"/>
  <c r="BF120" i="8"/>
  <c r="BF85" i="8"/>
  <c r="BB85" i="8"/>
  <c r="BC85" i="8"/>
  <c r="BD85" i="8"/>
  <c r="BE85" i="8"/>
  <c r="BE122" i="8"/>
  <c r="BB122" i="8"/>
  <c r="BC122" i="8"/>
  <c r="BD122" i="8"/>
  <c r="BF122" i="8"/>
  <c r="BF189" i="8"/>
  <c r="BB189" i="8"/>
  <c r="BC189" i="8"/>
  <c r="BD189" i="8"/>
  <c r="BE189" i="8"/>
  <c r="BE162" i="8"/>
  <c r="BB162" i="8"/>
  <c r="BC162" i="8"/>
  <c r="BD162" i="8"/>
  <c r="BF162" i="8"/>
  <c r="BD119" i="8"/>
  <c r="BC119" i="8"/>
  <c r="BE119" i="8"/>
  <c r="BF119" i="8"/>
  <c r="BB119" i="8"/>
  <c r="BC140" i="8"/>
  <c r="BB140" i="8"/>
  <c r="BD140" i="8"/>
  <c r="BE140" i="8"/>
  <c r="BF140" i="8"/>
  <c r="BE74" i="8"/>
  <c r="BB74" i="8"/>
  <c r="BC74" i="8"/>
  <c r="BD74" i="8"/>
  <c r="BF74" i="8"/>
  <c r="BE168" i="8"/>
  <c r="BF168" i="8"/>
  <c r="BC168" i="8"/>
  <c r="BD168" i="8"/>
  <c r="BB168" i="8"/>
  <c r="BC132" i="8"/>
  <c r="BB132" i="8"/>
  <c r="BD132" i="8"/>
  <c r="BE132" i="8"/>
  <c r="BF132" i="8"/>
  <c r="BF160" i="8"/>
  <c r="BB160" i="8"/>
  <c r="BC160" i="8"/>
  <c r="BD160" i="8"/>
  <c r="BE160" i="8"/>
  <c r="BC124" i="8"/>
  <c r="BF124" i="8"/>
  <c r="BD124" i="8"/>
  <c r="BE124" i="8"/>
  <c r="BB124" i="8"/>
  <c r="BC152" i="8"/>
  <c r="BD152" i="8"/>
  <c r="BB152" i="8"/>
  <c r="BE152" i="8"/>
  <c r="BF152" i="8"/>
  <c r="BC116" i="8"/>
  <c r="BB116" i="8"/>
  <c r="BD116" i="8"/>
  <c r="BE116" i="8"/>
  <c r="BF116" i="8"/>
  <c r="BB89" i="8"/>
  <c r="BE89" i="8"/>
  <c r="BF89" i="8"/>
  <c r="BC89" i="8"/>
  <c r="BD89" i="8"/>
  <c r="BC172" i="8"/>
  <c r="BD172" i="8"/>
  <c r="BE172" i="8"/>
  <c r="BB172" i="8"/>
  <c r="BF172" i="8"/>
  <c r="BB145" i="8"/>
  <c r="BC145" i="8"/>
  <c r="BD145" i="8"/>
  <c r="BE145" i="8"/>
  <c r="BF145" i="8"/>
  <c r="BF109" i="8"/>
  <c r="BE109" i="8"/>
  <c r="BB109" i="8"/>
  <c r="BC109" i="8"/>
  <c r="BD109" i="8"/>
  <c r="BE115" i="8"/>
  <c r="BF115" i="8"/>
  <c r="BB115" i="8"/>
  <c r="BC115" i="8"/>
  <c r="BD115" i="8"/>
  <c r="BF165" i="8"/>
  <c r="BB165" i="8"/>
  <c r="BC165" i="8"/>
  <c r="BD165" i="8"/>
  <c r="BE165" i="8"/>
  <c r="BF91" i="8"/>
  <c r="BB91" i="8"/>
  <c r="BC91" i="8"/>
  <c r="BD91" i="8"/>
  <c r="BE91" i="8"/>
  <c r="BF102" i="8"/>
  <c r="BD102" i="8"/>
  <c r="BE102" i="8"/>
  <c r="BB102" i="8"/>
  <c r="BC102" i="8"/>
  <c r="BE186" i="8"/>
  <c r="BB186" i="8"/>
  <c r="BC186" i="8"/>
  <c r="BD186" i="8"/>
  <c r="BF186" i="8"/>
  <c r="BD103" i="8"/>
  <c r="BB103" i="8"/>
  <c r="BC103" i="8"/>
  <c r="BE103" i="8"/>
  <c r="BF103" i="8"/>
  <c r="BB57" i="8"/>
  <c r="BC57" i="8"/>
  <c r="BD57" i="8"/>
  <c r="BE57" i="8"/>
  <c r="BF57" i="8"/>
  <c r="BF56" i="8"/>
  <c r="BD56" i="8"/>
  <c r="BE56" i="8"/>
  <c r="BB56" i="8"/>
  <c r="BC56" i="8"/>
  <c r="BL56" i="8"/>
  <c r="AZ61" i="8"/>
  <c r="BL61" i="8"/>
  <c r="BH61" i="8"/>
  <c r="BI61" i="8"/>
  <c r="BJ61" i="8"/>
  <c r="BK61" i="8"/>
  <c r="AZ88" i="8"/>
  <c r="BI88" i="8"/>
  <c r="BJ88" i="8"/>
  <c r="BK88" i="8"/>
  <c r="BH88" i="8"/>
  <c r="BL88" i="8"/>
  <c r="AZ108" i="8"/>
  <c r="BI108" i="8"/>
  <c r="BJ108" i="8"/>
  <c r="BK108" i="8"/>
  <c r="BH108" i="8"/>
  <c r="BL108" i="8"/>
  <c r="AZ137" i="8"/>
  <c r="BH137" i="8"/>
  <c r="BK137" i="8"/>
  <c r="BL137" i="8"/>
  <c r="BI137" i="8"/>
  <c r="BJ137" i="8"/>
  <c r="AZ157" i="8"/>
  <c r="BL157" i="8"/>
  <c r="BK157" i="8"/>
  <c r="BH157" i="8"/>
  <c r="BI157" i="8"/>
  <c r="BJ157" i="8"/>
  <c r="AZ62" i="8"/>
  <c r="BK62" i="8"/>
  <c r="BL62" i="8"/>
  <c r="BH62" i="8"/>
  <c r="BI62" i="8"/>
  <c r="BJ62" i="8"/>
  <c r="AZ151" i="8"/>
  <c r="BJ151" i="8"/>
  <c r="BI151" i="8"/>
  <c r="BK151" i="8"/>
  <c r="BL151" i="8"/>
  <c r="BH151" i="8"/>
  <c r="AZ75" i="8"/>
  <c r="BJ75" i="8"/>
  <c r="BK75" i="8"/>
  <c r="BL75" i="8"/>
  <c r="BH75" i="8"/>
  <c r="BI75" i="8"/>
  <c r="AZ100" i="8"/>
  <c r="BI100" i="8"/>
  <c r="BH100" i="8"/>
  <c r="BJ100" i="8"/>
  <c r="BK100" i="8"/>
  <c r="BL100" i="8"/>
  <c r="AZ177" i="8"/>
  <c r="BH177" i="8"/>
  <c r="BL177" i="8"/>
  <c r="BI177" i="8"/>
  <c r="BJ177" i="8"/>
  <c r="BK177" i="8"/>
  <c r="AZ95" i="8"/>
  <c r="BJ95" i="8"/>
  <c r="BK95" i="8"/>
  <c r="BL95" i="8"/>
  <c r="BH95" i="8"/>
  <c r="BI95" i="8"/>
  <c r="AZ106" i="8"/>
  <c r="BK106" i="8"/>
  <c r="BJ106" i="8"/>
  <c r="BL106" i="8"/>
  <c r="BH106" i="8"/>
  <c r="BI106" i="8"/>
  <c r="AZ135" i="8"/>
  <c r="BJ135" i="8"/>
  <c r="BL135" i="8"/>
  <c r="BH135" i="8"/>
  <c r="BI135" i="8"/>
  <c r="BK135" i="8"/>
  <c r="AZ128" i="8"/>
  <c r="BJ128" i="8"/>
  <c r="BK128" i="8"/>
  <c r="BH128" i="8"/>
  <c r="BI128" i="8"/>
  <c r="BL128" i="8"/>
  <c r="AZ170" i="8"/>
  <c r="BK170" i="8"/>
  <c r="BJ170" i="8"/>
  <c r="BL170" i="8"/>
  <c r="BH170" i="8"/>
  <c r="BI170" i="8"/>
  <c r="AZ98" i="8"/>
  <c r="BK98" i="8"/>
  <c r="BH98" i="8"/>
  <c r="BI98" i="8"/>
  <c r="BJ98" i="8"/>
  <c r="BL98" i="8"/>
  <c r="AZ178" i="8"/>
  <c r="BK178" i="8"/>
  <c r="BH178" i="8"/>
  <c r="BI178" i="8"/>
  <c r="BJ178" i="8"/>
  <c r="BL178" i="8"/>
  <c r="AZ139" i="8"/>
  <c r="BJ139" i="8"/>
  <c r="BK139" i="8"/>
  <c r="BH139" i="8"/>
  <c r="BI139" i="8"/>
  <c r="BL139" i="8"/>
  <c r="AZ140" i="8"/>
  <c r="BI140" i="8"/>
  <c r="BH140" i="8"/>
  <c r="BJ140" i="8"/>
  <c r="BK140" i="8"/>
  <c r="BL140" i="8"/>
  <c r="AZ146" i="8"/>
  <c r="BK146" i="8"/>
  <c r="BL146" i="8"/>
  <c r="BI146" i="8"/>
  <c r="BJ146" i="8"/>
  <c r="BH146" i="8"/>
  <c r="AZ141" i="8"/>
  <c r="BL141" i="8"/>
  <c r="BI141" i="8"/>
  <c r="BJ141" i="8"/>
  <c r="BK141" i="8"/>
  <c r="BH141" i="8"/>
  <c r="AZ114" i="8"/>
  <c r="BK114" i="8"/>
  <c r="BH114" i="8"/>
  <c r="BL114" i="8"/>
  <c r="BI114" i="8"/>
  <c r="BJ114" i="8"/>
  <c r="AZ133" i="8"/>
  <c r="BL133" i="8"/>
  <c r="BH133" i="8"/>
  <c r="BI133" i="8"/>
  <c r="BJ133" i="8"/>
  <c r="BK133" i="8"/>
  <c r="AZ82" i="8"/>
  <c r="BK82" i="8"/>
  <c r="BL82" i="8"/>
  <c r="BH82" i="8"/>
  <c r="BI82" i="8"/>
  <c r="BJ82" i="8"/>
  <c r="AZ125" i="8"/>
  <c r="BL125" i="8"/>
  <c r="BH125" i="8"/>
  <c r="BI125" i="8"/>
  <c r="BJ125" i="8"/>
  <c r="BK125" i="8"/>
  <c r="AZ171" i="8"/>
  <c r="BH171" i="8"/>
  <c r="BI171" i="8"/>
  <c r="BJ171" i="8"/>
  <c r="BK171" i="8"/>
  <c r="BL171" i="8"/>
  <c r="AZ181" i="8"/>
  <c r="BL181" i="8"/>
  <c r="BJ181" i="8"/>
  <c r="BK181" i="8"/>
  <c r="BH181" i="8"/>
  <c r="BI181" i="8"/>
  <c r="AZ155" i="8"/>
  <c r="BL155" i="8"/>
  <c r="BH155" i="8"/>
  <c r="BI155" i="8"/>
  <c r="BJ155" i="8"/>
  <c r="BK155" i="8"/>
  <c r="AZ118" i="8"/>
  <c r="BH118" i="8"/>
  <c r="BI118" i="8"/>
  <c r="BJ118" i="8"/>
  <c r="BK118" i="8"/>
  <c r="BL118" i="8"/>
  <c r="AZ131" i="8"/>
  <c r="BK131" i="8"/>
  <c r="BL131" i="8"/>
  <c r="BH131" i="8"/>
  <c r="BI131" i="8"/>
  <c r="BJ131" i="8"/>
  <c r="AZ174" i="8"/>
  <c r="BI174" i="8"/>
  <c r="BJ174" i="8"/>
  <c r="BH174" i="8"/>
  <c r="BK174" i="8"/>
  <c r="BL174" i="8"/>
  <c r="AZ107" i="8"/>
  <c r="BJ107" i="8"/>
  <c r="BK107" i="8"/>
  <c r="BL107" i="8"/>
  <c r="BH107" i="8"/>
  <c r="BI107" i="8"/>
  <c r="AZ111" i="8"/>
  <c r="BJ111" i="8"/>
  <c r="BH111" i="8"/>
  <c r="BI111" i="8"/>
  <c r="BK111" i="8"/>
  <c r="BL111" i="8"/>
  <c r="AZ71" i="8"/>
  <c r="BJ71" i="8"/>
  <c r="BL71" i="8"/>
  <c r="BH71" i="8"/>
  <c r="BI71" i="8"/>
  <c r="BK71" i="8"/>
  <c r="AZ112" i="8"/>
  <c r="BH112" i="8"/>
  <c r="BI112" i="8"/>
  <c r="BJ112" i="8"/>
  <c r="BK112" i="8"/>
  <c r="BL112" i="8"/>
  <c r="AZ58" i="8"/>
  <c r="BK58" i="8"/>
  <c r="BH58" i="8"/>
  <c r="BI58" i="8"/>
  <c r="BJ58" i="8"/>
  <c r="BL58" i="8"/>
  <c r="AZ104" i="8"/>
  <c r="BK104" i="8"/>
  <c r="BL104" i="8"/>
  <c r="BH104" i="8"/>
  <c r="BI104" i="8"/>
  <c r="BJ104" i="8"/>
  <c r="AZ66" i="8"/>
  <c r="BK66" i="8"/>
  <c r="BI66" i="8"/>
  <c r="BJ66" i="8"/>
  <c r="BL66" i="8"/>
  <c r="BH66" i="8"/>
  <c r="AZ144" i="8"/>
  <c r="BL144" i="8"/>
  <c r="BH144" i="8"/>
  <c r="BI144" i="8"/>
  <c r="BJ144" i="8"/>
  <c r="BK144" i="8"/>
  <c r="AZ164" i="8"/>
  <c r="BI164" i="8"/>
  <c r="BH164" i="8"/>
  <c r="BJ164" i="8"/>
  <c r="BK164" i="8"/>
  <c r="BL164" i="8"/>
  <c r="AZ83" i="8"/>
  <c r="BH83" i="8"/>
  <c r="BI83" i="8"/>
  <c r="BL83" i="8"/>
  <c r="BJ83" i="8"/>
  <c r="BK83" i="8"/>
  <c r="AZ179" i="8"/>
  <c r="BK179" i="8"/>
  <c r="BL179" i="8"/>
  <c r="BH179" i="8"/>
  <c r="BI179" i="8"/>
  <c r="BJ179" i="8"/>
  <c r="AZ159" i="8"/>
  <c r="BJ159" i="8"/>
  <c r="BK159" i="8"/>
  <c r="BL159" i="8"/>
  <c r="BH159" i="8"/>
  <c r="BI159" i="8"/>
  <c r="AZ63" i="8"/>
  <c r="BJ63" i="8"/>
  <c r="BH63" i="8"/>
  <c r="BK63" i="8"/>
  <c r="BL63" i="8"/>
  <c r="BI63" i="8"/>
  <c r="AZ80" i="8"/>
  <c r="BL80" i="8"/>
  <c r="BK80" i="8"/>
  <c r="BH80" i="8"/>
  <c r="BI80" i="8"/>
  <c r="BJ80" i="8"/>
  <c r="AZ136" i="8"/>
  <c r="BH136" i="8"/>
  <c r="BK136" i="8"/>
  <c r="BL136" i="8"/>
  <c r="BI136" i="8"/>
  <c r="BJ136" i="8"/>
  <c r="AZ156" i="8"/>
  <c r="BI156" i="8"/>
  <c r="BH156" i="8"/>
  <c r="BJ156" i="8"/>
  <c r="BK156" i="8"/>
  <c r="BL156" i="8"/>
  <c r="AZ129" i="8"/>
  <c r="BH129" i="8"/>
  <c r="BJ129" i="8"/>
  <c r="BK129" i="8"/>
  <c r="BL129" i="8"/>
  <c r="BI129" i="8"/>
  <c r="AZ94" i="8"/>
  <c r="BH94" i="8"/>
  <c r="BI94" i="8"/>
  <c r="BJ94" i="8"/>
  <c r="BK94" i="8"/>
  <c r="BL94" i="8"/>
  <c r="AZ138" i="8"/>
  <c r="BK138" i="8"/>
  <c r="BH138" i="8"/>
  <c r="BI138" i="8"/>
  <c r="BJ138" i="8"/>
  <c r="BL138" i="8"/>
  <c r="AZ79" i="8"/>
  <c r="BJ79" i="8"/>
  <c r="BH79" i="8"/>
  <c r="BI79" i="8"/>
  <c r="BK79" i="8"/>
  <c r="BL79" i="8"/>
  <c r="AZ72" i="8"/>
  <c r="BH72" i="8"/>
  <c r="BI72" i="8"/>
  <c r="BJ72" i="8"/>
  <c r="BK72" i="8"/>
  <c r="BL72" i="8"/>
  <c r="AZ68" i="8"/>
  <c r="BI68" i="8"/>
  <c r="BH68" i="8"/>
  <c r="BJ68" i="8"/>
  <c r="BK68" i="8"/>
  <c r="BL68" i="8"/>
  <c r="AZ184" i="8"/>
  <c r="BH184" i="8"/>
  <c r="BI184" i="8"/>
  <c r="BJ184" i="8"/>
  <c r="BK184" i="8"/>
  <c r="BL184" i="8"/>
  <c r="AZ149" i="8"/>
  <c r="BL149" i="8"/>
  <c r="BH149" i="8"/>
  <c r="BI149" i="8"/>
  <c r="BJ149" i="8"/>
  <c r="BK149" i="8"/>
  <c r="AZ150" i="8"/>
  <c r="BJ150" i="8"/>
  <c r="BK150" i="8"/>
  <c r="BH150" i="8"/>
  <c r="BI150" i="8"/>
  <c r="BL150" i="8"/>
  <c r="AZ142" i="8"/>
  <c r="BH142" i="8"/>
  <c r="BI142" i="8"/>
  <c r="BJ142" i="8"/>
  <c r="BK142" i="8"/>
  <c r="BL142" i="8"/>
  <c r="AZ185" i="8"/>
  <c r="BH185" i="8"/>
  <c r="BI185" i="8"/>
  <c r="BJ185" i="8"/>
  <c r="BK185" i="8"/>
  <c r="BL185" i="8"/>
  <c r="AZ169" i="8"/>
  <c r="BH169" i="8"/>
  <c r="BI169" i="8"/>
  <c r="BJ169" i="8"/>
  <c r="BK169" i="8"/>
  <c r="BL169" i="8"/>
  <c r="AZ70" i="8"/>
  <c r="BH70" i="8"/>
  <c r="BI70" i="8"/>
  <c r="BJ70" i="8"/>
  <c r="BK70" i="8"/>
  <c r="BL70" i="8"/>
  <c r="AZ183" i="8"/>
  <c r="BJ183" i="8"/>
  <c r="BI183" i="8"/>
  <c r="BK183" i="8"/>
  <c r="BH183" i="8"/>
  <c r="BL183" i="8"/>
  <c r="AZ120" i="8"/>
  <c r="BH120" i="8"/>
  <c r="BI120" i="8"/>
  <c r="BJ120" i="8"/>
  <c r="BK120" i="8"/>
  <c r="BL120" i="8"/>
  <c r="AZ85" i="8"/>
  <c r="BL85" i="8"/>
  <c r="BH85" i="8"/>
  <c r="BI85" i="8"/>
  <c r="BJ85" i="8"/>
  <c r="BK85" i="8"/>
  <c r="AZ86" i="8"/>
  <c r="BJ86" i="8"/>
  <c r="BK86" i="8"/>
  <c r="BL86" i="8"/>
  <c r="BH86" i="8"/>
  <c r="BI86" i="8"/>
  <c r="AZ78" i="8"/>
  <c r="BI78" i="8"/>
  <c r="BJ78" i="8"/>
  <c r="BK78" i="8"/>
  <c r="BL78" i="8"/>
  <c r="BH78" i="8"/>
  <c r="AZ189" i="8"/>
  <c r="BL189" i="8"/>
  <c r="BH189" i="8"/>
  <c r="BI189" i="8"/>
  <c r="BJ189" i="8"/>
  <c r="BK189" i="8"/>
  <c r="AZ126" i="8"/>
  <c r="BK126" i="8"/>
  <c r="BL126" i="8"/>
  <c r="BH126" i="8"/>
  <c r="BI126" i="8"/>
  <c r="BJ126" i="8"/>
  <c r="AZ182" i="8"/>
  <c r="BL182" i="8"/>
  <c r="BH182" i="8"/>
  <c r="BI182" i="8"/>
  <c r="BJ182" i="8"/>
  <c r="BK182" i="8"/>
  <c r="AZ175" i="8"/>
  <c r="BJ175" i="8"/>
  <c r="BK175" i="8"/>
  <c r="BL175" i="8"/>
  <c r="BH175" i="8"/>
  <c r="BI175" i="8"/>
  <c r="AZ176" i="8"/>
  <c r="BH176" i="8"/>
  <c r="BI176" i="8"/>
  <c r="BJ176" i="8"/>
  <c r="BK176" i="8"/>
  <c r="BL176" i="8"/>
  <c r="AZ113" i="8"/>
  <c r="BH113" i="8"/>
  <c r="BL113" i="8"/>
  <c r="BI113" i="8"/>
  <c r="BJ113" i="8"/>
  <c r="BK113" i="8"/>
  <c r="AZ77" i="8"/>
  <c r="BL77" i="8"/>
  <c r="BI77" i="8"/>
  <c r="BJ77" i="8"/>
  <c r="BK77" i="8"/>
  <c r="BH77" i="8"/>
  <c r="AZ105" i="8"/>
  <c r="BH105" i="8"/>
  <c r="BI105" i="8"/>
  <c r="BJ105" i="8"/>
  <c r="BK105" i="8"/>
  <c r="BL105" i="8"/>
  <c r="AZ188" i="8"/>
  <c r="BI188" i="8"/>
  <c r="BL188" i="8"/>
  <c r="BH188" i="8"/>
  <c r="BJ188" i="8"/>
  <c r="BK188" i="8"/>
  <c r="AZ97" i="8"/>
  <c r="BH97" i="8"/>
  <c r="BJ97" i="8"/>
  <c r="BK97" i="8"/>
  <c r="BL97" i="8"/>
  <c r="BI97" i="8"/>
  <c r="AZ180" i="8"/>
  <c r="BI180" i="8"/>
  <c r="BK180" i="8"/>
  <c r="BL180" i="8"/>
  <c r="BH180" i="8"/>
  <c r="BJ180" i="8"/>
  <c r="AZ153" i="8"/>
  <c r="BH153" i="8"/>
  <c r="BK153" i="8"/>
  <c r="BL153" i="8"/>
  <c r="BI153" i="8"/>
  <c r="BJ153" i="8"/>
  <c r="AZ117" i="8"/>
  <c r="BL117" i="8"/>
  <c r="BJ117" i="8"/>
  <c r="BK117" i="8"/>
  <c r="BH117" i="8"/>
  <c r="BI117" i="8"/>
  <c r="AZ147" i="8"/>
  <c r="BH147" i="8"/>
  <c r="BI147" i="8"/>
  <c r="BJ147" i="8"/>
  <c r="BK147" i="8"/>
  <c r="BL147" i="8"/>
  <c r="AZ173" i="8"/>
  <c r="BL173" i="8"/>
  <c r="BI173" i="8"/>
  <c r="BJ173" i="8"/>
  <c r="BK173" i="8"/>
  <c r="BH173" i="8"/>
  <c r="AZ123" i="8"/>
  <c r="BH123" i="8"/>
  <c r="BI123" i="8"/>
  <c r="BJ123" i="8"/>
  <c r="BK123" i="8"/>
  <c r="BL123" i="8"/>
  <c r="AZ110" i="8"/>
  <c r="BI110" i="8"/>
  <c r="BJ110" i="8"/>
  <c r="BH110" i="8"/>
  <c r="BK110" i="8"/>
  <c r="BL110" i="8"/>
  <c r="AZ99" i="8"/>
  <c r="BI99" i="8"/>
  <c r="BJ99" i="8"/>
  <c r="BH99" i="8"/>
  <c r="BK99" i="8"/>
  <c r="BL99" i="8"/>
  <c r="AZ166" i="8"/>
  <c r="BL166" i="8"/>
  <c r="BH166" i="8"/>
  <c r="BI166" i="8"/>
  <c r="BJ166" i="8"/>
  <c r="BK166" i="8"/>
  <c r="AZ64" i="8"/>
  <c r="BJ64" i="8"/>
  <c r="BK64" i="8"/>
  <c r="BL64" i="8"/>
  <c r="BH64" i="8"/>
  <c r="BI64" i="8"/>
  <c r="AZ167" i="8"/>
  <c r="BJ167" i="8"/>
  <c r="BH167" i="8"/>
  <c r="BI167" i="8"/>
  <c r="BK167" i="8"/>
  <c r="BL167" i="8"/>
  <c r="AZ60" i="8"/>
  <c r="BI60" i="8"/>
  <c r="BL60" i="8"/>
  <c r="BJ60" i="8"/>
  <c r="BK60" i="8"/>
  <c r="BH60" i="8"/>
  <c r="AZ96" i="8"/>
  <c r="BH96" i="8"/>
  <c r="BI96" i="8"/>
  <c r="BJ96" i="8"/>
  <c r="BK96" i="8"/>
  <c r="BL96" i="8"/>
  <c r="AZ76" i="8"/>
  <c r="BI76" i="8"/>
  <c r="BH76" i="8"/>
  <c r="BJ76" i="8"/>
  <c r="BK76" i="8"/>
  <c r="BL76" i="8"/>
  <c r="AZ81" i="8"/>
  <c r="BH81" i="8"/>
  <c r="BI81" i="8"/>
  <c r="BJ81" i="8"/>
  <c r="BK81" i="8"/>
  <c r="BL81" i="8"/>
  <c r="AZ101" i="8"/>
  <c r="BL101" i="8"/>
  <c r="BH101" i="8"/>
  <c r="BI101" i="8"/>
  <c r="BJ101" i="8"/>
  <c r="BK101" i="8"/>
  <c r="AZ158" i="8"/>
  <c r="BH158" i="8"/>
  <c r="BK158" i="8"/>
  <c r="BL158" i="8"/>
  <c r="BI158" i="8"/>
  <c r="BJ158" i="8"/>
  <c r="AZ59" i="8"/>
  <c r="BH59" i="8"/>
  <c r="BI59" i="8"/>
  <c r="BJ59" i="8"/>
  <c r="BK59" i="8"/>
  <c r="BL59" i="8"/>
  <c r="AZ143" i="8"/>
  <c r="BJ143" i="8"/>
  <c r="BH143" i="8"/>
  <c r="BI143" i="8"/>
  <c r="BK143" i="8"/>
  <c r="BL143" i="8"/>
  <c r="AZ73" i="8"/>
  <c r="BH73" i="8"/>
  <c r="BK73" i="8"/>
  <c r="BL73" i="8"/>
  <c r="BI73" i="8"/>
  <c r="BJ73" i="8"/>
  <c r="AZ192" i="8"/>
  <c r="BJ192" i="8"/>
  <c r="BK192" i="8"/>
  <c r="BL192" i="8"/>
  <c r="BH192" i="8"/>
  <c r="BI192" i="8"/>
  <c r="AZ93" i="8"/>
  <c r="BL93" i="8"/>
  <c r="BK93" i="8"/>
  <c r="BH93" i="8"/>
  <c r="BI93" i="8"/>
  <c r="BJ93" i="8"/>
  <c r="AZ163" i="8"/>
  <c r="BI163" i="8"/>
  <c r="BJ163" i="8"/>
  <c r="BK163" i="8"/>
  <c r="BL163" i="8"/>
  <c r="BH163" i="8"/>
  <c r="AZ87" i="8"/>
  <c r="BJ87" i="8"/>
  <c r="BH87" i="8"/>
  <c r="BI87" i="8"/>
  <c r="BK87" i="8"/>
  <c r="BL87" i="8"/>
  <c r="AZ187" i="8"/>
  <c r="BH187" i="8"/>
  <c r="BI187" i="8"/>
  <c r="BL187" i="8"/>
  <c r="BJ187" i="8"/>
  <c r="BK187" i="8"/>
  <c r="AZ191" i="8"/>
  <c r="BJ191" i="8"/>
  <c r="BH191" i="8"/>
  <c r="BI191" i="8"/>
  <c r="BK191" i="8"/>
  <c r="BL191" i="8"/>
  <c r="AZ92" i="8"/>
  <c r="BI92" i="8"/>
  <c r="BH92" i="8"/>
  <c r="BJ92" i="8"/>
  <c r="BL92" i="8"/>
  <c r="BK92" i="8"/>
  <c r="AZ148" i="8"/>
  <c r="BI148" i="8"/>
  <c r="BK148" i="8"/>
  <c r="BL148" i="8"/>
  <c r="BH148" i="8"/>
  <c r="BJ148" i="8"/>
  <c r="AZ161" i="8"/>
  <c r="BH161" i="8"/>
  <c r="BJ161" i="8"/>
  <c r="BK161" i="8"/>
  <c r="BI161" i="8"/>
  <c r="BL161" i="8"/>
  <c r="AZ130" i="8"/>
  <c r="BK130" i="8"/>
  <c r="BI130" i="8"/>
  <c r="BJ130" i="8"/>
  <c r="BH130" i="8"/>
  <c r="BL130" i="8"/>
  <c r="AZ134" i="8"/>
  <c r="BH134" i="8"/>
  <c r="BI134" i="8"/>
  <c r="BJ134" i="8"/>
  <c r="BK134" i="8"/>
  <c r="BL134" i="8"/>
  <c r="AZ190" i="8"/>
  <c r="BK190" i="8"/>
  <c r="BL190" i="8"/>
  <c r="BI190" i="8"/>
  <c r="BJ190" i="8"/>
  <c r="BH190" i="8"/>
  <c r="AZ127" i="8"/>
  <c r="BJ127" i="8"/>
  <c r="BH127" i="8"/>
  <c r="BI127" i="8"/>
  <c r="BK127" i="8"/>
  <c r="BL127" i="8"/>
  <c r="AZ65" i="8"/>
  <c r="BH65" i="8"/>
  <c r="BI65" i="8"/>
  <c r="BJ65" i="8"/>
  <c r="BK65" i="8"/>
  <c r="BL65" i="8"/>
  <c r="AZ84" i="8"/>
  <c r="BI84" i="8"/>
  <c r="BK84" i="8"/>
  <c r="BL84" i="8"/>
  <c r="BH84" i="8"/>
  <c r="BJ84" i="8"/>
  <c r="AZ121" i="8"/>
  <c r="BH121" i="8"/>
  <c r="BI121" i="8"/>
  <c r="BJ121" i="8"/>
  <c r="BK121" i="8"/>
  <c r="BL121" i="8"/>
  <c r="AZ154" i="8"/>
  <c r="BK154" i="8"/>
  <c r="BH154" i="8"/>
  <c r="BI154" i="8"/>
  <c r="BJ154" i="8"/>
  <c r="BL154" i="8"/>
  <c r="AZ122" i="8"/>
  <c r="BK122" i="8"/>
  <c r="BH122" i="8"/>
  <c r="BI122" i="8"/>
  <c r="BJ122" i="8"/>
  <c r="BL122" i="8"/>
  <c r="AZ90" i="8"/>
  <c r="BK90" i="8"/>
  <c r="BH90" i="8"/>
  <c r="BI90" i="8"/>
  <c r="BJ90" i="8"/>
  <c r="BL90" i="8"/>
  <c r="AZ162" i="8"/>
  <c r="BK162" i="8"/>
  <c r="BH162" i="8"/>
  <c r="BI162" i="8"/>
  <c r="BJ162" i="8"/>
  <c r="BL162" i="8"/>
  <c r="AZ119" i="8"/>
  <c r="BJ119" i="8"/>
  <c r="BI119" i="8"/>
  <c r="BK119" i="8"/>
  <c r="BL119" i="8"/>
  <c r="BH119" i="8"/>
  <c r="AZ67" i="8"/>
  <c r="BH67" i="8"/>
  <c r="BI67" i="8"/>
  <c r="BJ67" i="8"/>
  <c r="BK67" i="8"/>
  <c r="BL67" i="8"/>
  <c r="AZ69" i="8"/>
  <c r="BL69" i="8"/>
  <c r="BI69" i="8"/>
  <c r="BJ69" i="8"/>
  <c r="BK69" i="8"/>
  <c r="BH69" i="8"/>
  <c r="AZ74" i="8"/>
  <c r="BK74" i="8"/>
  <c r="BH74" i="8"/>
  <c r="BI74" i="8"/>
  <c r="BJ74" i="8"/>
  <c r="BL74" i="8"/>
  <c r="AZ168" i="8"/>
  <c r="BK168" i="8"/>
  <c r="BL168" i="8"/>
  <c r="BI168" i="8"/>
  <c r="BJ168" i="8"/>
  <c r="BH168" i="8"/>
  <c r="AZ132" i="8"/>
  <c r="BI132" i="8"/>
  <c r="BH132" i="8"/>
  <c r="BJ132" i="8"/>
  <c r="BK132" i="8"/>
  <c r="BL132" i="8"/>
  <c r="AZ160" i="8"/>
  <c r="BL160" i="8"/>
  <c r="BH160" i="8"/>
  <c r="BI160" i="8"/>
  <c r="BJ160" i="8"/>
  <c r="BK160" i="8"/>
  <c r="AZ124" i="8"/>
  <c r="BI124" i="8"/>
  <c r="BL124" i="8"/>
  <c r="BJ124" i="8"/>
  <c r="BK124" i="8"/>
  <c r="BH124" i="8"/>
  <c r="AZ152" i="8"/>
  <c r="BI152" i="8"/>
  <c r="BJ152" i="8"/>
  <c r="BH152" i="8"/>
  <c r="BK152" i="8"/>
  <c r="BL152" i="8"/>
  <c r="AZ116" i="8"/>
  <c r="BI116" i="8"/>
  <c r="BH116" i="8"/>
  <c r="BJ116" i="8"/>
  <c r="BK116" i="8"/>
  <c r="BL116" i="8"/>
  <c r="AZ89" i="8"/>
  <c r="BH89" i="8"/>
  <c r="BK89" i="8"/>
  <c r="BL89" i="8"/>
  <c r="BI89" i="8"/>
  <c r="BJ89" i="8"/>
  <c r="AZ172" i="8"/>
  <c r="BI172" i="8"/>
  <c r="BJ172" i="8"/>
  <c r="BK172" i="8"/>
  <c r="BH172" i="8"/>
  <c r="BL172" i="8"/>
  <c r="AZ145" i="8"/>
  <c r="BH145" i="8"/>
  <c r="BI145" i="8"/>
  <c r="BJ145" i="8"/>
  <c r="BK145" i="8"/>
  <c r="BL145" i="8"/>
  <c r="AZ109" i="8"/>
  <c r="BL109" i="8"/>
  <c r="BK109" i="8"/>
  <c r="BH109" i="8"/>
  <c r="BI109" i="8"/>
  <c r="BJ109" i="8"/>
  <c r="AZ115" i="8"/>
  <c r="BK115" i="8"/>
  <c r="BL115" i="8"/>
  <c r="BH115" i="8"/>
  <c r="BI115" i="8"/>
  <c r="BJ115" i="8"/>
  <c r="AZ165" i="8"/>
  <c r="BL165" i="8"/>
  <c r="BH165" i="8"/>
  <c r="BI165" i="8"/>
  <c r="BJ165" i="8"/>
  <c r="BK165" i="8"/>
  <c r="AZ91" i="8"/>
  <c r="BL91" i="8"/>
  <c r="BH91" i="8"/>
  <c r="BI91" i="8"/>
  <c r="BJ91" i="8"/>
  <c r="BK91" i="8"/>
  <c r="AZ102" i="8"/>
  <c r="BL102" i="8"/>
  <c r="BJ102" i="8"/>
  <c r="BK102" i="8"/>
  <c r="BH102" i="8"/>
  <c r="BI102" i="8"/>
  <c r="AZ186" i="8"/>
  <c r="BK186" i="8"/>
  <c r="BH186" i="8"/>
  <c r="BI186" i="8"/>
  <c r="BJ186" i="8"/>
  <c r="BL186" i="8"/>
  <c r="AZ103" i="8"/>
  <c r="BJ103" i="8"/>
  <c r="BH103" i="8"/>
  <c r="BI103" i="8"/>
  <c r="BK103" i="8"/>
  <c r="BL103" i="8"/>
  <c r="AZ57" i="8"/>
  <c r="BH57" i="8"/>
  <c r="BI57" i="8"/>
  <c r="BJ57" i="8"/>
  <c r="BK57" i="8"/>
  <c r="BL57" i="8"/>
  <c r="BJ56" i="8"/>
  <c r="BK56" i="8"/>
  <c r="BH56" i="8"/>
  <c r="BI56" i="8"/>
  <c r="AZ56" i="8"/>
  <c r="AX60" i="8"/>
  <c r="AY60" i="8"/>
  <c r="AX61" i="8"/>
  <c r="AY61" i="8"/>
  <c r="AX66" i="8"/>
  <c r="AY66" i="8"/>
  <c r="AX76" i="8"/>
  <c r="AY76" i="8"/>
  <c r="AX108" i="8"/>
  <c r="AY108" i="8"/>
  <c r="AX164" i="8"/>
  <c r="AY164" i="8"/>
  <c r="AX101" i="8"/>
  <c r="AY101" i="8"/>
  <c r="AX179" i="8"/>
  <c r="AY179" i="8"/>
  <c r="AX62" i="8"/>
  <c r="AY62" i="8"/>
  <c r="AX159" i="8"/>
  <c r="AY159" i="8"/>
  <c r="AX151" i="8"/>
  <c r="AY151" i="8"/>
  <c r="AX143" i="8"/>
  <c r="AY143" i="8"/>
  <c r="AX80" i="8"/>
  <c r="AY80" i="8"/>
  <c r="AX136" i="8"/>
  <c r="AY136" i="8"/>
  <c r="AX192" i="8"/>
  <c r="AY192" i="8"/>
  <c r="AX129" i="8"/>
  <c r="AY129" i="8"/>
  <c r="AX177" i="8"/>
  <c r="AY177" i="8"/>
  <c r="AX163" i="8"/>
  <c r="AY163" i="8"/>
  <c r="AX138" i="8"/>
  <c r="AY138" i="8"/>
  <c r="AX106" i="8"/>
  <c r="AY106" i="8"/>
  <c r="AX187" i="8"/>
  <c r="AY187" i="8"/>
  <c r="AX72" i="8"/>
  <c r="AY72" i="8"/>
  <c r="AX68" i="8"/>
  <c r="AY68" i="8"/>
  <c r="AX92" i="8"/>
  <c r="AY92" i="8"/>
  <c r="AX170" i="8"/>
  <c r="AY170" i="8"/>
  <c r="AX161" i="8"/>
  <c r="AY161" i="8"/>
  <c r="AX130" i="8"/>
  <c r="AY130" i="8"/>
  <c r="AX98" i="8"/>
  <c r="AY98" i="8"/>
  <c r="AX185" i="8"/>
  <c r="AY185" i="8"/>
  <c r="AX169" i="8"/>
  <c r="AY169" i="8"/>
  <c r="AX70" i="8"/>
  <c r="AY70" i="8"/>
  <c r="AX183" i="8"/>
  <c r="AY183" i="8"/>
  <c r="AX120" i="8"/>
  <c r="AY120" i="8"/>
  <c r="AX121" i="8"/>
  <c r="AY121" i="8"/>
  <c r="AX86" i="8"/>
  <c r="AY86" i="8"/>
  <c r="AX78" i="8"/>
  <c r="AY78" i="8"/>
  <c r="AX189" i="8"/>
  <c r="AY189" i="8"/>
  <c r="AX126" i="8"/>
  <c r="AY126" i="8"/>
  <c r="AX182" i="8"/>
  <c r="AY182" i="8"/>
  <c r="AX119" i="8"/>
  <c r="AY119" i="8"/>
  <c r="AX175" i="8"/>
  <c r="AY175" i="8"/>
  <c r="AX69" i="8"/>
  <c r="AY69" i="8"/>
  <c r="AX140" i="8"/>
  <c r="AY140" i="8"/>
  <c r="AX114" i="8"/>
  <c r="AY114" i="8"/>
  <c r="AX82" i="8"/>
  <c r="AY82" i="8"/>
  <c r="AX171" i="8"/>
  <c r="AY171" i="8"/>
  <c r="AX155" i="8"/>
  <c r="AY155" i="8"/>
  <c r="AX118" i="8"/>
  <c r="AY118" i="8"/>
  <c r="AX174" i="8"/>
  <c r="AY174" i="8"/>
  <c r="AX107" i="8"/>
  <c r="AY107" i="8"/>
  <c r="AX111" i="8"/>
  <c r="AY111" i="8"/>
  <c r="AX71" i="8"/>
  <c r="AY71" i="8"/>
  <c r="AX112" i="8"/>
  <c r="AY112" i="8"/>
  <c r="AX58" i="8"/>
  <c r="AY58" i="8"/>
  <c r="AX113" i="8"/>
  <c r="AY113" i="8"/>
  <c r="AX77" i="8"/>
  <c r="AY77" i="8"/>
  <c r="AX105" i="8"/>
  <c r="AY105" i="8"/>
  <c r="AX188" i="8"/>
  <c r="AY188" i="8"/>
  <c r="AX97" i="8"/>
  <c r="AY97" i="8"/>
  <c r="AX180" i="8"/>
  <c r="AY180" i="8"/>
  <c r="AX153" i="8"/>
  <c r="AY153" i="8"/>
  <c r="AX117" i="8"/>
  <c r="AY117" i="8"/>
  <c r="AX147" i="8"/>
  <c r="AY147" i="8"/>
  <c r="AX173" i="8"/>
  <c r="AY173" i="8"/>
  <c r="AX123" i="8"/>
  <c r="AY123" i="8"/>
  <c r="AX110" i="8"/>
  <c r="AY110" i="8"/>
  <c r="AX99" i="8"/>
  <c r="AY99" i="8"/>
  <c r="AX166" i="8"/>
  <c r="AY166" i="8"/>
  <c r="AX64" i="8"/>
  <c r="AY64" i="8"/>
  <c r="AX167" i="8"/>
  <c r="AY167" i="8"/>
  <c r="AX104" i="8"/>
  <c r="AY104" i="8"/>
  <c r="AX96" i="8"/>
  <c r="AY96" i="8"/>
  <c r="AX88" i="8"/>
  <c r="AY88" i="8"/>
  <c r="AX144" i="8"/>
  <c r="AY144" i="8"/>
  <c r="AX81" i="8"/>
  <c r="AY81" i="8"/>
  <c r="AX137" i="8"/>
  <c r="AY137" i="8"/>
  <c r="AX83" i="8"/>
  <c r="AY83" i="8"/>
  <c r="AX157" i="8"/>
  <c r="AY157" i="8"/>
  <c r="AX158" i="8"/>
  <c r="AY158" i="8"/>
  <c r="AX59" i="8"/>
  <c r="AY59" i="8"/>
  <c r="AX63" i="8"/>
  <c r="AY63" i="8"/>
  <c r="AX75" i="8"/>
  <c r="AY75" i="8"/>
  <c r="AX73" i="8"/>
  <c r="AY73" i="8"/>
  <c r="AX100" i="8"/>
  <c r="AY100" i="8"/>
  <c r="AX156" i="8"/>
  <c r="AY156" i="8"/>
  <c r="AX93" i="8"/>
  <c r="AY93" i="8"/>
  <c r="AX94" i="8"/>
  <c r="AY94" i="8"/>
  <c r="AX95" i="8"/>
  <c r="AY95" i="8"/>
  <c r="AX87" i="8"/>
  <c r="AY87" i="8"/>
  <c r="AX79" i="8"/>
  <c r="AY79" i="8"/>
  <c r="AX135" i="8"/>
  <c r="AY135" i="8"/>
  <c r="AX191" i="8"/>
  <c r="AY191" i="8"/>
  <c r="AX128" i="8"/>
  <c r="AY128" i="8"/>
  <c r="AX184" i="8"/>
  <c r="AY184" i="8"/>
  <c r="AX148" i="8"/>
  <c r="AY148" i="8"/>
  <c r="AX149" i="8"/>
  <c r="AY149" i="8"/>
  <c r="AX150" i="8"/>
  <c r="AY150" i="8"/>
  <c r="AX142" i="8"/>
  <c r="AY142" i="8"/>
  <c r="AX134" i="8"/>
  <c r="AY134" i="8"/>
  <c r="AX190" i="8"/>
  <c r="AY190" i="8"/>
  <c r="AX127" i="8"/>
  <c r="AY127" i="8"/>
  <c r="AX65" i="8"/>
  <c r="AY65" i="8"/>
  <c r="AX84" i="8"/>
  <c r="AY84" i="8"/>
  <c r="AX85" i="8"/>
  <c r="AY85" i="8"/>
  <c r="AX154" i="8"/>
  <c r="AY154" i="8"/>
  <c r="AX122" i="8"/>
  <c r="AY122" i="8"/>
  <c r="AX90" i="8"/>
  <c r="AY90" i="8"/>
  <c r="AX178" i="8"/>
  <c r="AY178" i="8"/>
  <c r="AX162" i="8"/>
  <c r="AY162" i="8"/>
  <c r="AX139" i="8"/>
  <c r="AY139" i="8"/>
  <c r="AX67" i="8"/>
  <c r="AY67" i="8"/>
  <c r="AX176" i="8"/>
  <c r="AY176" i="8"/>
  <c r="AX146" i="8"/>
  <c r="AY146" i="8"/>
  <c r="AX141" i="8"/>
  <c r="AY141" i="8"/>
  <c r="AX133" i="8"/>
  <c r="AY133" i="8"/>
  <c r="AX125" i="8"/>
  <c r="AY125" i="8"/>
  <c r="AX181" i="8"/>
  <c r="AY181" i="8"/>
  <c r="AX131" i="8"/>
  <c r="AY131" i="8"/>
  <c r="AX74" i="8"/>
  <c r="AY74" i="8"/>
  <c r="AX168" i="8"/>
  <c r="AY168" i="8"/>
  <c r="AX132" i="8"/>
  <c r="AY132" i="8"/>
  <c r="AX160" i="8"/>
  <c r="AY160" i="8"/>
  <c r="AX124" i="8"/>
  <c r="AY124" i="8"/>
  <c r="AX152" i="8"/>
  <c r="AY152" i="8"/>
  <c r="AX116" i="8"/>
  <c r="AY116" i="8"/>
  <c r="AX89" i="8"/>
  <c r="AY89" i="8"/>
  <c r="AX172" i="8"/>
  <c r="AY172" i="8"/>
  <c r="AX145" i="8"/>
  <c r="AY145" i="8"/>
  <c r="AX109" i="8"/>
  <c r="AY109" i="8"/>
  <c r="AX115" i="8"/>
  <c r="AY115" i="8"/>
  <c r="AX165" i="8"/>
  <c r="AY165" i="8"/>
  <c r="AX91" i="8"/>
  <c r="AY91" i="8"/>
  <c r="AX102" i="8"/>
  <c r="AY102" i="8"/>
  <c r="AX186" i="8"/>
  <c r="AY186" i="8"/>
  <c r="AX103" i="8"/>
  <c r="AY103" i="8"/>
  <c r="AX57" i="8"/>
  <c r="AY57" i="8"/>
  <c r="AX56" i="8"/>
  <c r="AY56" i="8"/>
  <c r="BM186" i="8"/>
  <c r="BQ186" i="8"/>
  <c r="BT186" i="8"/>
  <c r="BA186" i="8"/>
  <c r="BP186" i="8"/>
  <c r="AW186" i="8"/>
  <c r="BN186" i="8"/>
  <c r="AV186" i="8"/>
  <c r="BR186" i="8"/>
  <c r="BO186" i="8"/>
  <c r="BS186" i="8"/>
  <c r="BO102" i="8"/>
  <c r="BT102" i="8"/>
  <c r="BP102" i="8"/>
  <c r="BA102" i="8"/>
  <c r="BQ102" i="8"/>
  <c r="BS102" i="8"/>
  <c r="BM102" i="8"/>
  <c r="AW102" i="8"/>
  <c r="AV102" i="8"/>
  <c r="BR102" i="8"/>
  <c r="BN102" i="8"/>
  <c r="AW173" i="8"/>
  <c r="BN173" i="8"/>
  <c r="BS173" i="8"/>
  <c r="BO173" i="8"/>
  <c r="AV173" i="8"/>
  <c r="BM173" i="8"/>
  <c r="BR173" i="8"/>
  <c r="BA173" i="8"/>
  <c r="BQ173" i="8"/>
  <c r="BT173" i="8"/>
  <c r="BP173" i="8"/>
  <c r="BM167" i="8"/>
  <c r="BQ167" i="8"/>
  <c r="AW167" i="8"/>
  <c r="BA167" i="8"/>
  <c r="BS167" i="8"/>
  <c r="BR167" i="8"/>
  <c r="BT167" i="8"/>
  <c r="BN167" i="8"/>
  <c r="BO167" i="8"/>
  <c r="BP167" i="8"/>
  <c r="AV167" i="8"/>
  <c r="AV110" i="8"/>
  <c r="AW110" i="8"/>
  <c r="BA110" i="8"/>
  <c r="BO110" i="8"/>
  <c r="BS110" i="8"/>
  <c r="BP110" i="8"/>
  <c r="BT110" i="8"/>
  <c r="BM110" i="8"/>
  <c r="BN110" i="8"/>
  <c r="BQ110" i="8"/>
  <c r="BR110" i="8"/>
  <c r="AW171" i="8"/>
  <c r="BM171" i="8"/>
  <c r="BQ171" i="8"/>
  <c r="BS171" i="8"/>
  <c r="BA171" i="8"/>
  <c r="BP171" i="8"/>
  <c r="AV171" i="8"/>
  <c r="BT171" i="8"/>
  <c r="BN171" i="8"/>
  <c r="BO171" i="8"/>
  <c r="BR171" i="8"/>
  <c r="BP162" i="8"/>
  <c r="BQ162" i="8"/>
  <c r="BO162" i="8"/>
  <c r="BA162" i="8"/>
  <c r="AW162" i="8"/>
  <c r="BS162" i="8"/>
  <c r="BM162" i="8"/>
  <c r="BN162" i="8"/>
  <c r="BR162" i="8"/>
  <c r="BT162" i="8"/>
  <c r="AV162" i="8"/>
  <c r="BS139" i="8"/>
  <c r="BM139" i="8"/>
  <c r="BQ139" i="8"/>
  <c r="AW139" i="8"/>
  <c r="BA139" i="8"/>
  <c r="AV139" i="8"/>
  <c r="BR139" i="8"/>
  <c r="BT139" i="8"/>
  <c r="BN139" i="8"/>
  <c r="BO139" i="8"/>
  <c r="BP139" i="8"/>
  <c r="BA104" i="8"/>
  <c r="BM104" i="8"/>
  <c r="BR104" i="8"/>
  <c r="BP104" i="8"/>
  <c r="BN104" i="8"/>
  <c r="BQ104" i="8"/>
  <c r="AW104" i="8"/>
  <c r="AV104" i="8"/>
  <c r="BT104" i="8"/>
  <c r="BS104" i="8"/>
  <c r="BO104" i="8"/>
  <c r="BM148" i="8"/>
  <c r="BQ148" i="8"/>
  <c r="AV148" i="8"/>
  <c r="BN148" i="8"/>
  <c r="BR148" i="8"/>
  <c r="AW148" i="8"/>
  <c r="BS148" i="8"/>
  <c r="BT148" i="8"/>
  <c r="BA148" i="8"/>
  <c r="BO148" i="8"/>
  <c r="BP148" i="8"/>
  <c r="AW72" i="8"/>
  <c r="BN72" i="8"/>
  <c r="BS72" i="8"/>
  <c r="BO72" i="8"/>
  <c r="BQ72" i="8"/>
  <c r="BA72" i="8"/>
  <c r="BR72" i="8"/>
  <c r="BM72" i="8"/>
  <c r="AV72" i="8"/>
  <c r="BP72" i="8"/>
  <c r="BT72" i="8"/>
  <c r="BN124" i="8"/>
  <c r="AV124" i="8"/>
  <c r="BQ124" i="8"/>
  <c r="BA124" i="8"/>
  <c r="BM124" i="8"/>
  <c r="BT124" i="8"/>
  <c r="AW124" i="8"/>
  <c r="BR124" i="8"/>
  <c r="BS124" i="8"/>
  <c r="BO124" i="8"/>
  <c r="BP124" i="8"/>
  <c r="AW63" i="8"/>
  <c r="BA63" i="8"/>
  <c r="BO63" i="8"/>
  <c r="BS63" i="8"/>
  <c r="BP63" i="8"/>
  <c r="BT63" i="8"/>
  <c r="BM63" i="8"/>
  <c r="BN63" i="8"/>
  <c r="BQ63" i="8"/>
  <c r="AV63" i="8"/>
  <c r="BR63" i="8"/>
  <c r="BA92" i="8"/>
  <c r="AV92" i="8"/>
  <c r="BM92" i="8"/>
  <c r="BS92" i="8"/>
  <c r="AW92" i="8"/>
  <c r="BP92" i="8"/>
  <c r="BN92" i="8"/>
  <c r="BR92" i="8"/>
  <c r="BQ92" i="8"/>
  <c r="BT92" i="8"/>
  <c r="BO92" i="8"/>
  <c r="AW71" i="8"/>
  <c r="BA71" i="8"/>
  <c r="BO71" i="8"/>
  <c r="BS71" i="8"/>
  <c r="BP71" i="8"/>
  <c r="BT71" i="8"/>
  <c r="BQ71" i="8"/>
  <c r="AV71" i="8"/>
  <c r="BR71" i="8"/>
  <c r="BM71" i="8"/>
  <c r="BN71" i="8"/>
  <c r="BO60" i="8"/>
  <c r="BQ60" i="8"/>
  <c r="AV60" i="8"/>
  <c r="BM60" i="8"/>
  <c r="AW60" i="8"/>
  <c r="BN60" i="8"/>
  <c r="BR60" i="8"/>
  <c r="BS60" i="8"/>
  <c r="BA60" i="8"/>
  <c r="BP60" i="8"/>
  <c r="BT60" i="8"/>
  <c r="BS70" i="8"/>
  <c r="AW70" i="8"/>
  <c r="BP70" i="8"/>
  <c r="BQ70" i="8"/>
  <c r="BN70" i="8"/>
  <c r="BO70" i="8"/>
  <c r="BA70" i="8"/>
  <c r="BM70" i="8"/>
  <c r="AV70" i="8"/>
  <c r="BR70" i="8"/>
  <c r="BT70" i="8"/>
  <c r="AV187" i="8"/>
  <c r="BN187" i="8"/>
  <c r="BR187" i="8"/>
  <c r="AW187" i="8"/>
  <c r="BA187" i="8"/>
  <c r="BO187" i="8"/>
  <c r="BS187" i="8"/>
  <c r="BT187" i="8"/>
  <c r="BM187" i="8"/>
  <c r="BP187" i="8"/>
  <c r="BQ187" i="8"/>
  <c r="BQ177" i="8"/>
  <c r="BT177" i="8"/>
  <c r="BR177" i="8"/>
  <c r="AV177" i="8"/>
  <c r="BA177" i="8"/>
  <c r="BP177" i="8"/>
  <c r="BO177" i="8"/>
  <c r="BN177" i="8"/>
  <c r="AW177" i="8"/>
  <c r="BS177" i="8"/>
  <c r="BM177" i="8"/>
  <c r="BP172" i="8"/>
  <c r="BT172" i="8"/>
  <c r="BM172" i="8"/>
  <c r="BQ172" i="8"/>
  <c r="BN172" i="8"/>
  <c r="BA172" i="8"/>
  <c r="BO172" i="8"/>
  <c r="AV172" i="8"/>
  <c r="BS172" i="8"/>
  <c r="BR172" i="8"/>
  <c r="AW172" i="8"/>
  <c r="AV152" i="8"/>
  <c r="BN152" i="8"/>
  <c r="BR152" i="8"/>
  <c r="AW152" i="8"/>
  <c r="BA152" i="8"/>
  <c r="BO152" i="8"/>
  <c r="BS152" i="8"/>
  <c r="BP152" i="8"/>
  <c r="BQ152" i="8"/>
  <c r="BT152" i="8"/>
  <c r="BM152" i="8"/>
  <c r="BQ188" i="8"/>
  <c r="AV188" i="8"/>
  <c r="BA188" i="8"/>
  <c r="BM188" i="8"/>
  <c r="BR188" i="8"/>
  <c r="BS188" i="8"/>
  <c r="AW188" i="8"/>
  <c r="BN188" i="8"/>
  <c r="BO188" i="8"/>
  <c r="BT188" i="8"/>
  <c r="BP188" i="8"/>
  <c r="AW132" i="8"/>
  <c r="BA132" i="8"/>
  <c r="BO132" i="8"/>
  <c r="BS132" i="8"/>
  <c r="BP132" i="8"/>
  <c r="BT132" i="8"/>
  <c r="BM132" i="8"/>
  <c r="BN132" i="8"/>
  <c r="BQ132" i="8"/>
  <c r="AV132" i="8"/>
  <c r="BR132" i="8"/>
  <c r="BO149" i="8"/>
  <c r="BQ149" i="8"/>
  <c r="BA149" i="8"/>
  <c r="BR149" i="8"/>
  <c r="BS149" i="8"/>
  <c r="AV149" i="8"/>
  <c r="AW149" i="8"/>
  <c r="BM149" i="8"/>
  <c r="BN149" i="8"/>
  <c r="BT149" i="8"/>
  <c r="BP149" i="8"/>
  <c r="BT101" i="8"/>
  <c r="BA101" i="8"/>
  <c r="BM101" i="8"/>
  <c r="BN101" i="8"/>
  <c r="BO101" i="8"/>
  <c r="BR101" i="8"/>
  <c r="AW101" i="8"/>
  <c r="BP101" i="8"/>
  <c r="BQ101" i="8"/>
  <c r="BS101" i="8"/>
  <c r="AV101" i="8"/>
  <c r="BA135" i="8"/>
  <c r="AW135" i="8"/>
  <c r="BM135" i="8"/>
  <c r="BQ135" i="8"/>
  <c r="BN135" i="8"/>
  <c r="BO135" i="8"/>
  <c r="BP135" i="8"/>
  <c r="AV135" i="8"/>
  <c r="BR135" i="8"/>
  <c r="BT135" i="8"/>
  <c r="BS135" i="8"/>
  <c r="BM136" i="8"/>
  <c r="AV136" i="8"/>
  <c r="BP136" i="8"/>
  <c r="BT136" i="8"/>
  <c r="AW136" i="8"/>
  <c r="BQ136" i="8"/>
  <c r="BN136" i="8"/>
  <c r="BO136" i="8"/>
  <c r="BR136" i="8"/>
  <c r="BS136" i="8"/>
  <c r="BA136" i="8"/>
  <c r="BQ121" i="8"/>
  <c r="AV121" i="8"/>
  <c r="BM121" i="8"/>
  <c r="BR121" i="8"/>
  <c r="BT121" i="8"/>
  <c r="BN121" i="8"/>
  <c r="BP121" i="8"/>
  <c r="AW121" i="8"/>
  <c r="BO121" i="8"/>
  <c r="BS121" i="8"/>
  <c r="BA121" i="8"/>
  <c r="BP99" i="8"/>
  <c r="BT99" i="8"/>
  <c r="BM99" i="8"/>
  <c r="BQ99" i="8"/>
  <c r="AV99" i="8"/>
  <c r="BR99" i="8"/>
  <c r="AW99" i="8"/>
  <c r="BS99" i="8"/>
  <c r="BN99" i="8"/>
  <c r="BO99" i="8"/>
  <c r="BA99" i="8"/>
  <c r="BR89" i="8"/>
  <c r="AV89" i="8"/>
  <c r="BN89" i="8"/>
  <c r="BQ89" i="8"/>
  <c r="AW89" i="8"/>
  <c r="BS89" i="8"/>
  <c r="BP89" i="8"/>
  <c r="BM89" i="8"/>
  <c r="BO89" i="8"/>
  <c r="BT89" i="8"/>
  <c r="BA89" i="8"/>
  <c r="AW82" i="8"/>
  <c r="BA82" i="8"/>
  <c r="BO82" i="8"/>
  <c r="BS82" i="8"/>
  <c r="BP82" i="8"/>
  <c r="BT82" i="8"/>
  <c r="BQ82" i="8"/>
  <c r="AV82" i="8"/>
  <c r="BR82" i="8"/>
  <c r="BM82" i="8"/>
  <c r="BN82" i="8"/>
  <c r="BP59" i="8"/>
  <c r="BT59" i="8"/>
  <c r="BM59" i="8"/>
  <c r="BQ59" i="8"/>
  <c r="BN59" i="8"/>
  <c r="BA59" i="8"/>
  <c r="BO59" i="8"/>
  <c r="AV59" i="8"/>
  <c r="BR59" i="8"/>
  <c r="AW59" i="8"/>
  <c r="BS59" i="8"/>
  <c r="BQ61" i="8"/>
  <c r="BT61" i="8"/>
  <c r="BN61" i="8"/>
  <c r="BS61" i="8"/>
  <c r="BP61" i="8"/>
  <c r="BA61" i="8"/>
  <c r="BO61" i="8"/>
  <c r="BM61" i="8"/>
  <c r="AW61" i="8"/>
  <c r="BR61" i="8"/>
  <c r="AV61" i="8"/>
  <c r="AV180" i="8"/>
  <c r="BA180" i="8"/>
  <c r="BM180" i="8"/>
  <c r="BR180" i="8"/>
  <c r="AW180" i="8"/>
  <c r="BN180" i="8"/>
  <c r="BS180" i="8"/>
  <c r="BO180" i="8"/>
  <c r="BQ180" i="8"/>
  <c r="BT180" i="8"/>
  <c r="BP180" i="8"/>
  <c r="BQ166" i="8"/>
  <c r="BP166" i="8"/>
  <c r="AV166" i="8"/>
  <c r="BS166" i="8"/>
  <c r="BN166" i="8"/>
  <c r="BA166" i="8"/>
  <c r="BR166" i="8"/>
  <c r="BO166" i="8"/>
  <c r="AW166" i="8"/>
  <c r="BM166" i="8"/>
  <c r="BT166" i="8"/>
  <c r="AV145" i="8"/>
  <c r="BA145" i="8"/>
  <c r="BM145" i="8"/>
  <c r="BR145" i="8"/>
  <c r="AW145" i="8"/>
  <c r="BN145" i="8"/>
  <c r="BS145" i="8"/>
  <c r="BO145" i="8"/>
  <c r="BQ145" i="8"/>
  <c r="BT145" i="8"/>
  <c r="BP145" i="8"/>
  <c r="AW176" i="8"/>
  <c r="BN176" i="8"/>
  <c r="BS176" i="8"/>
  <c r="BO176" i="8"/>
  <c r="AV176" i="8"/>
  <c r="BM176" i="8"/>
  <c r="BQ176" i="8"/>
  <c r="BA176" i="8"/>
  <c r="BR176" i="8"/>
  <c r="BT176" i="8"/>
  <c r="BP176" i="8"/>
  <c r="BO126" i="8"/>
  <c r="BP126" i="8"/>
  <c r="BA126" i="8"/>
  <c r="AV126" i="8"/>
  <c r="BR126" i="8"/>
  <c r="BS126" i="8"/>
  <c r="BQ126" i="8"/>
  <c r="AW126" i="8"/>
  <c r="BN126" i="8"/>
  <c r="BM126" i="8"/>
  <c r="BT126" i="8"/>
  <c r="BP182" i="8"/>
  <c r="BQ182" i="8"/>
  <c r="BM182" i="8"/>
  <c r="BT182" i="8"/>
  <c r="AV182" i="8"/>
  <c r="BR182" i="8"/>
  <c r="BO182" i="8"/>
  <c r="AW182" i="8"/>
  <c r="BS182" i="8"/>
  <c r="BA182" i="8"/>
  <c r="BN182" i="8"/>
  <c r="AV170" i="8"/>
  <c r="BS170" i="8"/>
  <c r="BN170" i="8"/>
  <c r="BA170" i="8"/>
  <c r="BR170" i="8"/>
  <c r="BQ170" i="8"/>
  <c r="BO170" i="8"/>
  <c r="AW170" i="8"/>
  <c r="BM170" i="8"/>
  <c r="BP170" i="8"/>
  <c r="BT170" i="8"/>
  <c r="AV163" i="8"/>
  <c r="BR163" i="8"/>
  <c r="BT163" i="8"/>
  <c r="BQ163" i="8"/>
  <c r="BM163" i="8"/>
  <c r="BN163" i="8"/>
  <c r="BP163" i="8"/>
  <c r="BA163" i="8"/>
  <c r="AW163" i="8"/>
  <c r="BO163" i="8"/>
  <c r="BS163" i="8"/>
  <c r="AV142" i="8"/>
  <c r="BP142" i="8"/>
  <c r="BS142" i="8"/>
  <c r="BN142" i="8"/>
  <c r="BA142" i="8"/>
  <c r="BR142" i="8"/>
  <c r="BO142" i="8"/>
  <c r="AW142" i="8"/>
  <c r="BM142" i="8"/>
  <c r="BQ142" i="8"/>
  <c r="BT142" i="8"/>
  <c r="AV105" i="8"/>
  <c r="BN105" i="8"/>
  <c r="BQ105" i="8"/>
  <c r="BR105" i="8"/>
  <c r="BO105" i="8"/>
  <c r="BT105" i="8"/>
  <c r="AW105" i="8"/>
  <c r="BS105" i="8"/>
  <c r="BP105" i="8"/>
  <c r="BA105" i="8"/>
  <c r="BM105" i="8"/>
  <c r="BQ184" i="8"/>
  <c r="AV184" i="8"/>
  <c r="BA184" i="8"/>
  <c r="BM184" i="8"/>
  <c r="BR184" i="8"/>
  <c r="BS184" i="8"/>
  <c r="BN184" i="8"/>
  <c r="BO184" i="8"/>
  <c r="AW184" i="8"/>
  <c r="BT184" i="8"/>
  <c r="BP184" i="8"/>
  <c r="AW144" i="8"/>
  <c r="BA144" i="8"/>
  <c r="BO144" i="8"/>
  <c r="BS144" i="8"/>
  <c r="BP144" i="8"/>
  <c r="BT144" i="8"/>
  <c r="BQ144" i="8"/>
  <c r="AV144" i="8"/>
  <c r="BR144" i="8"/>
  <c r="BM144" i="8"/>
  <c r="BN144" i="8"/>
  <c r="AW116" i="8"/>
  <c r="BR116" i="8"/>
  <c r="BM116" i="8"/>
  <c r="BS116" i="8"/>
  <c r="BA116" i="8"/>
  <c r="AV116" i="8"/>
  <c r="BN116" i="8"/>
  <c r="BQ116" i="8"/>
  <c r="BP116" i="8"/>
  <c r="BO116" i="8"/>
  <c r="BT116" i="8"/>
  <c r="AW158" i="8"/>
  <c r="BS158" i="8"/>
  <c r="BM158" i="8"/>
  <c r="BN158" i="8"/>
  <c r="BQ158" i="8"/>
  <c r="BA158" i="8"/>
  <c r="BR158" i="8"/>
  <c r="BT158" i="8"/>
  <c r="AV158" i="8"/>
  <c r="BP158" i="8"/>
  <c r="BO158" i="8"/>
  <c r="BS147" i="8"/>
  <c r="BA147" i="8"/>
  <c r="BM147" i="8"/>
  <c r="BQ147" i="8"/>
  <c r="BN147" i="8"/>
  <c r="BO147" i="8"/>
  <c r="BP147" i="8"/>
  <c r="AV147" i="8"/>
  <c r="BR147" i="8"/>
  <c r="BT147" i="8"/>
  <c r="AW147" i="8"/>
  <c r="AV133" i="8"/>
  <c r="BA133" i="8"/>
  <c r="BM133" i="8"/>
  <c r="BR133" i="8"/>
  <c r="AW133" i="8"/>
  <c r="BN133" i="8"/>
  <c r="BS133" i="8"/>
  <c r="BO133" i="8"/>
  <c r="BQ133" i="8"/>
  <c r="BT133" i="8"/>
  <c r="BP133" i="8"/>
  <c r="AV117" i="8"/>
  <c r="BM117" i="8"/>
  <c r="BR117" i="8"/>
  <c r="BN117" i="8"/>
  <c r="BT117" i="8"/>
  <c r="BQ117" i="8"/>
  <c r="BP117" i="8"/>
  <c r="AW117" i="8"/>
  <c r="BS117" i="8"/>
  <c r="BA117" i="8"/>
  <c r="BO117" i="8"/>
  <c r="BP62" i="8"/>
  <c r="BA62" i="8"/>
  <c r="BM62" i="8"/>
  <c r="AV62" i="8"/>
  <c r="BR62" i="8"/>
  <c r="BT62" i="8"/>
  <c r="BO62" i="8"/>
  <c r="AW62" i="8"/>
  <c r="BS62" i="8"/>
  <c r="BN62" i="8"/>
  <c r="BQ62" i="8"/>
  <c r="BQ153" i="8"/>
  <c r="AV153" i="8"/>
  <c r="BA153" i="8"/>
  <c r="BM153" i="8"/>
  <c r="BR153" i="8"/>
  <c r="AW153" i="8"/>
  <c r="BN153" i="8"/>
  <c r="BO153" i="8"/>
  <c r="BS153" i="8"/>
  <c r="BT153" i="8"/>
  <c r="BP153" i="8"/>
  <c r="AW123" i="8"/>
  <c r="BA123" i="8"/>
  <c r="BO123" i="8"/>
  <c r="BS123" i="8"/>
  <c r="BP123" i="8"/>
  <c r="BT123" i="8"/>
  <c r="BQ123" i="8"/>
  <c r="AV123" i="8"/>
  <c r="BR123" i="8"/>
  <c r="BM123" i="8"/>
  <c r="BN123" i="8"/>
  <c r="BM97" i="8"/>
  <c r="BT97" i="8"/>
  <c r="BS97" i="8"/>
  <c r="BA97" i="8"/>
  <c r="BN97" i="8"/>
  <c r="BR97" i="8"/>
  <c r="BO97" i="8"/>
  <c r="BQ97" i="8"/>
  <c r="AW97" i="8"/>
  <c r="BP97" i="8"/>
  <c r="AV97" i="8"/>
  <c r="BP130" i="8"/>
  <c r="BQ130" i="8"/>
  <c r="BA130" i="8"/>
  <c r="BR130" i="8"/>
  <c r="BT130" i="8"/>
  <c r="AW130" i="8"/>
  <c r="BM130" i="8"/>
  <c r="AV130" i="8"/>
  <c r="BO130" i="8"/>
  <c r="BS130" i="8"/>
  <c r="BN130" i="8"/>
  <c r="BR96" i="8"/>
  <c r="BT96" i="8"/>
  <c r="BS96" i="8"/>
  <c r="BO96" i="8"/>
  <c r="BM96" i="8"/>
  <c r="BN96" i="8"/>
  <c r="AW96" i="8"/>
  <c r="BA96" i="8"/>
  <c r="BQ96" i="8"/>
  <c r="BP96" i="8"/>
  <c r="AV96" i="8"/>
  <c r="BM119" i="8"/>
  <c r="BQ119" i="8"/>
  <c r="AV119" i="8"/>
  <c r="BN119" i="8"/>
  <c r="BR119" i="8"/>
  <c r="BA119" i="8"/>
  <c r="BO119" i="8"/>
  <c r="BP119" i="8"/>
  <c r="AW119" i="8"/>
  <c r="BS119" i="8"/>
  <c r="BT119" i="8"/>
  <c r="BA106" i="8"/>
  <c r="BQ106" i="8"/>
  <c r="AW106" i="8"/>
  <c r="BM106" i="8"/>
  <c r="BS106" i="8"/>
  <c r="BO106" i="8"/>
  <c r="BP106" i="8"/>
  <c r="BT106" i="8"/>
  <c r="BR106" i="8"/>
  <c r="BN106" i="8"/>
  <c r="AV106" i="8"/>
  <c r="BA98" i="8"/>
  <c r="BQ98" i="8"/>
  <c r="BM98" i="8"/>
  <c r="BT98" i="8"/>
  <c r="BO98" i="8"/>
  <c r="BP98" i="8"/>
  <c r="BS98" i="8"/>
  <c r="AW98" i="8"/>
  <c r="BN98" i="8"/>
  <c r="AV98" i="8"/>
  <c r="BR98" i="8"/>
  <c r="BA94" i="8"/>
  <c r="BQ94" i="8"/>
  <c r="AW94" i="8"/>
  <c r="BM94" i="8"/>
  <c r="BS94" i="8"/>
  <c r="BT94" i="8"/>
  <c r="BO94" i="8"/>
  <c r="BP94" i="8"/>
  <c r="AV94" i="8"/>
  <c r="BN94" i="8"/>
  <c r="BR94" i="8"/>
  <c r="BA88" i="8"/>
  <c r="BM88" i="8"/>
  <c r="BO88" i="8"/>
  <c r="BT88" i="8"/>
  <c r="BR88" i="8"/>
  <c r="AV88" i="8"/>
  <c r="BP88" i="8"/>
  <c r="BN88" i="8"/>
  <c r="BQ88" i="8"/>
  <c r="BS88" i="8"/>
  <c r="AW88" i="8"/>
  <c r="BM80" i="8"/>
  <c r="BN80" i="8"/>
  <c r="BR80" i="8"/>
  <c r="AV80" i="8"/>
  <c r="BS80" i="8"/>
  <c r="BQ80" i="8"/>
  <c r="BT80" i="8"/>
  <c r="BP80" i="8"/>
  <c r="BO80" i="8"/>
  <c r="BA80" i="8"/>
  <c r="AW80" i="8"/>
  <c r="BP75" i="8"/>
  <c r="BT75" i="8"/>
  <c r="BM75" i="8"/>
  <c r="BQ75" i="8"/>
  <c r="BN75" i="8"/>
  <c r="BA75" i="8"/>
  <c r="BO75" i="8"/>
  <c r="AV75" i="8"/>
  <c r="AW75" i="8"/>
  <c r="BR75" i="8"/>
  <c r="BS75" i="8"/>
  <c r="BA66" i="8"/>
  <c r="BM66" i="8"/>
  <c r="BP66" i="8"/>
  <c r="BQ66" i="8"/>
  <c r="BS66" i="8"/>
  <c r="AW66" i="8"/>
  <c r="BO66" i="8"/>
  <c r="BR66" i="8"/>
  <c r="BN66" i="8"/>
  <c r="AV66" i="8"/>
  <c r="BT66" i="8"/>
  <c r="BN57" i="8"/>
  <c r="BP57" i="8"/>
  <c r="BQ57" i="8"/>
  <c r="BT57" i="8"/>
  <c r="AW57" i="8"/>
  <c r="BS57" i="8"/>
  <c r="BR57" i="8"/>
  <c r="BO57" i="8"/>
  <c r="BA57" i="8"/>
  <c r="AV57" i="8"/>
  <c r="BM57" i="8"/>
  <c r="BQ77" i="8"/>
  <c r="AV77" i="8"/>
  <c r="BM77" i="8"/>
  <c r="BR77" i="8"/>
  <c r="BT77" i="8"/>
  <c r="BN77" i="8"/>
  <c r="BP77" i="8"/>
  <c r="AW77" i="8"/>
  <c r="BS77" i="8"/>
  <c r="BO77" i="8"/>
  <c r="BA77" i="8"/>
  <c r="AW58" i="8"/>
  <c r="BM58" i="8"/>
  <c r="BP58" i="8"/>
  <c r="BQ58" i="8"/>
  <c r="BA58" i="8"/>
  <c r="AV58" i="8"/>
  <c r="BR58" i="8"/>
  <c r="BT58" i="8"/>
  <c r="BO58" i="8"/>
  <c r="BN58" i="8"/>
  <c r="BS58" i="8"/>
  <c r="BO85" i="8"/>
  <c r="BA85" i="8"/>
  <c r="BP85" i="8"/>
  <c r="BT85" i="8"/>
  <c r="AV85" i="8"/>
  <c r="BR85" i="8"/>
  <c r="BS85" i="8"/>
  <c r="BM85" i="8"/>
  <c r="AW85" i="8"/>
  <c r="BN85" i="8"/>
  <c r="BQ85" i="8"/>
  <c r="AW179" i="8"/>
  <c r="BA179" i="8"/>
  <c r="BO179" i="8"/>
  <c r="BS179" i="8"/>
  <c r="BP179" i="8"/>
  <c r="BT179" i="8"/>
  <c r="BQ179" i="8"/>
  <c r="AV179" i="8"/>
  <c r="BR179" i="8"/>
  <c r="BM179" i="8"/>
  <c r="BN179" i="8"/>
  <c r="BN87" i="8"/>
  <c r="BA87" i="8"/>
  <c r="BR87" i="8"/>
  <c r="BM87" i="8"/>
  <c r="BS87" i="8"/>
  <c r="AW87" i="8"/>
  <c r="BT87" i="8"/>
  <c r="AV87" i="8"/>
  <c r="BQ87" i="8"/>
  <c r="BO87" i="8"/>
  <c r="BP87" i="8"/>
  <c r="BP175" i="8"/>
  <c r="BT175" i="8"/>
  <c r="BM175" i="8"/>
  <c r="BQ175" i="8"/>
  <c r="BN175" i="8"/>
  <c r="BA175" i="8"/>
  <c r="BO175" i="8"/>
  <c r="AV175" i="8"/>
  <c r="BR175" i="8"/>
  <c r="AW175" i="8"/>
  <c r="BS175" i="8"/>
  <c r="AW155" i="8"/>
  <c r="BM155" i="8"/>
  <c r="BA155" i="8"/>
  <c r="BQ155" i="8"/>
  <c r="BS155" i="8"/>
  <c r="AV155" i="8"/>
  <c r="BT155" i="8"/>
  <c r="BN155" i="8"/>
  <c r="BO155" i="8"/>
  <c r="BP155" i="8"/>
  <c r="BR155" i="8"/>
  <c r="AV189" i="8"/>
  <c r="BM189" i="8"/>
  <c r="BQ189" i="8"/>
  <c r="BR189" i="8"/>
  <c r="BA189" i="8"/>
  <c r="BP189" i="8"/>
  <c r="BN189" i="8"/>
  <c r="AW189" i="8"/>
  <c r="BT189" i="8"/>
  <c r="BO189" i="8"/>
  <c r="BS189" i="8"/>
  <c r="AW137" i="8"/>
  <c r="BN137" i="8"/>
  <c r="BS137" i="8"/>
  <c r="BO137" i="8"/>
  <c r="AV137" i="8"/>
  <c r="BM137" i="8"/>
  <c r="BQ137" i="8"/>
  <c r="BR137" i="8"/>
  <c r="BA137" i="8"/>
  <c r="BT137" i="8"/>
  <c r="BP137" i="8"/>
  <c r="BP150" i="8"/>
  <c r="BQ150" i="8"/>
  <c r="BO150" i="8"/>
  <c r="BA150" i="8"/>
  <c r="BR150" i="8"/>
  <c r="AV150" i="8"/>
  <c r="AW150" i="8"/>
  <c r="BS150" i="8"/>
  <c r="BM150" i="8"/>
  <c r="BN150" i="8"/>
  <c r="BT150" i="8"/>
  <c r="AW127" i="8"/>
  <c r="BS127" i="8"/>
  <c r="AV127" i="8"/>
  <c r="BM127" i="8"/>
  <c r="BQ127" i="8"/>
  <c r="BN127" i="8"/>
  <c r="BO127" i="8"/>
  <c r="BP127" i="8"/>
  <c r="BA127" i="8"/>
  <c r="BR127" i="8"/>
  <c r="BT127" i="8"/>
  <c r="BM156" i="8"/>
  <c r="BQ156" i="8"/>
  <c r="AV156" i="8"/>
  <c r="BN156" i="8"/>
  <c r="BR156" i="8"/>
  <c r="BA156" i="8"/>
  <c r="BO156" i="8"/>
  <c r="BP156" i="8"/>
  <c r="AW156" i="8"/>
  <c r="BS156" i="8"/>
  <c r="BT156" i="8"/>
  <c r="BP118" i="8"/>
  <c r="BQ118" i="8"/>
  <c r="BT118" i="8"/>
  <c r="BA118" i="8"/>
  <c r="BR118" i="8"/>
  <c r="BS118" i="8"/>
  <c r="AW118" i="8"/>
  <c r="BN118" i="8"/>
  <c r="BM118" i="8"/>
  <c r="AV118" i="8"/>
  <c r="BO118" i="8"/>
  <c r="BP113" i="8"/>
  <c r="BQ113" i="8"/>
  <c r="BR113" i="8"/>
  <c r="BT113" i="8"/>
  <c r="AV113" i="8"/>
  <c r="BM113" i="8"/>
  <c r="BN113" i="8"/>
  <c r="BA113" i="8"/>
  <c r="BO113" i="8"/>
  <c r="AW113" i="8"/>
  <c r="BS113" i="8"/>
  <c r="BP114" i="8"/>
  <c r="BQ114" i="8"/>
  <c r="BO114" i="8"/>
  <c r="BA114" i="8"/>
  <c r="BT114" i="8"/>
  <c r="BN114" i="8"/>
  <c r="BM114" i="8"/>
  <c r="AW114" i="8"/>
  <c r="AV114" i="8"/>
  <c r="BR114" i="8"/>
  <c r="BS114" i="8"/>
  <c r="BP90" i="8"/>
  <c r="BA90" i="8"/>
  <c r="BQ90" i="8"/>
  <c r="BS90" i="8"/>
  <c r="BT90" i="8"/>
  <c r="AW90" i="8"/>
  <c r="BM90" i="8"/>
  <c r="BO90" i="8"/>
  <c r="BN90" i="8"/>
  <c r="AV90" i="8"/>
  <c r="BR90" i="8"/>
  <c r="BQ84" i="8"/>
  <c r="AV84" i="8"/>
  <c r="BM84" i="8"/>
  <c r="BR84" i="8"/>
  <c r="BN84" i="8"/>
  <c r="BP84" i="8"/>
  <c r="BT84" i="8"/>
  <c r="BA84" i="8"/>
  <c r="AW84" i="8"/>
  <c r="BO84" i="8"/>
  <c r="BS84" i="8"/>
  <c r="BN69" i="8"/>
  <c r="AW69" i="8"/>
  <c r="BS69" i="8"/>
  <c r="BR69" i="8"/>
  <c r="BM69" i="8"/>
  <c r="BA69" i="8"/>
  <c r="AV69" i="8"/>
  <c r="BP69" i="8"/>
  <c r="BO69" i="8"/>
  <c r="BQ69" i="8"/>
  <c r="BT69" i="8"/>
  <c r="AV83" i="8"/>
  <c r="BN83" i="8"/>
  <c r="BA83" i="8"/>
  <c r="BQ83" i="8"/>
  <c r="BM83" i="8"/>
  <c r="BS83" i="8"/>
  <c r="BT83" i="8"/>
  <c r="AW83" i="8"/>
  <c r="BP83" i="8"/>
  <c r="BR83" i="8"/>
  <c r="BO83" i="8"/>
  <c r="AV183" i="8"/>
  <c r="BN183" i="8"/>
  <c r="BR183" i="8"/>
  <c r="AW183" i="8"/>
  <c r="BA183" i="8"/>
  <c r="BO183" i="8"/>
  <c r="BS183" i="8"/>
  <c r="BT183" i="8"/>
  <c r="BM183" i="8"/>
  <c r="BP183" i="8"/>
  <c r="BQ183" i="8"/>
  <c r="BQ146" i="8"/>
  <c r="BP146" i="8"/>
  <c r="AV146" i="8"/>
  <c r="AW146" i="8"/>
  <c r="BA146" i="8"/>
  <c r="BR146" i="8"/>
  <c r="BO146" i="8"/>
  <c r="BS146" i="8"/>
  <c r="BM146" i="8"/>
  <c r="BN146" i="8"/>
  <c r="BT146" i="8"/>
  <c r="AW140" i="8"/>
  <c r="BA140" i="8"/>
  <c r="BO140" i="8"/>
  <c r="BS140" i="8"/>
  <c r="BP140" i="8"/>
  <c r="BT140" i="8"/>
  <c r="BM140" i="8"/>
  <c r="BN140" i="8"/>
  <c r="BQ140" i="8"/>
  <c r="AV140" i="8"/>
  <c r="BR140" i="8"/>
  <c r="BN185" i="8"/>
  <c r="BQ185" i="8"/>
  <c r="BM185" i="8"/>
  <c r="BR185" i="8"/>
  <c r="AV185" i="8"/>
  <c r="AW185" i="8"/>
  <c r="BS185" i="8"/>
  <c r="BO185" i="8"/>
  <c r="BA185" i="8"/>
  <c r="BP185" i="8"/>
  <c r="BT185" i="8"/>
  <c r="AV165" i="8"/>
  <c r="BA165" i="8"/>
  <c r="AW165" i="8"/>
  <c r="BN165" i="8"/>
  <c r="BS165" i="8"/>
  <c r="BO165" i="8"/>
  <c r="BQ165" i="8"/>
  <c r="BR165" i="8"/>
  <c r="BM165" i="8"/>
  <c r="BT165" i="8"/>
  <c r="BP165" i="8"/>
  <c r="BA108" i="8"/>
  <c r="AV108" i="8"/>
  <c r="BM108" i="8"/>
  <c r="BP108" i="8"/>
  <c r="BN108" i="8"/>
  <c r="BR108" i="8"/>
  <c r="BO108" i="8"/>
  <c r="BT108" i="8"/>
  <c r="BS108" i="8"/>
  <c r="AW108" i="8"/>
  <c r="BQ108" i="8"/>
  <c r="BM168" i="8"/>
  <c r="BQ168" i="8"/>
  <c r="AV168" i="8"/>
  <c r="BN168" i="8"/>
  <c r="BR168" i="8"/>
  <c r="BA168" i="8"/>
  <c r="BO168" i="8"/>
  <c r="BP168" i="8"/>
  <c r="AW168" i="8"/>
  <c r="BS168" i="8"/>
  <c r="BT168" i="8"/>
  <c r="BO161" i="8"/>
  <c r="BQ161" i="8"/>
  <c r="BA161" i="8"/>
  <c r="BR161" i="8"/>
  <c r="BS161" i="8"/>
  <c r="AV161" i="8"/>
  <c r="AW161" i="8"/>
  <c r="BM161" i="8"/>
  <c r="BN161" i="8"/>
  <c r="BT161" i="8"/>
  <c r="BP161" i="8"/>
  <c r="BP134" i="8"/>
  <c r="BQ134" i="8"/>
  <c r="BA134" i="8"/>
  <c r="BR134" i="8"/>
  <c r="BT134" i="8"/>
  <c r="BO134" i="8"/>
  <c r="AW134" i="8"/>
  <c r="AV134" i="8"/>
  <c r="BS134" i="8"/>
  <c r="BM134" i="8"/>
  <c r="BN134" i="8"/>
  <c r="BA122" i="8"/>
  <c r="BQ122" i="8"/>
  <c r="BP122" i="8"/>
  <c r="AV122" i="8"/>
  <c r="BR122" i="8"/>
  <c r="BS122" i="8"/>
  <c r="BM122" i="8"/>
  <c r="BO122" i="8"/>
  <c r="AW122" i="8"/>
  <c r="BT122" i="8"/>
  <c r="BN122" i="8"/>
  <c r="AW154" i="8"/>
  <c r="BS154" i="8"/>
  <c r="BM154" i="8"/>
  <c r="BN154" i="8"/>
  <c r="BO154" i="8"/>
  <c r="BA154" i="8"/>
  <c r="BR154" i="8"/>
  <c r="BT154" i="8"/>
  <c r="BQ154" i="8"/>
  <c r="BP154" i="8"/>
  <c r="AV154" i="8"/>
  <c r="BN112" i="8"/>
  <c r="BA112" i="8"/>
  <c r="BT112" i="8"/>
  <c r="AV112" i="8"/>
  <c r="BQ112" i="8"/>
  <c r="BS112" i="8"/>
  <c r="BP112" i="8"/>
  <c r="BM112" i="8"/>
  <c r="BR112" i="8"/>
  <c r="BO112" i="8"/>
  <c r="AW112" i="8"/>
  <c r="BP107" i="8"/>
  <c r="BT107" i="8"/>
  <c r="BM107" i="8"/>
  <c r="BQ107" i="8"/>
  <c r="AV107" i="8"/>
  <c r="BR107" i="8"/>
  <c r="AW107" i="8"/>
  <c r="BS107" i="8"/>
  <c r="BA107" i="8"/>
  <c r="BN107" i="8"/>
  <c r="BO107" i="8"/>
  <c r="BM111" i="8"/>
  <c r="BQ111" i="8"/>
  <c r="AV111" i="8"/>
  <c r="BN111" i="8"/>
  <c r="BR111" i="8"/>
  <c r="BA111" i="8"/>
  <c r="BO111" i="8"/>
  <c r="BP111" i="8"/>
  <c r="BS111" i="8"/>
  <c r="BT111" i="8"/>
  <c r="AW111" i="8"/>
  <c r="BO78" i="8"/>
  <c r="BA78" i="8"/>
  <c r="BP78" i="8"/>
  <c r="BQ78" i="8"/>
  <c r="AV78" i="8"/>
  <c r="BR78" i="8"/>
  <c r="BS78" i="8"/>
  <c r="BN78" i="8"/>
  <c r="BT78" i="8"/>
  <c r="AW78" i="8"/>
  <c r="BM78" i="8"/>
  <c r="AW64" i="8"/>
  <c r="BN64" i="8"/>
  <c r="BS64" i="8"/>
  <c r="BO64" i="8"/>
  <c r="AV64" i="8"/>
  <c r="BM64" i="8"/>
  <c r="BQ64" i="8"/>
  <c r="BR64" i="8"/>
  <c r="BA64" i="8"/>
  <c r="BP64" i="8"/>
  <c r="BT64" i="8"/>
  <c r="BP67" i="8"/>
  <c r="BT67" i="8"/>
  <c r="BM67" i="8"/>
  <c r="BQ67" i="8"/>
  <c r="AV67" i="8"/>
  <c r="BR67" i="8"/>
  <c r="AW67" i="8"/>
  <c r="BS67" i="8"/>
  <c r="BN67" i="8"/>
  <c r="BO67" i="8"/>
  <c r="BA67" i="8"/>
  <c r="BM79" i="8"/>
  <c r="BQ79" i="8"/>
  <c r="AV79" i="8"/>
  <c r="BN79" i="8"/>
  <c r="BR79" i="8"/>
  <c r="BA79" i="8"/>
  <c r="BO79" i="8"/>
  <c r="BP79" i="8"/>
  <c r="BS79" i="8"/>
  <c r="BT79" i="8"/>
  <c r="AW79" i="8"/>
  <c r="AV191" i="8"/>
  <c r="BN191" i="8"/>
  <c r="BR191" i="8"/>
  <c r="AW191" i="8"/>
  <c r="BA191" i="8"/>
  <c r="BO191" i="8"/>
  <c r="BS191" i="8"/>
  <c r="BT191" i="8"/>
  <c r="BM191" i="8"/>
  <c r="BQ191" i="8"/>
  <c r="BP191" i="8"/>
  <c r="AV125" i="8"/>
  <c r="BM125" i="8"/>
  <c r="BR125" i="8"/>
  <c r="BN125" i="8"/>
  <c r="BT125" i="8"/>
  <c r="BP125" i="8"/>
  <c r="BQ125" i="8"/>
  <c r="AW125" i="8"/>
  <c r="BS125" i="8"/>
  <c r="BO125" i="8"/>
  <c r="BA125" i="8"/>
  <c r="AW164" i="8"/>
  <c r="BA164" i="8"/>
  <c r="BO164" i="8"/>
  <c r="BS164" i="8"/>
  <c r="BP164" i="8"/>
  <c r="BT164" i="8"/>
  <c r="BM164" i="8"/>
  <c r="BN164" i="8"/>
  <c r="BR164" i="8"/>
  <c r="AV164" i="8"/>
  <c r="BQ164" i="8"/>
  <c r="AV100" i="8"/>
  <c r="BQ100" i="8"/>
  <c r="BR100" i="8"/>
  <c r="BA100" i="8"/>
  <c r="BM100" i="8"/>
  <c r="BO100" i="8"/>
  <c r="BP100" i="8"/>
  <c r="BN100" i="8"/>
  <c r="BT100" i="8"/>
  <c r="BS100" i="8"/>
  <c r="AW100" i="8"/>
  <c r="BQ174" i="8"/>
  <c r="BN174" i="8"/>
  <c r="BA174" i="8"/>
  <c r="BP174" i="8"/>
  <c r="AV174" i="8"/>
  <c r="BR174" i="8"/>
  <c r="BO174" i="8"/>
  <c r="BM174" i="8"/>
  <c r="AW174" i="8"/>
  <c r="BS174" i="8"/>
  <c r="BT174" i="8"/>
  <c r="AW103" i="8"/>
  <c r="BA103" i="8"/>
  <c r="BO103" i="8"/>
  <c r="BS103" i="8"/>
  <c r="BP103" i="8"/>
  <c r="BT103" i="8"/>
  <c r="BM103" i="8"/>
  <c r="BN103" i="8"/>
  <c r="AV103" i="8"/>
  <c r="BQ103" i="8"/>
  <c r="BR103" i="8"/>
  <c r="BP178" i="8"/>
  <c r="BQ178" i="8"/>
  <c r="BN178" i="8"/>
  <c r="AW178" i="8"/>
  <c r="BT178" i="8"/>
  <c r="AV178" i="8"/>
  <c r="BR178" i="8"/>
  <c r="BO178" i="8"/>
  <c r="BS178" i="8"/>
  <c r="BM178" i="8"/>
  <c r="BA178" i="8"/>
  <c r="BO169" i="8"/>
  <c r="BQ169" i="8"/>
  <c r="AV169" i="8"/>
  <c r="BM169" i="8"/>
  <c r="AW169" i="8"/>
  <c r="BN169" i="8"/>
  <c r="BA169" i="8"/>
  <c r="BS169" i="8"/>
  <c r="BR169" i="8"/>
  <c r="BT169" i="8"/>
  <c r="BP169" i="8"/>
  <c r="AW159" i="8"/>
  <c r="BS159" i="8"/>
  <c r="BA159" i="8"/>
  <c r="BR159" i="8"/>
  <c r="BM159" i="8"/>
  <c r="BN159" i="8"/>
  <c r="BO159" i="8"/>
  <c r="BP159" i="8"/>
  <c r="AV159" i="8"/>
  <c r="BT159" i="8"/>
  <c r="BQ159" i="8"/>
  <c r="AV141" i="8"/>
  <c r="BA141" i="8"/>
  <c r="BM141" i="8"/>
  <c r="BR141" i="8"/>
  <c r="AW141" i="8"/>
  <c r="BN141" i="8"/>
  <c r="BS141" i="8"/>
  <c r="BO141" i="8"/>
  <c r="BQ141" i="8"/>
  <c r="BP141" i="8"/>
  <c r="BT141" i="8"/>
  <c r="BQ190" i="8"/>
  <c r="AW190" i="8"/>
  <c r="BS190" i="8"/>
  <c r="BT190" i="8"/>
  <c r="BR190" i="8"/>
  <c r="BA190" i="8"/>
  <c r="BP190" i="8"/>
  <c r="BN190" i="8"/>
  <c r="BM190" i="8"/>
  <c r="AV190" i="8"/>
  <c r="BO190" i="8"/>
  <c r="AV181" i="8"/>
  <c r="BQ181" i="8"/>
  <c r="BN181" i="8"/>
  <c r="BO181" i="8"/>
  <c r="BA181" i="8"/>
  <c r="BP181" i="8"/>
  <c r="BR181" i="8"/>
  <c r="BT181" i="8"/>
  <c r="BM181" i="8"/>
  <c r="AW181" i="8"/>
  <c r="BS181" i="8"/>
  <c r="BP138" i="8"/>
  <c r="AV138" i="8"/>
  <c r="AW138" i="8"/>
  <c r="BM138" i="8"/>
  <c r="BN138" i="8"/>
  <c r="BQ138" i="8"/>
  <c r="BR138" i="8"/>
  <c r="BO138" i="8"/>
  <c r="BS138" i="8"/>
  <c r="BA138" i="8"/>
  <c r="BT138" i="8"/>
  <c r="AW68" i="8"/>
  <c r="BN68" i="8"/>
  <c r="BS68" i="8"/>
  <c r="BO68" i="8"/>
  <c r="BQ68" i="8"/>
  <c r="BA68" i="8"/>
  <c r="BR68" i="8"/>
  <c r="BM68" i="8"/>
  <c r="AV68" i="8"/>
  <c r="BP68" i="8"/>
  <c r="BT68" i="8"/>
  <c r="BO157" i="8"/>
  <c r="BQ157" i="8"/>
  <c r="AV157" i="8"/>
  <c r="BM157" i="8"/>
  <c r="AW157" i="8"/>
  <c r="BN157" i="8"/>
  <c r="BR157" i="8"/>
  <c r="BS157" i="8"/>
  <c r="BA157" i="8"/>
  <c r="BP157" i="8"/>
  <c r="BT157" i="8"/>
  <c r="AW143" i="8"/>
  <c r="BS143" i="8"/>
  <c r="BQ143" i="8"/>
  <c r="AV143" i="8"/>
  <c r="BR143" i="8"/>
  <c r="BT143" i="8"/>
  <c r="BM143" i="8"/>
  <c r="BN143" i="8"/>
  <c r="BP143" i="8"/>
  <c r="BA143" i="8"/>
  <c r="BO143" i="8"/>
  <c r="BA131" i="8"/>
  <c r="AV131" i="8"/>
  <c r="BR131" i="8"/>
  <c r="BT131" i="8"/>
  <c r="BM131" i="8"/>
  <c r="BN131" i="8"/>
  <c r="BP131" i="8"/>
  <c r="BS131" i="8"/>
  <c r="BQ131" i="8"/>
  <c r="AW131" i="8"/>
  <c r="BO131" i="8"/>
  <c r="AV109" i="8"/>
  <c r="BQ109" i="8"/>
  <c r="BR109" i="8"/>
  <c r="BM109" i="8"/>
  <c r="BN109" i="8"/>
  <c r="BT109" i="8"/>
  <c r="AW109" i="8"/>
  <c r="BS109" i="8"/>
  <c r="BP109" i="8"/>
  <c r="BO109" i="8"/>
  <c r="BA109" i="8"/>
  <c r="BM160" i="8"/>
  <c r="BQ160" i="8"/>
  <c r="AV160" i="8"/>
  <c r="BN160" i="8"/>
  <c r="BR160" i="8"/>
  <c r="AW160" i="8"/>
  <c r="BS160" i="8"/>
  <c r="BT160" i="8"/>
  <c r="BA160" i="8"/>
  <c r="BO160" i="8"/>
  <c r="BP160" i="8"/>
  <c r="BM151" i="8"/>
  <c r="AW151" i="8"/>
  <c r="BQ151" i="8"/>
  <c r="BA151" i="8"/>
  <c r="AV151" i="8"/>
  <c r="BR151" i="8"/>
  <c r="BT151" i="8"/>
  <c r="BO151" i="8"/>
  <c r="BS151" i="8"/>
  <c r="BN151" i="8"/>
  <c r="BP151" i="8"/>
  <c r="AW120" i="8"/>
  <c r="BN120" i="8"/>
  <c r="BA120" i="8"/>
  <c r="BQ120" i="8"/>
  <c r="BR120" i="8"/>
  <c r="AV120" i="8"/>
  <c r="BS120" i="8"/>
  <c r="BT120" i="8"/>
  <c r="BP120" i="8"/>
  <c r="BO120" i="8"/>
  <c r="BM120" i="8"/>
  <c r="AW91" i="8"/>
  <c r="BA91" i="8"/>
  <c r="BO91" i="8"/>
  <c r="BS91" i="8"/>
  <c r="BP91" i="8"/>
  <c r="BT91" i="8"/>
  <c r="BM91" i="8"/>
  <c r="BN91" i="8"/>
  <c r="BQ91" i="8"/>
  <c r="AV91" i="8"/>
  <c r="BR91" i="8"/>
  <c r="BO129" i="8"/>
  <c r="BQ129" i="8"/>
  <c r="BA129" i="8"/>
  <c r="BR129" i="8"/>
  <c r="BS129" i="8"/>
  <c r="BM129" i="8"/>
  <c r="BN129" i="8"/>
  <c r="AV129" i="8"/>
  <c r="AW129" i="8"/>
  <c r="BT129" i="8"/>
  <c r="BP129" i="8"/>
  <c r="BM128" i="8"/>
  <c r="BQ128" i="8"/>
  <c r="AV128" i="8"/>
  <c r="BN128" i="8"/>
  <c r="BR128" i="8"/>
  <c r="AW128" i="8"/>
  <c r="BS128" i="8"/>
  <c r="BT128" i="8"/>
  <c r="BO128" i="8"/>
  <c r="BP128" i="8"/>
  <c r="BA128" i="8"/>
  <c r="BM115" i="8"/>
  <c r="BQ115" i="8"/>
  <c r="AV115" i="8"/>
  <c r="BN115" i="8"/>
  <c r="BR115" i="8"/>
  <c r="AW115" i="8"/>
  <c r="BS115" i="8"/>
  <c r="BT115" i="8"/>
  <c r="BA115" i="8"/>
  <c r="BO115" i="8"/>
  <c r="BP115" i="8"/>
  <c r="BP81" i="8"/>
  <c r="BQ81" i="8"/>
  <c r="BA81" i="8"/>
  <c r="AW81" i="8"/>
  <c r="BO81" i="8"/>
  <c r="BN81" i="8"/>
  <c r="BT81" i="8"/>
  <c r="BR81" i="8"/>
  <c r="BM81" i="8"/>
  <c r="AV81" i="8"/>
  <c r="BS81" i="8"/>
  <c r="BP95" i="8"/>
  <c r="BT95" i="8"/>
  <c r="BM95" i="8"/>
  <c r="BQ95" i="8"/>
  <c r="BN95" i="8"/>
  <c r="BA95" i="8"/>
  <c r="BO95" i="8"/>
  <c r="BR95" i="8"/>
  <c r="BS95" i="8"/>
  <c r="AV95" i="8"/>
  <c r="AW95" i="8"/>
  <c r="BN93" i="8"/>
  <c r="AV93" i="8"/>
  <c r="BQ93" i="8"/>
  <c r="BR93" i="8"/>
  <c r="BT93" i="8"/>
  <c r="BM93" i="8"/>
  <c r="BA93" i="8"/>
  <c r="BS93" i="8"/>
  <c r="BP93" i="8"/>
  <c r="BO93" i="8"/>
  <c r="AW93" i="8"/>
  <c r="BM86" i="8"/>
  <c r="BQ86" i="8"/>
  <c r="AV86" i="8"/>
  <c r="BN86" i="8"/>
  <c r="BR86" i="8"/>
  <c r="AW86" i="8"/>
  <c r="BS86" i="8"/>
  <c r="BT86" i="8"/>
  <c r="BO86" i="8"/>
  <c r="BP86" i="8"/>
  <c r="BA86" i="8"/>
  <c r="BR76" i="8"/>
  <c r="BS76" i="8"/>
  <c r="BQ76" i="8"/>
  <c r="BM76" i="8"/>
  <c r="BN76" i="8"/>
  <c r="BP76" i="8"/>
  <c r="BO76" i="8"/>
  <c r="AV76" i="8"/>
  <c r="BA76" i="8"/>
  <c r="BT76" i="8"/>
  <c r="AW76" i="8"/>
  <c r="BN73" i="8"/>
  <c r="BP73" i="8"/>
  <c r="BQ73" i="8"/>
  <c r="BT73" i="8"/>
  <c r="AW73" i="8"/>
  <c r="BR73" i="8"/>
  <c r="AV73" i="8"/>
  <c r="BO73" i="8"/>
  <c r="BM73" i="8"/>
  <c r="BS73" i="8"/>
  <c r="BA73" i="8"/>
  <c r="BP65" i="8"/>
  <c r="BA65" i="8"/>
  <c r="AV65" i="8"/>
  <c r="BN65" i="8"/>
  <c r="BO65" i="8"/>
  <c r="BM65" i="8"/>
  <c r="BQ65" i="8"/>
  <c r="AW65" i="8"/>
  <c r="BR65" i="8"/>
  <c r="BT65" i="8"/>
  <c r="BS65" i="8"/>
  <c r="AV192" i="8"/>
  <c r="BP192" i="8"/>
  <c r="BA192" i="8"/>
  <c r="BQ192" i="8"/>
  <c r="AW192" i="8"/>
  <c r="BM192" i="8"/>
  <c r="BO192" i="8"/>
  <c r="BS192" i="8"/>
  <c r="BT192" i="8"/>
  <c r="BR192" i="8"/>
  <c r="BN192" i="8"/>
  <c r="BQ74" i="8"/>
  <c r="BP74" i="8"/>
  <c r="AV74" i="8"/>
  <c r="BR74" i="8"/>
  <c r="BS74" i="8"/>
  <c r="BT74" i="8"/>
  <c r="BN74" i="8"/>
  <c r="AW74" i="8"/>
  <c r="BA74" i="8"/>
  <c r="BO74" i="8"/>
  <c r="BM74" i="8"/>
  <c r="BT56" i="8"/>
  <c r="AW56" i="8"/>
  <c r="BA56" i="8"/>
  <c r="AV56" i="8"/>
  <c r="BP56" i="8"/>
  <c r="BN56" i="8"/>
  <c r="BS56" i="8"/>
  <c r="BO56" i="8"/>
  <c r="BR56" i="8"/>
  <c r="BM56" i="8"/>
  <c r="BQ56" i="8"/>
  <c r="BV145" i="8" l="1"/>
  <c r="BV148" i="8"/>
  <c r="BV180" i="8"/>
  <c r="CA137" i="8"/>
  <c r="CA145" i="8"/>
  <c r="CA180" i="8"/>
  <c r="CA90" i="8"/>
  <c r="CA148" i="8"/>
  <c r="CA66" i="8"/>
  <c r="CB66" i="8" s="1"/>
  <c r="CA94" i="8"/>
  <c r="BV115" i="8"/>
  <c r="CA115" i="8" s="1"/>
  <c r="CB115" i="8" s="1"/>
  <c r="BV191" i="8"/>
  <c r="CA191" i="8" s="1"/>
  <c r="BV90" i="8"/>
  <c r="BV179" i="8"/>
  <c r="CA179" i="8" s="1"/>
  <c r="BV76" i="8"/>
  <c r="CA76" i="8" s="1"/>
  <c r="CB76" i="8" s="1"/>
  <c r="BV160" i="8"/>
  <c r="CA160" i="8" s="1"/>
  <c r="BV190" i="8"/>
  <c r="CA190" i="8" s="1"/>
  <c r="BV140" i="8"/>
  <c r="CA140" i="8" s="1"/>
  <c r="BV155" i="8"/>
  <c r="CA155" i="8" s="1"/>
  <c r="BV82" i="8"/>
  <c r="CA82" i="8" s="1"/>
  <c r="BV71" i="8"/>
  <c r="CA71" i="8" s="1"/>
  <c r="CB71" i="8" s="1"/>
  <c r="BV167" i="8"/>
  <c r="CA167" i="8" s="1"/>
  <c r="BV56" i="8"/>
  <c r="CA56" i="8" s="1"/>
  <c r="CB56" i="8" s="1"/>
  <c r="BV128" i="8"/>
  <c r="CA128" i="8" s="1"/>
  <c r="CB128" i="8" s="1"/>
  <c r="BV131" i="8"/>
  <c r="CA131" i="8" s="1"/>
  <c r="BV181" i="8"/>
  <c r="CA181" i="8" s="1"/>
  <c r="BV164" i="8"/>
  <c r="CA164" i="8" s="1"/>
  <c r="BV67" i="8"/>
  <c r="CA67" i="8" s="1"/>
  <c r="CB67" i="8" s="1"/>
  <c r="BV107" i="8"/>
  <c r="CA107" i="8" s="1"/>
  <c r="BV146" i="8"/>
  <c r="CA146" i="8" s="1"/>
  <c r="BV84" i="8"/>
  <c r="CA84" i="8" s="1"/>
  <c r="BV127" i="8"/>
  <c r="CA127" i="8" s="1"/>
  <c r="BV94" i="8"/>
  <c r="BV97" i="8"/>
  <c r="CA97" i="8" s="1"/>
  <c r="BV123" i="8"/>
  <c r="CA123" i="8" s="1"/>
  <c r="BV144" i="8"/>
  <c r="CA144" i="8" s="1"/>
  <c r="BV142" i="8"/>
  <c r="CA142" i="8" s="1"/>
  <c r="BV61" i="8"/>
  <c r="CA61" i="8" s="1"/>
  <c r="CB61" i="8" s="1"/>
  <c r="BV99" i="8"/>
  <c r="CA99" i="8" s="1"/>
  <c r="BV136" i="8"/>
  <c r="CA136" i="8" s="1"/>
  <c r="BV187" i="8"/>
  <c r="CA187" i="8" s="1"/>
  <c r="BV63" i="8"/>
  <c r="CA63" i="8" s="1"/>
  <c r="CB63" i="8" s="1"/>
  <c r="BV173" i="8"/>
  <c r="CA173" i="8" s="1"/>
  <c r="BV154" i="8"/>
  <c r="CA154" i="8" s="1"/>
  <c r="BV161" i="8"/>
  <c r="CA161" i="8" s="1"/>
  <c r="BV119" i="8"/>
  <c r="CA119" i="8" s="1"/>
  <c r="BV153" i="8"/>
  <c r="CA153" i="8" s="1"/>
  <c r="BV147" i="8"/>
  <c r="CA147" i="8" s="1"/>
  <c r="BV158" i="8"/>
  <c r="BV166" i="8"/>
  <c r="CA166" i="8" s="1"/>
  <c r="BV101" i="8"/>
  <c r="CA101" i="8" s="1"/>
  <c r="BV149" i="8"/>
  <c r="CA149" i="8" s="1"/>
  <c r="BV124" i="8"/>
  <c r="CA124" i="8" s="1"/>
  <c r="BV104" i="8"/>
  <c r="CA104" i="8" s="1"/>
  <c r="BV139" i="8"/>
  <c r="BV150" i="8"/>
  <c r="CA150" i="8" s="1"/>
  <c r="CB150" i="8" s="1"/>
  <c r="BV92" i="8"/>
  <c r="CA92" i="8" s="1"/>
  <c r="BV171" i="8"/>
  <c r="BV186" i="8"/>
  <c r="CA186" i="8" s="1"/>
  <c r="BV192" i="8"/>
  <c r="CA192" i="8" s="1"/>
  <c r="BV65" i="8"/>
  <c r="CA65" i="8" s="1"/>
  <c r="CB65" i="8" s="1"/>
  <c r="BV93" i="8"/>
  <c r="CA93" i="8" s="1"/>
  <c r="BV112" i="8"/>
  <c r="CA112" i="8" s="1"/>
  <c r="BV156" i="8"/>
  <c r="CA156" i="8" s="1"/>
  <c r="BV66" i="8"/>
  <c r="BV116" i="8"/>
  <c r="CA116" i="8" s="1"/>
  <c r="BV184" i="8"/>
  <c r="CA184" i="8" s="1"/>
  <c r="BV121" i="8"/>
  <c r="CA121" i="8" s="1"/>
  <c r="BV152" i="8"/>
  <c r="CA152" i="8" s="1"/>
  <c r="BV95" i="8"/>
  <c r="CA95" i="8" s="1"/>
  <c r="BV178" i="8"/>
  <c r="CA178" i="8" s="1"/>
  <c r="BV78" i="8"/>
  <c r="CA78" i="8" s="1"/>
  <c r="BV134" i="8"/>
  <c r="CA134" i="8" s="1"/>
  <c r="BV58" i="8"/>
  <c r="CA58" i="8" s="1"/>
  <c r="CB58" i="8" s="1"/>
  <c r="BV126" i="8"/>
  <c r="CA126" i="8" s="1"/>
  <c r="BV86" i="8"/>
  <c r="BV143" i="8"/>
  <c r="CA143" i="8" s="1"/>
  <c r="BV118" i="8"/>
  <c r="BV85" i="8"/>
  <c r="CA85" i="8" s="1"/>
  <c r="BV98" i="8"/>
  <c r="CA98" i="8" s="1"/>
  <c r="BV177" i="8"/>
  <c r="CA177" i="8" s="1"/>
  <c r="BV72" i="8"/>
  <c r="CA72" i="8" s="1"/>
  <c r="CB72" i="8" s="1"/>
  <c r="BV74" i="8"/>
  <c r="CA74" i="8" s="1"/>
  <c r="BV129" i="8"/>
  <c r="CA129" i="8" s="1"/>
  <c r="BV120" i="8"/>
  <c r="CA120" i="8" s="1"/>
  <c r="BV68" i="8"/>
  <c r="CA68" i="8" s="1"/>
  <c r="CB68" i="8" s="1"/>
  <c r="BV138" i="8"/>
  <c r="CA138" i="8" s="1"/>
  <c r="BV141" i="8"/>
  <c r="CA141" i="8" s="1"/>
  <c r="BV125" i="8"/>
  <c r="CA125" i="8" s="1"/>
  <c r="BV79" i="8"/>
  <c r="BV64" i="8"/>
  <c r="CA64" i="8" s="1"/>
  <c r="CB64" i="8" s="1"/>
  <c r="BV111" i="8"/>
  <c r="CA111" i="8" s="1"/>
  <c r="BV108" i="8"/>
  <c r="CA108" i="8" s="1"/>
  <c r="BV165" i="8"/>
  <c r="CA165" i="8" s="1"/>
  <c r="BV185" i="8"/>
  <c r="CA185" i="8" s="1"/>
  <c r="BV113" i="8"/>
  <c r="CA113" i="8" s="1"/>
  <c r="BV175" i="8"/>
  <c r="CA175" i="8" s="1"/>
  <c r="BV75" i="8"/>
  <c r="CA75" i="8" s="1"/>
  <c r="BV80" i="8"/>
  <c r="CA80" i="8" s="1"/>
  <c r="BV88" i="8"/>
  <c r="CA88" i="8" s="1"/>
  <c r="BV96" i="8"/>
  <c r="CA96" i="8" s="1"/>
  <c r="BV130" i="8"/>
  <c r="CA130" i="8" s="1"/>
  <c r="BV62" i="8"/>
  <c r="CA62" i="8" s="1"/>
  <c r="CB62" i="8" s="1"/>
  <c r="BV133" i="8"/>
  <c r="CA133" i="8" s="1"/>
  <c r="BV105" i="8"/>
  <c r="BV163" i="8"/>
  <c r="CA163" i="8" s="1"/>
  <c r="BV170" i="8"/>
  <c r="CA170" i="8" s="1"/>
  <c r="BV182" i="8"/>
  <c r="CA182" i="8" s="1"/>
  <c r="BV176" i="8"/>
  <c r="CA176" i="8" s="1"/>
  <c r="BV132" i="8"/>
  <c r="CA132" i="8" s="1"/>
  <c r="BV70" i="8"/>
  <c r="CA70" i="8" s="1"/>
  <c r="CB70" i="8" s="1"/>
  <c r="BV60" i="8"/>
  <c r="CA60" i="8" s="1"/>
  <c r="BV162" i="8"/>
  <c r="CA162" i="8" s="1"/>
  <c r="BV73" i="8"/>
  <c r="CA73" i="8" s="1"/>
  <c r="CB73" i="8" s="1"/>
  <c r="BV81" i="8"/>
  <c r="CA81" i="8" s="1"/>
  <c r="BV91" i="8"/>
  <c r="CA91" i="8" s="1"/>
  <c r="BV151" i="8"/>
  <c r="CA151" i="8" s="1"/>
  <c r="BV109" i="8"/>
  <c r="CA109" i="8" s="1"/>
  <c r="BV157" i="8"/>
  <c r="CA157" i="8" s="1"/>
  <c r="BV159" i="8"/>
  <c r="CA159" i="8" s="1"/>
  <c r="BV169" i="8"/>
  <c r="CA169" i="8" s="1"/>
  <c r="BV103" i="8"/>
  <c r="CA103" i="8" s="1"/>
  <c r="BV174" i="8"/>
  <c r="CA174" i="8" s="1"/>
  <c r="BV100" i="8"/>
  <c r="CA100" i="8" s="1"/>
  <c r="BV122" i="8"/>
  <c r="CA122" i="8" s="1"/>
  <c r="BV168" i="8"/>
  <c r="CA168" i="8" s="1"/>
  <c r="BV183" i="8"/>
  <c r="CA183" i="8" s="1"/>
  <c r="BV83" i="8"/>
  <c r="CA83" i="8" s="1"/>
  <c r="BV69" i="8"/>
  <c r="CA69" i="8" s="1"/>
  <c r="CB69" i="8" s="1"/>
  <c r="BV114" i="8"/>
  <c r="CA114" i="8" s="1"/>
  <c r="BV137" i="8"/>
  <c r="BV189" i="8"/>
  <c r="CA189" i="8" s="1"/>
  <c r="BV87" i="8"/>
  <c r="CA87" i="8" s="1"/>
  <c r="BV77" i="8"/>
  <c r="BV57" i="8"/>
  <c r="CA57" i="8" s="1"/>
  <c r="CB57" i="8" s="1"/>
  <c r="BV106" i="8"/>
  <c r="CA106" i="8" s="1"/>
  <c r="BV117" i="8"/>
  <c r="BV59" i="8"/>
  <c r="CA59" i="8" s="1"/>
  <c r="CB59" i="8" s="1"/>
  <c r="BV89" i="8"/>
  <c r="BV135" i="8"/>
  <c r="CA135" i="8" s="1"/>
  <c r="BV188" i="8"/>
  <c r="CA188" i="8" s="1"/>
  <c r="BV172" i="8"/>
  <c r="CA172" i="8" s="1"/>
  <c r="BV110" i="8"/>
  <c r="CA110" i="8" s="1"/>
  <c r="BV102" i="8"/>
  <c r="CA102" i="8" s="1"/>
  <c r="CP54" i="8"/>
  <c r="CP52" i="8"/>
  <c r="CP53" i="8"/>
  <c r="CB134" i="8" l="1"/>
  <c r="CB131" i="8"/>
  <c r="CA105" i="8"/>
  <c r="CB105" i="8" s="1"/>
  <c r="CA86" i="8"/>
  <c r="CB86" i="8" s="1"/>
  <c r="CA139" i="8"/>
  <c r="CB139" i="8" s="1"/>
  <c r="CA117" i="8"/>
  <c r="CB117" i="8" s="1"/>
  <c r="CA89" i="8"/>
  <c r="CB89" i="8" s="1"/>
  <c r="CB132" i="8"/>
  <c r="CB167" i="8"/>
  <c r="CA79" i="8"/>
  <c r="CB79" i="8" s="1"/>
  <c r="CA118" i="8"/>
  <c r="CB118" i="8" s="1"/>
  <c r="CA158" i="8"/>
  <c r="CB158" i="8" s="1"/>
  <c r="CA171" i="8"/>
  <c r="CB171" i="8" s="1"/>
  <c r="CA77" i="8"/>
  <c r="CB77" i="8" s="1"/>
  <c r="CB75" i="8"/>
  <c r="CB74" i="8"/>
  <c r="CB60" i="8"/>
  <c r="CC139" i="8" l="1"/>
  <c r="CD139" i="8" s="1"/>
  <c r="CC154" i="8"/>
  <c r="CD154" i="8" s="1"/>
  <c r="CC142" i="8"/>
  <c r="CD142" i="8" s="1"/>
  <c r="CC107" i="8"/>
  <c r="CD107" i="8" s="1"/>
  <c r="CG107" i="8" s="1"/>
  <c r="CC171" i="8"/>
  <c r="CD171" i="8" s="1"/>
  <c r="CC120" i="8"/>
  <c r="CD120" i="8" s="1"/>
  <c r="CC100" i="8"/>
  <c r="CD100" i="8" s="1"/>
  <c r="CC172" i="8"/>
  <c r="CD172" i="8" s="1"/>
  <c r="CG172" i="8" s="1"/>
  <c r="CC90" i="8"/>
  <c r="CD90" i="8" s="1"/>
  <c r="CC75" i="8"/>
  <c r="CD75" i="8" s="1"/>
  <c r="CC58" i="8"/>
  <c r="CD58" i="8" s="1"/>
  <c r="CC184" i="8"/>
  <c r="CD184" i="8" s="1"/>
  <c r="CG184" i="8" s="1"/>
  <c r="CC84" i="8"/>
  <c r="CD84" i="8" s="1"/>
  <c r="CC61" i="8"/>
  <c r="CD61" i="8" s="1"/>
  <c r="CC69" i="8"/>
  <c r="CD69" i="8" s="1"/>
  <c r="CC77" i="8"/>
  <c r="CD77" i="8" s="1"/>
  <c r="CG77" i="8" s="1"/>
  <c r="CC85" i="8"/>
  <c r="CD85" i="8" s="1"/>
  <c r="CC93" i="8"/>
  <c r="CD93" i="8" s="1"/>
  <c r="CC101" i="8"/>
  <c r="CD101" i="8" s="1"/>
  <c r="CC109" i="8"/>
  <c r="CD109" i="8" s="1"/>
  <c r="CG109" i="8" s="1"/>
  <c r="CC117" i="8"/>
  <c r="CD117" i="8" s="1"/>
  <c r="CC125" i="8"/>
  <c r="CD125" i="8" s="1"/>
  <c r="CC133" i="8"/>
  <c r="CD133" i="8" s="1"/>
  <c r="CC141" i="8"/>
  <c r="CD141" i="8" s="1"/>
  <c r="CG141" i="8" s="1"/>
  <c r="CC149" i="8"/>
  <c r="CD149" i="8" s="1"/>
  <c r="CC157" i="8"/>
  <c r="CD157" i="8" s="1"/>
  <c r="CC165" i="8"/>
  <c r="CD165" i="8" s="1"/>
  <c r="CC173" i="8"/>
  <c r="CD173" i="8" s="1"/>
  <c r="CC181" i="8"/>
  <c r="CD181" i="8" s="1"/>
  <c r="CC189" i="8"/>
  <c r="CD189" i="8" s="1"/>
  <c r="CG189" i="8" s="1"/>
  <c r="CC66" i="8"/>
  <c r="CD66" i="8" s="1"/>
  <c r="CC82" i="8"/>
  <c r="CD82" i="8" s="1"/>
  <c r="CG82" i="8" s="1"/>
  <c r="CC106" i="8"/>
  <c r="CD106" i="8" s="1"/>
  <c r="CG106" i="8" s="1"/>
  <c r="CC138" i="8"/>
  <c r="CD138" i="8" s="1"/>
  <c r="CC170" i="8"/>
  <c r="CD170" i="8" s="1"/>
  <c r="CC104" i="8"/>
  <c r="CD104" i="8" s="1"/>
  <c r="CG104" i="8" s="1"/>
  <c r="CC136" i="8"/>
  <c r="CD136" i="8" s="1"/>
  <c r="CG136" i="8" s="1"/>
  <c r="CC168" i="8"/>
  <c r="CD168" i="8" s="1"/>
  <c r="CC60" i="8"/>
  <c r="CD60" i="8" s="1"/>
  <c r="CC76" i="8"/>
  <c r="CD76" i="8" s="1"/>
  <c r="CC94" i="8"/>
  <c r="CD94" i="8" s="1"/>
  <c r="CC126" i="8"/>
  <c r="CD126" i="8" s="1"/>
  <c r="CC158" i="8"/>
  <c r="CD158" i="8" s="1"/>
  <c r="CC190" i="8"/>
  <c r="CD190" i="8" s="1"/>
  <c r="CG190" i="8" s="1"/>
  <c r="CC116" i="8"/>
  <c r="CD116" i="8" s="1"/>
  <c r="CC148" i="8"/>
  <c r="CD148" i="8" s="1"/>
  <c r="CC156" i="8"/>
  <c r="CD156" i="8" s="1"/>
  <c r="CC56" i="8"/>
  <c r="CD56" i="8" s="1"/>
  <c r="CG56" i="8" s="1"/>
  <c r="CC63" i="8"/>
  <c r="CD63" i="8" s="1"/>
  <c r="CC71" i="8"/>
  <c r="CD71" i="8" s="1"/>
  <c r="CC79" i="8"/>
  <c r="CD79" i="8" s="1"/>
  <c r="CC87" i="8"/>
  <c r="CD87" i="8" s="1"/>
  <c r="CC95" i="8"/>
  <c r="CD95" i="8" s="1"/>
  <c r="CC103" i="8"/>
  <c r="CD103" i="8" s="1"/>
  <c r="CC111" i="8"/>
  <c r="CD111" i="8" s="1"/>
  <c r="CC119" i="8"/>
  <c r="CD119" i="8" s="1"/>
  <c r="CG119" i="8" s="1"/>
  <c r="CC127" i="8"/>
  <c r="CD127" i="8" s="1"/>
  <c r="CC135" i="8"/>
  <c r="CD135" i="8" s="1"/>
  <c r="CC143" i="8"/>
  <c r="CD143" i="8" s="1"/>
  <c r="CC151" i="8"/>
  <c r="CD151" i="8" s="1"/>
  <c r="CG151" i="8" s="1"/>
  <c r="CC159" i="8"/>
  <c r="CD159" i="8" s="1"/>
  <c r="CC167" i="8"/>
  <c r="CD167" i="8" s="1"/>
  <c r="CC175" i="8"/>
  <c r="CD175" i="8" s="1"/>
  <c r="CC183" i="8"/>
  <c r="CD183" i="8" s="1"/>
  <c r="CC191" i="8"/>
  <c r="CD191" i="8" s="1"/>
  <c r="CC70" i="8"/>
  <c r="CD70" i="8" s="1"/>
  <c r="CC86" i="8"/>
  <c r="CD86" i="8" s="1"/>
  <c r="CC114" i="8"/>
  <c r="CD114" i="8" s="1"/>
  <c r="CG114" i="8" s="1"/>
  <c r="CC146" i="8"/>
  <c r="CD146" i="8" s="1"/>
  <c r="CC178" i="8"/>
  <c r="CD178" i="8" s="1"/>
  <c r="CC112" i="8"/>
  <c r="CD112" i="8" s="1"/>
  <c r="CC144" i="8"/>
  <c r="CD144" i="8" s="1"/>
  <c r="CC176" i="8"/>
  <c r="CD176" i="8" s="1"/>
  <c r="CC64" i="8"/>
  <c r="CD64" i="8" s="1"/>
  <c r="CC80" i="8"/>
  <c r="CD80" i="8" s="1"/>
  <c r="CC102" i="8"/>
  <c r="CD102" i="8" s="1"/>
  <c r="CG102" i="8" s="1"/>
  <c r="CC134" i="8"/>
  <c r="CD134" i="8" s="1"/>
  <c r="CC166" i="8"/>
  <c r="CD166" i="8" s="1"/>
  <c r="CC92" i="8"/>
  <c r="CD92" i="8" s="1"/>
  <c r="CC124" i="8"/>
  <c r="CD124" i="8" s="1"/>
  <c r="CG124" i="8" s="1"/>
  <c r="CC180" i="8"/>
  <c r="CD180" i="8" s="1"/>
  <c r="CG180" i="8" s="1"/>
  <c r="CC188" i="8"/>
  <c r="CD188" i="8" s="1"/>
  <c r="CC57" i="8"/>
  <c r="CD57" i="8" s="1"/>
  <c r="CC65" i="8"/>
  <c r="CD65" i="8" s="1"/>
  <c r="CC73" i="8"/>
  <c r="CD73" i="8" s="1"/>
  <c r="CC81" i="8"/>
  <c r="CD81" i="8" s="1"/>
  <c r="CC89" i="8"/>
  <c r="CD89" i="8" s="1"/>
  <c r="CC97" i="8"/>
  <c r="CD97" i="8" s="1"/>
  <c r="CC105" i="8"/>
  <c r="CD105" i="8" s="1"/>
  <c r="CC113" i="8"/>
  <c r="CD113" i="8" s="1"/>
  <c r="CC121" i="8"/>
  <c r="CD121" i="8" s="1"/>
  <c r="CC129" i="8"/>
  <c r="CD129" i="8" s="1"/>
  <c r="CC137" i="8"/>
  <c r="CD137" i="8" s="1"/>
  <c r="CG137" i="8" s="1"/>
  <c r="CC145" i="8"/>
  <c r="CD145" i="8" s="1"/>
  <c r="CC153" i="8"/>
  <c r="CD153" i="8" s="1"/>
  <c r="CC161" i="8"/>
  <c r="CD161" i="8" s="1"/>
  <c r="CG161" i="8" s="1"/>
  <c r="CC169" i="8"/>
  <c r="CD169" i="8" s="1"/>
  <c r="CC177" i="8"/>
  <c r="CD177" i="8" s="1"/>
  <c r="CC140" i="8"/>
  <c r="CD140" i="8" s="1"/>
  <c r="CC182" i="8"/>
  <c r="CD182" i="8" s="1"/>
  <c r="CC118" i="8"/>
  <c r="CD118" i="8" s="1"/>
  <c r="CG118" i="8" s="1"/>
  <c r="CC72" i="8"/>
  <c r="CD72" i="8" s="1"/>
  <c r="CC160" i="8"/>
  <c r="CD160" i="8" s="1"/>
  <c r="CC96" i="8"/>
  <c r="CD96" i="8" s="1"/>
  <c r="CC130" i="8"/>
  <c r="CD130" i="8" s="1"/>
  <c r="CC78" i="8"/>
  <c r="CD78" i="8" s="1"/>
  <c r="CC187" i="8"/>
  <c r="CD187" i="8" s="1"/>
  <c r="CC163" i="8"/>
  <c r="CD163" i="8" s="1"/>
  <c r="CC131" i="8"/>
  <c r="CD131" i="8" s="1"/>
  <c r="CC99" i="8"/>
  <c r="CD99" i="8" s="1"/>
  <c r="CC67" i="8"/>
  <c r="CD67" i="8" s="1"/>
  <c r="CC132" i="8"/>
  <c r="CD132" i="8" s="1"/>
  <c r="CC174" i="8"/>
  <c r="CD174" i="8" s="1"/>
  <c r="CC110" i="8"/>
  <c r="CD110" i="8" s="1"/>
  <c r="CC68" i="8"/>
  <c r="CD68" i="8" s="1"/>
  <c r="CC152" i="8"/>
  <c r="CD152" i="8" s="1"/>
  <c r="CG152" i="8" s="1"/>
  <c r="CC186" i="8"/>
  <c r="CD186" i="8" s="1"/>
  <c r="CC122" i="8"/>
  <c r="CD122" i="8" s="1"/>
  <c r="CC74" i="8"/>
  <c r="CD74" i="8" s="1"/>
  <c r="CC185" i="8"/>
  <c r="CD185" i="8" s="1"/>
  <c r="CG185" i="8" s="1"/>
  <c r="CC155" i="8"/>
  <c r="CD155" i="8" s="1"/>
  <c r="CC123" i="8"/>
  <c r="CD123" i="8" s="1"/>
  <c r="CC91" i="8"/>
  <c r="CD91" i="8" s="1"/>
  <c r="CC59" i="8"/>
  <c r="CD59" i="8" s="1"/>
  <c r="CG59" i="8" s="1"/>
  <c r="CC164" i="8"/>
  <c r="CD164" i="8" s="1"/>
  <c r="CC108" i="8"/>
  <c r="CD108" i="8" s="1"/>
  <c r="CC150" i="8"/>
  <c r="CD150" i="8" s="1"/>
  <c r="CC88" i="8"/>
  <c r="CD88" i="8" s="1"/>
  <c r="CC192" i="8"/>
  <c r="CD192" i="8" s="1"/>
  <c r="CG192" i="8" s="1"/>
  <c r="CC128" i="8"/>
  <c r="CD128" i="8" s="1"/>
  <c r="CC162" i="8"/>
  <c r="CD162" i="8" s="1"/>
  <c r="CC98" i="8"/>
  <c r="CD98" i="8" s="1"/>
  <c r="CG98" i="8" s="1"/>
  <c r="CC62" i="8"/>
  <c r="CD62" i="8" s="1"/>
  <c r="CC179" i="8"/>
  <c r="CD179" i="8" s="1"/>
  <c r="CC147" i="8"/>
  <c r="CD147" i="8" s="1"/>
  <c r="CC115" i="8"/>
  <c r="CD115" i="8" s="1"/>
  <c r="CG115" i="8" s="1"/>
  <c r="CC83" i="8"/>
  <c r="CD83" i="8" s="1"/>
  <c r="CG83" i="8" s="1"/>
  <c r="DB74" i="8" l="1"/>
  <c r="BX29" i="10" s="1"/>
  <c r="CG74" i="8"/>
  <c r="AA29" i="10" s="1"/>
  <c r="DB108" i="8"/>
  <c r="CG108" i="8"/>
  <c r="DB145" i="8"/>
  <c r="CG145" i="8"/>
  <c r="DB167" i="8"/>
  <c r="CG167" i="8"/>
  <c r="DB168" i="8"/>
  <c r="CG168" i="8"/>
  <c r="DB182" i="8"/>
  <c r="CG182" i="8"/>
  <c r="DB173" i="8"/>
  <c r="CG173" i="8"/>
  <c r="DB88" i="8"/>
  <c r="CG88" i="8"/>
  <c r="DB132" i="8"/>
  <c r="CG132" i="8"/>
  <c r="DB96" i="8"/>
  <c r="CG96" i="8"/>
  <c r="DB97" i="8"/>
  <c r="CG97" i="8"/>
  <c r="DB144" i="8"/>
  <c r="CG144" i="8"/>
  <c r="DB183" i="8"/>
  <c r="CG183" i="8"/>
  <c r="DB76" i="8"/>
  <c r="CG76" i="8"/>
  <c r="DB67" i="8"/>
  <c r="BX22" i="10" s="1"/>
  <c r="CG67" i="8"/>
  <c r="AA22" i="10" s="1"/>
  <c r="DB160" i="8"/>
  <c r="CG160" i="8"/>
  <c r="DB153" i="8"/>
  <c r="CG153" i="8"/>
  <c r="DB89" i="8"/>
  <c r="CG89" i="8"/>
  <c r="DB92" i="8"/>
  <c r="CG92" i="8"/>
  <c r="DB112" i="8"/>
  <c r="CG112" i="8"/>
  <c r="DB175" i="8"/>
  <c r="CG175" i="8"/>
  <c r="DB111" i="8"/>
  <c r="CG111" i="8"/>
  <c r="DB156" i="8"/>
  <c r="CG156" i="8"/>
  <c r="DB60" i="8"/>
  <c r="BX15" i="10" s="1"/>
  <c r="CG60" i="8"/>
  <c r="AA15" i="10" s="1"/>
  <c r="DB66" i="8"/>
  <c r="BX21" i="10" s="1"/>
  <c r="CG66" i="8"/>
  <c r="AA21" i="10" s="1"/>
  <c r="DB133" i="8"/>
  <c r="CG133" i="8"/>
  <c r="DB69" i="8"/>
  <c r="BX24" i="10" s="1"/>
  <c r="CG69" i="8"/>
  <c r="AA24" i="10" s="1"/>
  <c r="DB100" i="8"/>
  <c r="CG100" i="8"/>
  <c r="DB150" i="8"/>
  <c r="CG150" i="8"/>
  <c r="DB122" i="8"/>
  <c r="CG122" i="8"/>
  <c r="DB166" i="8"/>
  <c r="CG166" i="8"/>
  <c r="DB148" i="8"/>
  <c r="CG148" i="8"/>
  <c r="DB125" i="8"/>
  <c r="CG125" i="8"/>
  <c r="DB61" i="8"/>
  <c r="BX16" i="10" s="1"/>
  <c r="CG61" i="8"/>
  <c r="AA16" i="10" s="1"/>
  <c r="DB120" i="8"/>
  <c r="CG120" i="8"/>
  <c r="DB62" i="8"/>
  <c r="BX17" i="10" s="1"/>
  <c r="CG62" i="8"/>
  <c r="AA17" i="10" s="1"/>
  <c r="DB164" i="8"/>
  <c r="CG164" i="8"/>
  <c r="DB186" i="8"/>
  <c r="CG186" i="8"/>
  <c r="DB131" i="8"/>
  <c r="CG131" i="8"/>
  <c r="DB73" i="8"/>
  <c r="BX28" i="10" s="1"/>
  <c r="CG73" i="8"/>
  <c r="AA28" i="10" s="1"/>
  <c r="DB134" i="8"/>
  <c r="CG134" i="8"/>
  <c r="DB146" i="8"/>
  <c r="CG146" i="8"/>
  <c r="DB159" i="8"/>
  <c r="CG159" i="8"/>
  <c r="DB95" i="8"/>
  <c r="CG95" i="8"/>
  <c r="DB116" i="8"/>
  <c r="CG116" i="8"/>
  <c r="DB181" i="8"/>
  <c r="CG181" i="8"/>
  <c r="DB117" i="8"/>
  <c r="CG117" i="8"/>
  <c r="DB84" i="8"/>
  <c r="CG84" i="8"/>
  <c r="DB171" i="8"/>
  <c r="CG171" i="8"/>
  <c r="DB99" i="8"/>
  <c r="CG99" i="8"/>
  <c r="DB178" i="8"/>
  <c r="CG178" i="8"/>
  <c r="DB129" i="8"/>
  <c r="CG129" i="8"/>
  <c r="DB162" i="8"/>
  <c r="CG162" i="8"/>
  <c r="DB91" i="8"/>
  <c r="CG91" i="8"/>
  <c r="DB68" i="8"/>
  <c r="BX23" i="10" s="1"/>
  <c r="CG68" i="8"/>
  <c r="AA23" i="10" s="1"/>
  <c r="DB187" i="8"/>
  <c r="CG187" i="8"/>
  <c r="DB140" i="8"/>
  <c r="CG140" i="8"/>
  <c r="DB121" i="8"/>
  <c r="CG121" i="8"/>
  <c r="DB57" i="8"/>
  <c r="BX12" i="10" s="1"/>
  <c r="CG57" i="8"/>
  <c r="AA12" i="10" s="1"/>
  <c r="DB80" i="8"/>
  <c r="CG80" i="8"/>
  <c r="DB86" i="8"/>
  <c r="CG86" i="8"/>
  <c r="DB143" i="8"/>
  <c r="CG143" i="8"/>
  <c r="DB79" i="8"/>
  <c r="CG79" i="8"/>
  <c r="DB158" i="8"/>
  <c r="CG158" i="8"/>
  <c r="DB170" i="8"/>
  <c r="CG170" i="8"/>
  <c r="DB165" i="8"/>
  <c r="CG165" i="8"/>
  <c r="DB101" i="8"/>
  <c r="CG101" i="8"/>
  <c r="DB58" i="8"/>
  <c r="BX13" i="10" s="1"/>
  <c r="CG58" i="8"/>
  <c r="AA13" i="10" s="1"/>
  <c r="DB142" i="8"/>
  <c r="CG142" i="8"/>
  <c r="DB72" i="8"/>
  <c r="BX27" i="10" s="1"/>
  <c r="CG72" i="8"/>
  <c r="AA27" i="10" s="1"/>
  <c r="DB65" i="8"/>
  <c r="BX20" i="10" s="1"/>
  <c r="CG65" i="8"/>
  <c r="AA20" i="10" s="1"/>
  <c r="DB128" i="8"/>
  <c r="CG128" i="8"/>
  <c r="DB123" i="8"/>
  <c r="CG123" i="8"/>
  <c r="DB110" i="8"/>
  <c r="CG110" i="8"/>
  <c r="DB78" i="8"/>
  <c r="CG78" i="8"/>
  <c r="DB177" i="8"/>
  <c r="CG177" i="8"/>
  <c r="DB113" i="8"/>
  <c r="CG113" i="8"/>
  <c r="DB188" i="8"/>
  <c r="CG188" i="8"/>
  <c r="DB64" i="8"/>
  <c r="BX19" i="10" s="1"/>
  <c r="CG64" i="8"/>
  <c r="AA19" i="10" s="1"/>
  <c r="DB70" i="8"/>
  <c r="BX25" i="10" s="1"/>
  <c r="CG70" i="8"/>
  <c r="AA25" i="10" s="1"/>
  <c r="DB135" i="8"/>
  <c r="CG135" i="8"/>
  <c r="DB71" i="8"/>
  <c r="BX26" i="10" s="1"/>
  <c r="CG71" i="8"/>
  <c r="AA26" i="10" s="1"/>
  <c r="DB126" i="8"/>
  <c r="CG126" i="8"/>
  <c r="DB138" i="8"/>
  <c r="CG138" i="8"/>
  <c r="DB157" i="8"/>
  <c r="CG157" i="8"/>
  <c r="DB93" i="8"/>
  <c r="CG93" i="8"/>
  <c r="DB75" i="8"/>
  <c r="BX30" i="10" s="1"/>
  <c r="CG75" i="8"/>
  <c r="AA30" i="10" s="1"/>
  <c r="DB154" i="8"/>
  <c r="CG154" i="8"/>
  <c r="DB147" i="8"/>
  <c r="CG147" i="8"/>
  <c r="DB179" i="8"/>
  <c r="CG179" i="8"/>
  <c r="DB81" i="8"/>
  <c r="CG81" i="8"/>
  <c r="DB103" i="8"/>
  <c r="CG103" i="8"/>
  <c r="DB163" i="8"/>
  <c r="CG163" i="8"/>
  <c r="DB87" i="8"/>
  <c r="CG87" i="8"/>
  <c r="DB155" i="8"/>
  <c r="CG155" i="8"/>
  <c r="DB174" i="8"/>
  <c r="CG174" i="8"/>
  <c r="DB130" i="8"/>
  <c r="CG130" i="8"/>
  <c r="DB169" i="8"/>
  <c r="CG169" i="8"/>
  <c r="DB105" i="8"/>
  <c r="CG105" i="8"/>
  <c r="DB176" i="8"/>
  <c r="CG176" i="8"/>
  <c r="DB191" i="8"/>
  <c r="CG191" i="8"/>
  <c r="DB127" i="8"/>
  <c r="CG127" i="8"/>
  <c r="DB63" i="8"/>
  <c r="BX18" i="10" s="1"/>
  <c r="CG63" i="8"/>
  <c r="AA18" i="10" s="1"/>
  <c r="DB94" i="8"/>
  <c r="CG94" i="8"/>
  <c r="DB149" i="8"/>
  <c r="CG149" i="8"/>
  <c r="DB85" i="8"/>
  <c r="CG85" i="8"/>
  <c r="DB90" i="8"/>
  <c r="CG90" i="8"/>
  <c r="DB139" i="8"/>
  <c r="CG139" i="8"/>
  <c r="DA192" i="8"/>
  <c r="DB192" i="8"/>
  <c r="DA115" i="8"/>
  <c r="DB115" i="8"/>
  <c r="DA185" i="8"/>
  <c r="DB185" i="8"/>
  <c r="DA161" i="8"/>
  <c r="DB161" i="8"/>
  <c r="DA124" i="8"/>
  <c r="DB124" i="8"/>
  <c r="DA119" i="8"/>
  <c r="DB119" i="8"/>
  <c r="DA82" i="8"/>
  <c r="DB82" i="8"/>
  <c r="DA141" i="8"/>
  <c r="DB141" i="8"/>
  <c r="DA77" i="8"/>
  <c r="DB77" i="8"/>
  <c r="DA172" i="8"/>
  <c r="DB172" i="8"/>
  <c r="DA180" i="8"/>
  <c r="DB180" i="8"/>
  <c r="DA106" i="8"/>
  <c r="DB106" i="8"/>
  <c r="DA189" i="8"/>
  <c r="DB189" i="8"/>
  <c r="DA118" i="8"/>
  <c r="DB118" i="8"/>
  <c r="DA137" i="8"/>
  <c r="DB137" i="8"/>
  <c r="DA136" i="8"/>
  <c r="DB136" i="8"/>
  <c r="DA59" i="8"/>
  <c r="BU14" i="10" s="1"/>
  <c r="DB59" i="8"/>
  <c r="BX14" i="10" s="1"/>
  <c r="DA102" i="8"/>
  <c r="DB102" i="8"/>
  <c r="DA190" i="8"/>
  <c r="DB190" i="8"/>
  <c r="DA104" i="8"/>
  <c r="DB104" i="8"/>
  <c r="DA109" i="8"/>
  <c r="DB109" i="8"/>
  <c r="DA184" i="8"/>
  <c r="DB184" i="8"/>
  <c r="DA107" i="8"/>
  <c r="DB107" i="8"/>
  <c r="DA83" i="8"/>
  <c r="DB83" i="8"/>
  <c r="DA152" i="8"/>
  <c r="DB152" i="8"/>
  <c r="DA151" i="8"/>
  <c r="DB151" i="8"/>
  <c r="DA98" i="8"/>
  <c r="DB98" i="8"/>
  <c r="DA114" i="8"/>
  <c r="DB114" i="8"/>
  <c r="DA56" i="8"/>
  <c r="BU11" i="10" s="1"/>
  <c r="DB56" i="8"/>
  <c r="BX11" i="10" s="1"/>
  <c r="CZ169" i="8"/>
  <c r="DA169" i="8"/>
  <c r="CZ63" i="8"/>
  <c r="BR18" i="10" s="1"/>
  <c r="DA63" i="8"/>
  <c r="BU18" i="10" s="1"/>
  <c r="CZ88" i="8"/>
  <c r="DA88" i="8"/>
  <c r="CZ132" i="8"/>
  <c r="DA132" i="8"/>
  <c r="CZ96" i="8"/>
  <c r="DA96" i="8"/>
  <c r="CZ97" i="8"/>
  <c r="DA97" i="8"/>
  <c r="CZ144" i="8"/>
  <c r="DA144" i="8"/>
  <c r="CZ183" i="8"/>
  <c r="DA183" i="8"/>
  <c r="CZ76" i="8"/>
  <c r="DA76" i="8"/>
  <c r="CZ105" i="8"/>
  <c r="DA105" i="8"/>
  <c r="CZ149" i="8"/>
  <c r="DA149" i="8"/>
  <c r="CZ147" i="8"/>
  <c r="DA147" i="8"/>
  <c r="CZ150" i="8"/>
  <c r="DA150" i="8"/>
  <c r="CZ74" i="8"/>
  <c r="BR29" i="10" s="1"/>
  <c r="DA74" i="8"/>
  <c r="BU29" i="10" s="1"/>
  <c r="CZ67" i="8"/>
  <c r="BR22" i="10" s="1"/>
  <c r="DA67" i="8"/>
  <c r="BU22" i="10" s="1"/>
  <c r="CZ160" i="8"/>
  <c r="DA160" i="8"/>
  <c r="CZ153" i="8"/>
  <c r="DA153" i="8"/>
  <c r="CZ89" i="8"/>
  <c r="DA89" i="8"/>
  <c r="CZ92" i="8"/>
  <c r="DA92" i="8"/>
  <c r="CZ112" i="8"/>
  <c r="DA112" i="8"/>
  <c r="CZ175" i="8"/>
  <c r="DA175" i="8"/>
  <c r="CZ111" i="8"/>
  <c r="DA111" i="8"/>
  <c r="CZ156" i="8"/>
  <c r="DA156" i="8"/>
  <c r="CZ60" i="8"/>
  <c r="BR15" i="10" s="1"/>
  <c r="DA60" i="8"/>
  <c r="BU15" i="10" s="1"/>
  <c r="CZ66" i="8"/>
  <c r="DA66" i="8"/>
  <c r="BU21" i="10" s="1"/>
  <c r="CZ133" i="8"/>
  <c r="DA133" i="8"/>
  <c r="CZ69" i="8"/>
  <c r="BR24" i="10" s="1"/>
  <c r="DA69" i="8"/>
  <c r="BU24" i="10" s="1"/>
  <c r="CZ100" i="8"/>
  <c r="DA100" i="8"/>
  <c r="CZ94" i="8"/>
  <c r="DA94" i="8"/>
  <c r="CZ108" i="8"/>
  <c r="DA108" i="8"/>
  <c r="CZ122" i="8"/>
  <c r="DA122" i="8"/>
  <c r="CZ99" i="8"/>
  <c r="DA99" i="8"/>
  <c r="CZ72" i="8"/>
  <c r="BR27" i="10" s="1"/>
  <c r="DA72" i="8"/>
  <c r="BU27" i="10" s="1"/>
  <c r="CZ145" i="8"/>
  <c r="DA145" i="8"/>
  <c r="CZ81" i="8"/>
  <c r="DA81" i="8"/>
  <c r="CZ166" i="8"/>
  <c r="DA166" i="8"/>
  <c r="CZ178" i="8"/>
  <c r="DA178" i="8"/>
  <c r="CZ167" i="8"/>
  <c r="DA167" i="8"/>
  <c r="CZ103" i="8"/>
  <c r="DA103" i="8"/>
  <c r="CZ148" i="8"/>
  <c r="DA148" i="8"/>
  <c r="CZ168" i="8"/>
  <c r="DA168" i="8"/>
  <c r="CZ125" i="8"/>
  <c r="DA125" i="8"/>
  <c r="CZ61" i="8"/>
  <c r="BR16" i="10" s="1"/>
  <c r="DA61" i="8"/>
  <c r="BU16" i="10" s="1"/>
  <c r="CZ120" i="8"/>
  <c r="DA120" i="8"/>
  <c r="CZ130" i="8"/>
  <c r="DA130" i="8"/>
  <c r="CZ179" i="8"/>
  <c r="DA179" i="8"/>
  <c r="CZ164" i="8"/>
  <c r="DA164" i="8"/>
  <c r="CZ186" i="8"/>
  <c r="DA186" i="8"/>
  <c r="CZ131" i="8"/>
  <c r="DA131" i="8"/>
  <c r="CZ73" i="8"/>
  <c r="BR28" i="10" s="1"/>
  <c r="DA73" i="8"/>
  <c r="BU28" i="10" s="1"/>
  <c r="CZ134" i="8"/>
  <c r="DA134" i="8"/>
  <c r="CZ146" i="8"/>
  <c r="DA146" i="8"/>
  <c r="CZ159" i="8"/>
  <c r="DA159" i="8"/>
  <c r="CZ95" i="8"/>
  <c r="DA95" i="8"/>
  <c r="CZ116" i="8"/>
  <c r="DA116" i="8"/>
  <c r="CZ181" i="8"/>
  <c r="DA181" i="8"/>
  <c r="CZ117" i="8"/>
  <c r="DA117" i="8"/>
  <c r="CZ84" i="8"/>
  <c r="DA84" i="8"/>
  <c r="CZ171" i="8"/>
  <c r="DA171" i="8"/>
  <c r="CZ176" i="8"/>
  <c r="DA176" i="8"/>
  <c r="CZ90" i="8"/>
  <c r="DA90" i="8"/>
  <c r="CZ163" i="8"/>
  <c r="DA163" i="8"/>
  <c r="CZ182" i="8"/>
  <c r="DA182" i="8"/>
  <c r="CZ129" i="8"/>
  <c r="DA129" i="8"/>
  <c r="CZ65" i="8"/>
  <c r="BR20" i="10" s="1"/>
  <c r="DA65" i="8"/>
  <c r="BU20" i="10" s="1"/>
  <c r="CZ87" i="8"/>
  <c r="DA87" i="8"/>
  <c r="CZ173" i="8"/>
  <c r="DA173" i="8"/>
  <c r="CZ174" i="8"/>
  <c r="DA174" i="8"/>
  <c r="CZ191" i="8"/>
  <c r="DA191" i="8"/>
  <c r="CZ85" i="8"/>
  <c r="DA85" i="8"/>
  <c r="CZ91" i="8"/>
  <c r="DA91" i="8"/>
  <c r="CZ187" i="8"/>
  <c r="DA187" i="8"/>
  <c r="CZ140" i="8"/>
  <c r="DA140" i="8"/>
  <c r="CZ121" i="8"/>
  <c r="DA121" i="8"/>
  <c r="CZ57" i="8"/>
  <c r="BR12" i="10" s="1"/>
  <c r="DA57" i="8"/>
  <c r="BU12" i="10" s="1"/>
  <c r="CZ80" i="8"/>
  <c r="DA80" i="8"/>
  <c r="CZ86" i="8"/>
  <c r="DA86" i="8"/>
  <c r="CZ143" i="8"/>
  <c r="DA143" i="8"/>
  <c r="CZ79" i="8"/>
  <c r="DA79" i="8"/>
  <c r="CZ158" i="8"/>
  <c r="DA158" i="8"/>
  <c r="CZ170" i="8"/>
  <c r="DA170" i="8"/>
  <c r="CZ165" i="8"/>
  <c r="DA165" i="8"/>
  <c r="CZ101" i="8"/>
  <c r="DA101" i="8"/>
  <c r="CZ58" i="8"/>
  <c r="BR13" i="10" s="1"/>
  <c r="DA58" i="8"/>
  <c r="BU13" i="10" s="1"/>
  <c r="CZ142" i="8"/>
  <c r="DA142" i="8"/>
  <c r="CZ155" i="8"/>
  <c r="DA155" i="8"/>
  <c r="CZ127" i="8"/>
  <c r="DA127" i="8"/>
  <c r="CZ62" i="8"/>
  <c r="BR17" i="10" s="1"/>
  <c r="DA62" i="8"/>
  <c r="BU17" i="10" s="1"/>
  <c r="CZ162" i="8"/>
  <c r="DA162" i="8"/>
  <c r="CZ68" i="8"/>
  <c r="BR23" i="10" s="1"/>
  <c r="DA68" i="8"/>
  <c r="BU23" i="10" s="1"/>
  <c r="CZ128" i="8"/>
  <c r="DA128" i="8"/>
  <c r="CZ123" i="8"/>
  <c r="DA123" i="8"/>
  <c r="CZ110" i="8"/>
  <c r="DA110" i="8"/>
  <c r="CZ78" i="8"/>
  <c r="DA78" i="8"/>
  <c r="CZ177" i="8"/>
  <c r="DA177" i="8"/>
  <c r="CZ113" i="8"/>
  <c r="DA113" i="8"/>
  <c r="CZ188" i="8"/>
  <c r="DA188" i="8"/>
  <c r="CZ64" i="8"/>
  <c r="BR19" i="10" s="1"/>
  <c r="DA64" i="8"/>
  <c r="BU19" i="10" s="1"/>
  <c r="CZ70" i="8"/>
  <c r="BR25" i="10" s="1"/>
  <c r="DA70" i="8"/>
  <c r="BU25" i="10" s="1"/>
  <c r="CZ135" i="8"/>
  <c r="DA135" i="8"/>
  <c r="CZ71" i="8"/>
  <c r="BR26" i="10" s="1"/>
  <c r="DA71" i="8"/>
  <c r="BU26" i="10" s="1"/>
  <c r="CZ126" i="8"/>
  <c r="DA126" i="8"/>
  <c r="CZ138" i="8"/>
  <c r="DA138" i="8"/>
  <c r="CZ157" i="8"/>
  <c r="DA157" i="8"/>
  <c r="CZ93" i="8"/>
  <c r="DA93" i="8"/>
  <c r="CZ75" i="8"/>
  <c r="BR30" i="10" s="1"/>
  <c r="DA75" i="8"/>
  <c r="BU30" i="10" s="1"/>
  <c r="CZ154" i="8"/>
  <c r="DA154" i="8"/>
  <c r="CZ139" i="8"/>
  <c r="DA139" i="8"/>
  <c r="CY180" i="8"/>
  <c r="CZ180" i="8"/>
  <c r="CY115" i="8"/>
  <c r="CZ115" i="8"/>
  <c r="CY185" i="8"/>
  <c r="CZ185" i="8"/>
  <c r="CY161" i="8"/>
  <c r="CZ161" i="8"/>
  <c r="CY124" i="8"/>
  <c r="CZ124" i="8"/>
  <c r="CY119" i="8"/>
  <c r="CZ119" i="8"/>
  <c r="CY82" i="8"/>
  <c r="CZ82" i="8"/>
  <c r="CY141" i="8"/>
  <c r="CZ141" i="8"/>
  <c r="CY77" i="8"/>
  <c r="CZ77" i="8"/>
  <c r="CY172" i="8"/>
  <c r="CZ172" i="8"/>
  <c r="CY192" i="8"/>
  <c r="CZ192" i="8"/>
  <c r="CY106" i="8"/>
  <c r="CZ106" i="8"/>
  <c r="CY189" i="8"/>
  <c r="CZ189" i="8"/>
  <c r="CY118" i="8"/>
  <c r="CZ118" i="8"/>
  <c r="CY137" i="8"/>
  <c r="CZ137" i="8"/>
  <c r="CY136" i="8"/>
  <c r="CZ136" i="8"/>
  <c r="CY83" i="8"/>
  <c r="CZ83" i="8"/>
  <c r="CY98" i="8"/>
  <c r="CZ98" i="8"/>
  <c r="CY59" i="8"/>
  <c r="BO14" i="10" s="1"/>
  <c r="CZ59" i="8"/>
  <c r="BR14" i="10" s="1"/>
  <c r="CY152" i="8"/>
  <c r="CZ152" i="8"/>
  <c r="CY102" i="8"/>
  <c r="CZ102" i="8"/>
  <c r="CY114" i="8"/>
  <c r="CZ114" i="8"/>
  <c r="CY151" i="8"/>
  <c r="CZ151" i="8"/>
  <c r="CY190" i="8"/>
  <c r="CZ190" i="8"/>
  <c r="CY104" i="8"/>
  <c r="CZ104" i="8"/>
  <c r="CY109" i="8"/>
  <c r="CZ109" i="8"/>
  <c r="CY184" i="8"/>
  <c r="CZ184" i="8"/>
  <c r="CY107" i="8"/>
  <c r="CZ107" i="8"/>
  <c r="CY56" i="8"/>
  <c r="BO11" i="10" s="1"/>
  <c r="CZ56" i="8"/>
  <c r="BR11" i="10" s="1"/>
  <c r="CN132" i="8"/>
  <c r="CY132" i="8"/>
  <c r="CN144" i="8"/>
  <c r="CY144" i="8"/>
  <c r="CN76" i="8"/>
  <c r="CY76" i="8"/>
  <c r="CN88" i="8"/>
  <c r="CY88" i="8"/>
  <c r="CN74" i="8"/>
  <c r="Q29" i="10" s="1"/>
  <c r="CY74" i="8"/>
  <c r="BO29" i="10" s="1"/>
  <c r="CN89" i="8"/>
  <c r="CY89" i="8"/>
  <c r="CN111" i="8"/>
  <c r="CY111" i="8"/>
  <c r="CN100" i="8"/>
  <c r="CY100" i="8"/>
  <c r="CN99" i="8"/>
  <c r="CY99" i="8"/>
  <c r="CN178" i="8"/>
  <c r="CY178" i="8"/>
  <c r="CN168" i="8"/>
  <c r="CY168" i="8"/>
  <c r="CN120" i="8"/>
  <c r="CY120" i="8"/>
  <c r="CN62" i="8"/>
  <c r="Q17" i="10" s="1"/>
  <c r="CY62" i="8"/>
  <c r="BO17" i="10" s="1"/>
  <c r="CN164" i="8"/>
  <c r="CY164" i="8"/>
  <c r="CN186" i="8"/>
  <c r="CY186" i="8"/>
  <c r="CN131" i="8"/>
  <c r="CY131" i="8"/>
  <c r="CN73" i="8"/>
  <c r="Q28" i="10" s="1"/>
  <c r="CY73" i="8"/>
  <c r="BO28" i="10" s="1"/>
  <c r="CN134" i="8"/>
  <c r="CY134" i="8"/>
  <c r="CN146" i="8"/>
  <c r="CY146" i="8"/>
  <c r="CN159" i="8"/>
  <c r="CY159" i="8"/>
  <c r="CN95" i="8"/>
  <c r="CY95" i="8"/>
  <c r="CN116" i="8"/>
  <c r="CY116" i="8"/>
  <c r="CN181" i="8"/>
  <c r="CY181" i="8"/>
  <c r="CN117" i="8"/>
  <c r="CY117" i="8"/>
  <c r="CN84" i="8"/>
  <c r="CY84" i="8"/>
  <c r="CN171" i="8"/>
  <c r="CY171" i="8"/>
  <c r="CN97" i="8"/>
  <c r="CY97" i="8"/>
  <c r="CN150" i="8"/>
  <c r="CY150" i="8"/>
  <c r="CN92" i="8"/>
  <c r="CY92" i="8"/>
  <c r="CN60" i="8"/>
  <c r="Q15" i="10" s="1"/>
  <c r="CY60" i="8"/>
  <c r="BO15" i="10" s="1"/>
  <c r="CN81" i="8"/>
  <c r="CY81" i="8"/>
  <c r="CN148" i="8"/>
  <c r="CY148" i="8"/>
  <c r="CN163" i="8"/>
  <c r="CY163" i="8"/>
  <c r="CN182" i="8"/>
  <c r="CY182" i="8"/>
  <c r="CN129" i="8"/>
  <c r="CY129" i="8"/>
  <c r="CN65" i="8"/>
  <c r="Q20" i="10" s="1"/>
  <c r="CY65" i="8"/>
  <c r="BO20" i="10" s="1"/>
  <c r="CN87" i="8"/>
  <c r="CY87" i="8"/>
  <c r="CN173" i="8"/>
  <c r="CY173" i="8"/>
  <c r="CN147" i="8"/>
  <c r="CY147" i="8"/>
  <c r="CN160" i="8"/>
  <c r="CY160" i="8"/>
  <c r="CN112" i="8"/>
  <c r="CY112" i="8"/>
  <c r="CN66" i="8"/>
  <c r="Q21" i="10" s="1"/>
  <c r="CY66" i="8"/>
  <c r="BO21" i="10" s="1"/>
  <c r="CN179" i="8"/>
  <c r="CY179" i="8"/>
  <c r="CN72" i="8"/>
  <c r="Q27" i="10" s="1"/>
  <c r="CY72" i="8"/>
  <c r="BO27" i="10" s="1"/>
  <c r="CN167" i="8"/>
  <c r="CY167" i="8"/>
  <c r="CN125" i="8"/>
  <c r="CY125" i="8"/>
  <c r="CN162" i="8"/>
  <c r="CY162" i="8"/>
  <c r="CN91" i="8"/>
  <c r="CY91" i="8"/>
  <c r="CN187" i="8"/>
  <c r="CY187" i="8"/>
  <c r="CN140" i="8"/>
  <c r="CY140" i="8"/>
  <c r="CN121" i="8"/>
  <c r="CY121" i="8"/>
  <c r="CN57" i="8"/>
  <c r="Q12" i="10" s="1"/>
  <c r="CY57" i="8"/>
  <c r="BO12" i="10" s="1"/>
  <c r="CN80" i="8"/>
  <c r="CY80" i="8"/>
  <c r="CN86" i="8"/>
  <c r="CY86" i="8"/>
  <c r="CN143" i="8"/>
  <c r="CY143" i="8"/>
  <c r="CN79" i="8"/>
  <c r="CY79" i="8"/>
  <c r="CN158" i="8"/>
  <c r="CY158" i="8"/>
  <c r="CN170" i="8"/>
  <c r="CY170" i="8"/>
  <c r="CN165" i="8"/>
  <c r="CY165" i="8"/>
  <c r="CN101" i="8"/>
  <c r="CY101" i="8"/>
  <c r="CN58" i="8"/>
  <c r="Q13" i="10" s="1"/>
  <c r="CY58" i="8"/>
  <c r="BO13" i="10" s="1"/>
  <c r="CN142" i="8"/>
  <c r="CY142" i="8"/>
  <c r="CN153" i="8"/>
  <c r="CY153" i="8"/>
  <c r="CN156" i="8"/>
  <c r="CY156" i="8"/>
  <c r="CN69" i="8"/>
  <c r="Q24" i="10" s="1"/>
  <c r="CY69" i="8"/>
  <c r="BO24" i="10" s="1"/>
  <c r="CN122" i="8"/>
  <c r="CY122" i="8"/>
  <c r="CN166" i="8"/>
  <c r="CY166" i="8"/>
  <c r="CN68" i="8"/>
  <c r="Q23" i="10" s="1"/>
  <c r="CY68" i="8"/>
  <c r="BO23" i="10" s="1"/>
  <c r="CN128" i="8"/>
  <c r="CY128" i="8"/>
  <c r="CN123" i="8"/>
  <c r="CY123" i="8"/>
  <c r="CN110" i="8"/>
  <c r="CY110" i="8"/>
  <c r="CN78" i="8"/>
  <c r="CY78" i="8"/>
  <c r="CN177" i="8"/>
  <c r="CY177" i="8"/>
  <c r="CN113" i="8"/>
  <c r="CY113" i="8"/>
  <c r="CN188" i="8"/>
  <c r="CY188" i="8"/>
  <c r="CN64" i="8"/>
  <c r="Q19" i="10" s="1"/>
  <c r="CY64" i="8"/>
  <c r="BO19" i="10" s="1"/>
  <c r="CN70" i="8"/>
  <c r="Q25" i="10" s="1"/>
  <c r="CY70" i="8"/>
  <c r="BO25" i="10" s="1"/>
  <c r="CN135" i="8"/>
  <c r="CY135" i="8"/>
  <c r="CN71" i="8"/>
  <c r="Q26" i="10" s="1"/>
  <c r="CY71" i="8"/>
  <c r="BO26" i="10" s="1"/>
  <c r="CN126" i="8"/>
  <c r="CY126" i="8"/>
  <c r="CN138" i="8"/>
  <c r="CY138" i="8"/>
  <c r="CN157" i="8"/>
  <c r="CY157" i="8"/>
  <c r="CN93" i="8"/>
  <c r="CY93" i="8"/>
  <c r="CN75" i="8"/>
  <c r="Q30" i="10" s="1"/>
  <c r="CY75" i="8"/>
  <c r="BO30" i="10" s="1"/>
  <c r="CN154" i="8"/>
  <c r="CY154" i="8"/>
  <c r="CN96" i="8"/>
  <c r="CY96" i="8"/>
  <c r="CN183" i="8"/>
  <c r="CY183" i="8"/>
  <c r="CN67" i="8"/>
  <c r="Q22" i="10" s="1"/>
  <c r="CY67" i="8"/>
  <c r="BO22" i="10" s="1"/>
  <c r="CN175" i="8"/>
  <c r="CY175" i="8"/>
  <c r="CN133" i="8"/>
  <c r="CY133" i="8"/>
  <c r="CN108" i="8"/>
  <c r="CY108" i="8"/>
  <c r="CN145" i="8"/>
  <c r="CY145" i="8"/>
  <c r="CN103" i="8"/>
  <c r="CY103" i="8"/>
  <c r="CN61" i="8"/>
  <c r="Q16" i="10" s="1"/>
  <c r="CY61" i="8"/>
  <c r="BO16" i="10" s="1"/>
  <c r="CN155" i="8"/>
  <c r="CY155" i="8"/>
  <c r="CN174" i="8"/>
  <c r="CY174" i="8"/>
  <c r="CN130" i="8"/>
  <c r="CY130" i="8"/>
  <c r="CN169" i="8"/>
  <c r="CY169" i="8"/>
  <c r="CN105" i="8"/>
  <c r="CY105" i="8"/>
  <c r="CN176" i="8"/>
  <c r="CY176" i="8"/>
  <c r="CN191" i="8"/>
  <c r="CY191" i="8"/>
  <c r="CN127" i="8"/>
  <c r="CY127" i="8"/>
  <c r="CN63" i="8"/>
  <c r="Q18" i="10" s="1"/>
  <c r="CY63" i="8"/>
  <c r="BO18" i="10" s="1"/>
  <c r="CN94" i="8"/>
  <c r="CY94" i="8"/>
  <c r="CN149" i="8"/>
  <c r="CY149" i="8"/>
  <c r="CN85" i="8"/>
  <c r="CY85" i="8"/>
  <c r="CN90" i="8"/>
  <c r="CY90" i="8"/>
  <c r="CN139" i="8"/>
  <c r="CY139" i="8"/>
  <c r="CL161" i="8"/>
  <c r="CN161" i="8"/>
  <c r="CL119" i="8"/>
  <c r="CN119" i="8"/>
  <c r="CL77" i="8"/>
  <c r="CN77" i="8"/>
  <c r="CL172" i="8"/>
  <c r="CN172" i="8"/>
  <c r="CL118" i="8"/>
  <c r="CN118" i="8"/>
  <c r="CL137" i="8"/>
  <c r="CN137" i="8"/>
  <c r="CL136" i="8"/>
  <c r="CN136" i="8"/>
  <c r="CL115" i="8"/>
  <c r="CN115" i="8"/>
  <c r="CL141" i="8"/>
  <c r="CN141" i="8"/>
  <c r="CL98" i="8"/>
  <c r="CN98" i="8"/>
  <c r="CL59" i="8"/>
  <c r="V14" i="10" s="1"/>
  <c r="CN59" i="8"/>
  <c r="Q14" i="10" s="1"/>
  <c r="CL152" i="8"/>
  <c r="CN152" i="8"/>
  <c r="CL102" i="8"/>
  <c r="CN102" i="8"/>
  <c r="CL114" i="8"/>
  <c r="CN114" i="8"/>
  <c r="CL151" i="8"/>
  <c r="CN151" i="8"/>
  <c r="CL190" i="8"/>
  <c r="CN190" i="8"/>
  <c r="CL104" i="8"/>
  <c r="CN104" i="8"/>
  <c r="CL109" i="8"/>
  <c r="CN109" i="8"/>
  <c r="CL184" i="8"/>
  <c r="CN184" i="8"/>
  <c r="CL107" i="8"/>
  <c r="CN107" i="8"/>
  <c r="CL82" i="8"/>
  <c r="CN82" i="8"/>
  <c r="CL189" i="8"/>
  <c r="CN189" i="8"/>
  <c r="CL185" i="8"/>
  <c r="CN185" i="8"/>
  <c r="CL124" i="8"/>
  <c r="CN124" i="8"/>
  <c r="CL83" i="8"/>
  <c r="CN83" i="8"/>
  <c r="CL192" i="8"/>
  <c r="CN192" i="8"/>
  <c r="CL180" i="8"/>
  <c r="CN180" i="8"/>
  <c r="CL106" i="8"/>
  <c r="CN106" i="8"/>
  <c r="CL56" i="8"/>
  <c r="V11" i="10" s="1"/>
  <c r="CN56" i="8"/>
  <c r="Q11" i="10" s="1"/>
  <c r="CS74" i="8"/>
  <c r="CL74" i="8"/>
  <c r="V29" i="10" s="1"/>
  <c r="CO112" i="8"/>
  <c r="CL112" i="8"/>
  <c r="BR21" i="10"/>
  <c r="CL66" i="8"/>
  <c r="V21" i="10" s="1"/>
  <c r="CP108" i="8"/>
  <c r="CL108" i="8"/>
  <c r="CJ81" i="8"/>
  <c r="CL81" i="8"/>
  <c r="CV167" i="8"/>
  <c r="CL167" i="8"/>
  <c r="CS168" i="8"/>
  <c r="CL168" i="8"/>
  <c r="CL61" i="8"/>
  <c r="V16" i="10" s="1"/>
  <c r="CL120" i="8"/>
  <c r="CT62" i="8"/>
  <c r="CL62" i="8"/>
  <c r="V17" i="10" s="1"/>
  <c r="CI164" i="8"/>
  <c r="CL164" i="8"/>
  <c r="CS186" i="8"/>
  <c r="CL186" i="8"/>
  <c r="CO131" i="8"/>
  <c r="CL131" i="8"/>
  <c r="CX73" i="8"/>
  <c r="CL73" i="8"/>
  <c r="V28" i="10" s="1"/>
  <c r="CR134" i="8"/>
  <c r="CL134" i="8"/>
  <c r="CO146" i="8"/>
  <c r="CL146" i="8"/>
  <c r="CP159" i="8"/>
  <c r="CL159" i="8"/>
  <c r="CL95" i="8"/>
  <c r="CL116" i="8"/>
  <c r="CX181" i="8"/>
  <c r="CL181" i="8"/>
  <c r="CU117" i="8"/>
  <c r="CL117" i="8"/>
  <c r="CL84" i="8"/>
  <c r="CL171" i="8"/>
  <c r="CR96" i="8"/>
  <c r="CL96" i="8"/>
  <c r="CS144" i="8"/>
  <c r="CL144" i="8"/>
  <c r="CK150" i="8"/>
  <c r="CL150" i="8"/>
  <c r="CL89" i="8"/>
  <c r="CL156" i="8"/>
  <c r="CX69" i="8"/>
  <c r="CL69" i="8"/>
  <c r="V24" i="10" s="1"/>
  <c r="CL99" i="8"/>
  <c r="CR178" i="8"/>
  <c r="CL178" i="8"/>
  <c r="CP182" i="8"/>
  <c r="CL182" i="8"/>
  <c r="CR129" i="8"/>
  <c r="CL129" i="8"/>
  <c r="CT65" i="8"/>
  <c r="CL65" i="8"/>
  <c r="V20" i="10" s="1"/>
  <c r="CS87" i="8"/>
  <c r="CL87" i="8"/>
  <c r="CP173" i="8"/>
  <c r="CL173" i="8"/>
  <c r="CQ132" i="8"/>
  <c r="CL132" i="8"/>
  <c r="CQ76" i="8"/>
  <c r="CL76" i="8"/>
  <c r="CF147" i="8"/>
  <c r="CL147" i="8"/>
  <c r="CM153" i="8"/>
  <c r="CL153" i="8"/>
  <c r="CL111" i="8"/>
  <c r="CX100" i="8"/>
  <c r="CL100" i="8"/>
  <c r="CJ72" i="8"/>
  <c r="AM27" i="10" s="1"/>
  <c r="CL72" i="8"/>
  <c r="V27" i="10" s="1"/>
  <c r="CU148" i="8"/>
  <c r="CL148" i="8"/>
  <c r="CL162" i="8"/>
  <c r="CL68" i="8"/>
  <c r="V23" i="10" s="1"/>
  <c r="CX187" i="8"/>
  <c r="CL187" i="8"/>
  <c r="CP140" i="8"/>
  <c r="CL140" i="8"/>
  <c r="CM121" i="8"/>
  <c r="CL121" i="8"/>
  <c r="CP57" i="8"/>
  <c r="CL57" i="8"/>
  <c r="V12" i="10" s="1"/>
  <c r="CX80" i="8"/>
  <c r="CL80" i="8"/>
  <c r="CH86" i="8"/>
  <c r="CL86" i="8"/>
  <c r="CL143" i="8"/>
  <c r="CU79" i="8"/>
  <c r="CL79" i="8"/>
  <c r="CO158" i="8"/>
  <c r="CL158" i="8"/>
  <c r="CK170" i="8"/>
  <c r="CL170" i="8"/>
  <c r="CL165" i="8"/>
  <c r="CO101" i="8"/>
  <c r="CL101" i="8"/>
  <c r="CQ58" i="8"/>
  <c r="CL58" i="8"/>
  <c r="V13" i="10" s="1"/>
  <c r="CL142" i="8"/>
  <c r="CL183" i="8"/>
  <c r="CS67" i="8"/>
  <c r="CL67" i="8"/>
  <c r="V22" i="10" s="1"/>
  <c r="CF92" i="8"/>
  <c r="CL92" i="8"/>
  <c r="CL60" i="8"/>
  <c r="V15" i="10" s="1"/>
  <c r="CJ179" i="8"/>
  <c r="CL179" i="8"/>
  <c r="CX145" i="8"/>
  <c r="CL145" i="8"/>
  <c r="CL103" i="8"/>
  <c r="CO125" i="8"/>
  <c r="CL125" i="8"/>
  <c r="CS163" i="8"/>
  <c r="CL163" i="8"/>
  <c r="CX91" i="8"/>
  <c r="CL91" i="8"/>
  <c r="CH128" i="8"/>
  <c r="CL128" i="8"/>
  <c r="CS123" i="8"/>
  <c r="CL123" i="8"/>
  <c r="CL110" i="8"/>
  <c r="CL78" i="8"/>
  <c r="CH177" i="8"/>
  <c r="CL177" i="8"/>
  <c r="CF113" i="8"/>
  <c r="CL113" i="8"/>
  <c r="CX188" i="8"/>
  <c r="CL188" i="8"/>
  <c r="CV64" i="8"/>
  <c r="BC19" i="10" s="1"/>
  <c r="CL64" i="8"/>
  <c r="V19" i="10" s="1"/>
  <c r="CL70" i="8"/>
  <c r="V25" i="10" s="1"/>
  <c r="CO135" i="8"/>
  <c r="CL135" i="8"/>
  <c r="CL71" i="8"/>
  <c r="V26" i="10" s="1"/>
  <c r="CM126" i="8"/>
  <c r="CL126" i="8"/>
  <c r="CL138" i="8"/>
  <c r="CS157" i="8"/>
  <c r="CL157" i="8"/>
  <c r="CO93" i="8"/>
  <c r="CL93" i="8"/>
  <c r="CL75" i="8"/>
  <c r="V30" i="10" s="1"/>
  <c r="CL154" i="8"/>
  <c r="CT88" i="8"/>
  <c r="CL88" i="8"/>
  <c r="CR97" i="8"/>
  <c r="CL97" i="8"/>
  <c r="CL160" i="8"/>
  <c r="CL175" i="8"/>
  <c r="CT133" i="8"/>
  <c r="CL133" i="8"/>
  <c r="CF122" i="8"/>
  <c r="CL122" i="8"/>
  <c r="CK166" i="8"/>
  <c r="CL166" i="8"/>
  <c r="CK155" i="8"/>
  <c r="CL155" i="8"/>
  <c r="CL174" i="8"/>
  <c r="CX130" i="8"/>
  <c r="CL130" i="8"/>
  <c r="CO169" i="8"/>
  <c r="CL169" i="8"/>
  <c r="CL105" i="8"/>
  <c r="CL176" i="8"/>
  <c r="CF191" i="8"/>
  <c r="CL191" i="8"/>
  <c r="CO127" i="8"/>
  <c r="CL127" i="8"/>
  <c r="CQ63" i="8"/>
  <c r="CL63" i="8"/>
  <c r="V18" i="10" s="1"/>
  <c r="CJ94" i="8"/>
  <c r="CL94" i="8"/>
  <c r="CL149" i="8"/>
  <c r="CK85" i="8"/>
  <c r="CL85" i="8"/>
  <c r="CL90" i="8"/>
  <c r="CL139" i="8"/>
  <c r="CS120" i="8"/>
  <c r="CP154" i="8"/>
  <c r="CU56" i="8"/>
  <c r="CF56" i="8"/>
  <c r="J11" i="10" s="1"/>
  <c r="CJ171" i="8"/>
  <c r="CP84" i="8"/>
  <c r="CW127" i="8"/>
  <c r="CV117" i="8"/>
  <c r="CQ131" i="8"/>
  <c r="CP93" i="8"/>
  <c r="CU139" i="8"/>
  <c r="CK171" i="8"/>
  <c r="CV174" i="8"/>
  <c r="CT159" i="8"/>
  <c r="CU84" i="8"/>
  <c r="CI84" i="8"/>
  <c r="CM146" i="8"/>
  <c r="CR85" i="8"/>
  <c r="CR90" i="8"/>
  <c r="CR139" i="8"/>
  <c r="CT63" i="8"/>
  <c r="CT169" i="8"/>
  <c r="CM181" i="8"/>
  <c r="CP113" i="8"/>
  <c r="CV75" i="8"/>
  <c r="BD30" i="10" s="1"/>
  <c r="CW75" i="8"/>
  <c r="BG30" i="10" s="1"/>
  <c r="CM70" i="8"/>
  <c r="Y25" i="10" s="1"/>
  <c r="CV71" i="8"/>
  <c r="BD26" i="10" s="1"/>
  <c r="CT125" i="8"/>
  <c r="CP166" i="8"/>
  <c r="CV148" i="8"/>
  <c r="CP62" i="8"/>
  <c r="CX126" i="8"/>
  <c r="CQ64" i="8"/>
  <c r="CJ157" i="8"/>
  <c r="CS125" i="8"/>
  <c r="CK178" i="8"/>
  <c r="CQ148" i="8"/>
  <c r="CK138" i="8"/>
  <c r="CK75" i="8"/>
  <c r="AP30" i="10" s="1"/>
  <c r="CH120" i="8"/>
  <c r="CM101" i="8"/>
  <c r="CR64" i="8"/>
  <c r="CT103" i="8"/>
  <c r="CS166" i="8"/>
  <c r="CR135" i="8"/>
  <c r="CO120" i="8"/>
  <c r="CT118" i="8"/>
  <c r="CM118" i="8"/>
  <c r="CI180" i="8"/>
  <c r="CH180" i="8"/>
  <c r="CM180" i="8"/>
  <c r="CP146" i="8"/>
  <c r="CV136" i="8"/>
  <c r="CQ136" i="8"/>
  <c r="CH84" i="8"/>
  <c r="CR84" i="8"/>
  <c r="CS84" i="8"/>
  <c r="CM84" i="8"/>
  <c r="CK84" i="8"/>
  <c r="CO84" i="8"/>
  <c r="CX84" i="8"/>
  <c r="CF84" i="8"/>
  <c r="CR171" i="8"/>
  <c r="CS171" i="8"/>
  <c r="CP171" i="8"/>
  <c r="CX171" i="8"/>
  <c r="CO85" i="8"/>
  <c r="CV146" i="8"/>
  <c r="CU131" i="8"/>
  <c r="CO118" i="8"/>
  <c r="CT90" i="8"/>
  <c r="CF136" i="8"/>
  <c r="CW139" i="8"/>
  <c r="CR180" i="8"/>
  <c r="CU149" i="8"/>
  <c r="CK95" i="8"/>
  <c r="CK176" i="8"/>
  <c r="CJ84" i="8"/>
  <c r="CT105" i="8"/>
  <c r="CF90" i="8"/>
  <c r="CP164" i="8"/>
  <c r="CW171" i="8"/>
  <c r="CM149" i="8"/>
  <c r="CM171" i="8"/>
  <c r="CI62" i="8"/>
  <c r="AJ17" i="10" s="1"/>
  <c r="CF83" i="8"/>
  <c r="CJ164" i="8"/>
  <c r="CM164" i="8"/>
  <c r="CH164" i="8"/>
  <c r="CX186" i="8"/>
  <c r="CT137" i="8"/>
  <c r="CU137" i="8"/>
  <c r="CM73" i="8"/>
  <c r="Y28" i="10" s="1"/>
  <c r="CW73" i="8"/>
  <c r="BF28" i="10" s="1"/>
  <c r="CS73" i="8"/>
  <c r="CH134" i="8"/>
  <c r="CW134" i="8"/>
  <c r="CP191" i="8"/>
  <c r="CV191" i="8"/>
  <c r="CT94" i="8"/>
  <c r="CF106" i="8"/>
  <c r="CJ117" i="8"/>
  <c r="CX117" i="8"/>
  <c r="CI85" i="8"/>
  <c r="CH85" i="8"/>
  <c r="CS85" i="8"/>
  <c r="CM90" i="8"/>
  <c r="CW90" i="8"/>
  <c r="CO90" i="8"/>
  <c r="CK90" i="8"/>
  <c r="CP90" i="8"/>
  <c r="CV90" i="8"/>
  <c r="CI90" i="8"/>
  <c r="CS90" i="8"/>
  <c r="CQ90" i="8"/>
  <c r="CJ90" i="8"/>
  <c r="CH90" i="8"/>
  <c r="CM139" i="8"/>
  <c r="CI139" i="8"/>
  <c r="CF139" i="8"/>
  <c r="CO139" i="8"/>
  <c r="CQ139" i="8"/>
  <c r="CF130" i="8"/>
  <c r="CX139" i="8"/>
  <c r="CS139" i="8"/>
  <c r="CH139" i="8"/>
  <c r="CT171" i="8"/>
  <c r="CF171" i="8"/>
  <c r="CU83" i="8"/>
  <c r="CO94" i="8"/>
  <c r="CJ73" i="8"/>
  <c r="AM28" i="10" s="1"/>
  <c r="CO191" i="8"/>
  <c r="CP95" i="8"/>
  <c r="CV84" i="8"/>
  <c r="CQ84" i="8"/>
  <c r="CX90" i="8"/>
  <c r="CI171" i="8"/>
  <c r="CM117" i="8"/>
  <c r="CR62" i="8"/>
  <c r="CF85" i="8"/>
  <c r="CO130" i="8"/>
  <c r="CR131" i="8"/>
  <c r="CP139" i="8"/>
  <c r="CK139" i="8"/>
  <c r="CU171" i="8"/>
  <c r="CO171" i="8"/>
  <c r="CV171" i="8"/>
  <c r="CP134" i="8"/>
  <c r="CT106" i="8"/>
  <c r="CJ174" i="8"/>
  <c r="CK116" i="8"/>
  <c r="CO181" i="8"/>
  <c r="CP127" i="8"/>
  <c r="CU62" i="8"/>
  <c r="CX85" i="8"/>
  <c r="CR130" i="8"/>
  <c r="CP180" i="8"/>
  <c r="CJ139" i="8"/>
  <c r="CT139" i="8"/>
  <c r="CV139" i="8"/>
  <c r="CQ171" i="8"/>
  <c r="CH171" i="8"/>
  <c r="CF134" i="8"/>
  <c r="CX63" i="8"/>
  <c r="CX106" i="8"/>
  <c r="CR186" i="8"/>
  <c r="CT116" i="8"/>
  <c r="CV149" i="8"/>
  <c r="CP181" i="8"/>
  <c r="CS155" i="8"/>
  <c r="CV137" i="8"/>
  <c r="CF176" i="8"/>
  <c r="CT84" i="8"/>
  <c r="CP105" i="8"/>
  <c r="CU90" i="8"/>
  <c r="CR164" i="8"/>
  <c r="CI181" i="8"/>
  <c r="CW84" i="8"/>
  <c r="CM130" i="8"/>
  <c r="CH78" i="8"/>
  <c r="CT178" i="8"/>
  <c r="CP70" i="8"/>
  <c r="CT81" i="8"/>
  <c r="CO188" i="8"/>
  <c r="CU61" i="8"/>
  <c r="CK157" i="8"/>
  <c r="CX113" i="8"/>
  <c r="CU189" i="8"/>
  <c r="CR70" i="8"/>
  <c r="CS154" i="8"/>
  <c r="CT75" i="8"/>
  <c r="CW167" i="8"/>
  <c r="CW126" i="8"/>
  <c r="CM120" i="8"/>
  <c r="CP89" i="8"/>
  <c r="CO162" i="8"/>
  <c r="CR91" i="8"/>
  <c r="CR67" i="8"/>
  <c r="CK140" i="8"/>
  <c r="CX89" i="8"/>
  <c r="CF91" i="8"/>
  <c r="CQ60" i="8"/>
  <c r="CH187" i="8"/>
  <c r="CT187" i="8"/>
  <c r="CQ80" i="8"/>
  <c r="CS86" i="8"/>
  <c r="CP69" i="8"/>
  <c r="CX121" i="8"/>
  <c r="CT170" i="8"/>
  <c r="CR57" i="8"/>
  <c r="CP92" i="8"/>
  <c r="CT192" i="8"/>
  <c r="CP112" i="8"/>
  <c r="CX150" i="8"/>
  <c r="CX143" i="8"/>
  <c r="CF86" i="8"/>
  <c r="CT101" i="8"/>
  <c r="CW86" i="8"/>
  <c r="CW67" i="8"/>
  <c r="BK22" i="10" s="1"/>
  <c r="CO143" i="8"/>
  <c r="CR68" i="8"/>
  <c r="CJ112" i="8"/>
  <c r="CT69" i="8"/>
  <c r="CW91" i="8"/>
  <c r="CQ128" i="8"/>
  <c r="CO91" i="8"/>
  <c r="CR100" i="8"/>
  <c r="CV58" i="8"/>
  <c r="BC13" i="10" s="1"/>
  <c r="CQ160" i="8"/>
  <c r="CT153" i="8"/>
  <c r="CI66" i="8"/>
  <c r="AJ21" i="10" s="1"/>
  <c r="CT80" i="8"/>
  <c r="CF143" i="8"/>
  <c r="CJ79" i="8"/>
  <c r="CH140" i="8"/>
  <c r="CS111" i="8"/>
  <c r="CK147" i="8"/>
  <c r="CX142" i="8"/>
  <c r="CF80" i="8"/>
  <c r="CT162" i="8"/>
  <c r="CP175" i="8"/>
  <c r="CK68" i="8"/>
  <c r="AP23" i="10" s="1"/>
  <c r="CF79" i="8"/>
  <c r="CT100" i="8"/>
  <c r="CJ66" i="8"/>
  <c r="AM21" i="10" s="1"/>
  <c r="CF133" i="8"/>
  <c r="CK121" i="8"/>
  <c r="CK142" i="8"/>
  <c r="CQ156" i="8"/>
  <c r="CM140" i="8"/>
  <c r="CI110" i="8"/>
  <c r="CX61" i="8"/>
  <c r="CX71" i="8"/>
  <c r="CQ157" i="8"/>
  <c r="CF103" i="8"/>
  <c r="CH125" i="8"/>
  <c r="CR166" i="8"/>
  <c r="CJ93" i="8"/>
  <c r="CK177" i="8"/>
  <c r="CQ154" i="8"/>
  <c r="CF154" i="8"/>
  <c r="CP188" i="8"/>
  <c r="CR75" i="8"/>
  <c r="CS75" i="8"/>
  <c r="CX120" i="8"/>
  <c r="CV120" i="8"/>
  <c r="CS126" i="8"/>
  <c r="CI120" i="8"/>
  <c r="CO123" i="8"/>
  <c r="CH157" i="8"/>
  <c r="CF125" i="8"/>
  <c r="CX189" i="8"/>
  <c r="CX178" i="8"/>
  <c r="CJ110" i="8"/>
  <c r="CV145" i="8"/>
  <c r="CX166" i="8"/>
  <c r="CK93" i="8"/>
  <c r="CU177" i="8"/>
  <c r="CQ70" i="8"/>
  <c r="CK135" i="8"/>
  <c r="CQ81" i="8"/>
  <c r="CX75" i="8"/>
  <c r="CF75" i="8"/>
  <c r="J30" i="10" s="1"/>
  <c r="CU120" i="8"/>
  <c r="CR167" i="8"/>
  <c r="CI75" i="8"/>
  <c r="AJ30" i="10" s="1"/>
  <c r="CV80" i="8"/>
  <c r="CF173" i="8"/>
  <c r="CQ162" i="8"/>
  <c r="CF162" i="8"/>
  <c r="CS89" i="8"/>
  <c r="CU91" i="8"/>
  <c r="CU143" i="8"/>
  <c r="CR143" i="8"/>
  <c r="CS175" i="8"/>
  <c r="CS68" i="8"/>
  <c r="CQ67" i="8"/>
  <c r="CO79" i="8"/>
  <c r="CO86" i="8"/>
  <c r="CS112" i="8"/>
  <c r="CX129" i="8"/>
  <c r="CH66" i="8"/>
  <c r="AE21" i="10" s="1"/>
  <c r="CO150" i="8"/>
  <c r="CQ74" i="8"/>
  <c r="CR111" i="8"/>
  <c r="CO165" i="8"/>
  <c r="CH121" i="8"/>
  <c r="CV160" i="8"/>
  <c r="CU57" i="8"/>
  <c r="CO153" i="8"/>
  <c r="CV142" i="8"/>
  <c r="CJ101" i="8"/>
  <c r="CI158" i="8"/>
  <c r="CI80" i="8"/>
  <c r="CW101" i="8"/>
  <c r="CW121" i="8"/>
  <c r="CR61" i="8"/>
  <c r="CJ61" i="8"/>
  <c r="AM16" i="10" s="1"/>
  <c r="CQ71" i="8"/>
  <c r="CP162" i="8"/>
  <c r="CR162" i="8"/>
  <c r="CT89" i="8"/>
  <c r="CV91" i="8"/>
  <c r="CX103" i="8"/>
  <c r="CT189" i="8"/>
  <c r="CT143" i="8"/>
  <c r="CX175" i="8"/>
  <c r="CR175" i="8"/>
  <c r="CS110" i="8"/>
  <c r="CQ66" i="8"/>
  <c r="CP177" i="8"/>
  <c r="CT111" i="8"/>
  <c r="CU154" i="8"/>
  <c r="CR154" i="8"/>
  <c r="CU60" i="8"/>
  <c r="CH75" i="8"/>
  <c r="AE30" i="10" s="1"/>
  <c r="AH30" i="10" s="1"/>
  <c r="CJ75" i="8"/>
  <c r="AM30" i="10" s="1"/>
  <c r="CJ120" i="8"/>
  <c r="CP120" i="8"/>
  <c r="CH126" i="8"/>
  <c r="CW143" i="8"/>
  <c r="CW154" i="8"/>
  <c r="CR115" i="8"/>
  <c r="CO98" i="8"/>
  <c r="CR98" i="8"/>
  <c r="CX59" i="8"/>
  <c r="CP59" i="8"/>
  <c r="CW152" i="8"/>
  <c r="CO152" i="8"/>
  <c r="CT161" i="8"/>
  <c r="CQ161" i="8"/>
  <c r="CI97" i="8"/>
  <c r="CH65" i="8"/>
  <c r="AE20" i="10" s="1"/>
  <c r="CR65" i="8"/>
  <c r="CT124" i="8"/>
  <c r="CV124" i="8"/>
  <c r="CF102" i="8"/>
  <c r="CT114" i="8"/>
  <c r="CR114" i="8"/>
  <c r="CP151" i="8"/>
  <c r="CV151" i="8"/>
  <c r="CU151" i="8"/>
  <c r="CJ119" i="8"/>
  <c r="CV56" i="8"/>
  <c r="BB11" i="10" s="1"/>
  <c r="CT56" i="8"/>
  <c r="CT190" i="8"/>
  <c r="CR190" i="8"/>
  <c r="CP104" i="8"/>
  <c r="CJ104" i="8"/>
  <c r="CP82" i="8"/>
  <c r="CK82" i="8"/>
  <c r="CV141" i="8"/>
  <c r="CP141" i="8"/>
  <c r="CM109" i="8"/>
  <c r="CP109" i="8"/>
  <c r="CJ77" i="8"/>
  <c r="CQ77" i="8"/>
  <c r="CW184" i="8"/>
  <c r="CK184" i="8"/>
  <c r="CR172" i="8"/>
  <c r="CX172" i="8"/>
  <c r="CF172" i="8"/>
  <c r="CM107" i="8"/>
  <c r="CU107" i="8"/>
  <c r="CS107" i="8"/>
  <c r="CR107" i="8"/>
  <c r="CH96" i="8"/>
  <c r="CQ97" i="8"/>
  <c r="CU163" i="8"/>
  <c r="CP144" i="8"/>
  <c r="CO129" i="8"/>
  <c r="CF161" i="8"/>
  <c r="CQ119" i="8"/>
  <c r="CK185" i="8"/>
  <c r="CW147" i="8"/>
  <c r="CI147" i="8"/>
  <c r="CR147" i="8"/>
  <c r="CS147" i="8"/>
  <c r="CP147" i="8"/>
  <c r="CJ147" i="8"/>
  <c r="CH147" i="8"/>
  <c r="CX147" i="8"/>
  <c r="CV147" i="8"/>
  <c r="CO147" i="8"/>
  <c r="CQ147" i="8"/>
  <c r="CM162" i="8"/>
  <c r="CW162" i="8"/>
  <c r="CV162" i="8"/>
  <c r="CJ162" i="8"/>
  <c r="CI162" i="8"/>
  <c r="CW150" i="8"/>
  <c r="CI150" i="8"/>
  <c r="CR150" i="8"/>
  <c r="CS150" i="8"/>
  <c r="CU150" i="8"/>
  <c r="CQ150" i="8"/>
  <c r="CV150" i="8"/>
  <c r="CP150" i="8"/>
  <c r="CS91" i="8"/>
  <c r="CQ91" i="8"/>
  <c r="CJ91" i="8"/>
  <c r="CH91" i="8"/>
  <c r="CM74" i="8"/>
  <c r="Y29" i="10" s="1"/>
  <c r="CW74" i="8"/>
  <c r="BG29" i="10" s="1"/>
  <c r="CT74" i="8"/>
  <c r="CV74" i="8"/>
  <c r="BA29" i="10" s="1"/>
  <c r="CR74" i="8"/>
  <c r="CI74" i="8"/>
  <c r="AJ29" i="10" s="1"/>
  <c r="CP74" i="8"/>
  <c r="CO74" i="8"/>
  <c r="AV29" i="10" s="1"/>
  <c r="CX74" i="8"/>
  <c r="CH74" i="8"/>
  <c r="AE29" i="10" s="1"/>
  <c r="CW68" i="8"/>
  <c r="BJ23" i="10" s="1"/>
  <c r="CP68" i="8"/>
  <c r="CQ68" i="8"/>
  <c r="CU68" i="8"/>
  <c r="CM68" i="8"/>
  <c r="Y23" i="10" s="1"/>
  <c r="CI68" i="8"/>
  <c r="AJ23" i="10" s="1"/>
  <c r="CT68" i="8"/>
  <c r="CV68" i="8"/>
  <c r="BC23" i="10" s="1"/>
  <c r="CM67" i="8"/>
  <c r="Y22" i="10" s="1"/>
  <c r="CI67" i="8"/>
  <c r="AJ22" i="10" s="1"/>
  <c r="CT67" i="8"/>
  <c r="CV67" i="8"/>
  <c r="BD22" i="10" s="1"/>
  <c r="CX67" i="8"/>
  <c r="CF67" i="8"/>
  <c r="CA22" i="10" s="1"/>
  <c r="CH67" i="8"/>
  <c r="AE22" i="10" s="1"/>
  <c r="CK67" i="8"/>
  <c r="AP22" i="10" s="1"/>
  <c r="CI187" i="8"/>
  <c r="CP187" i="8"/>
  <c r="CK187" i="8"/>
  <c r="CR187" i="8"/>
  <c r="CW187" i="8"/>
  <c r="CF187" i="8"/>
  <c r="CV187" i="8"/>
  <c r="CM187" i="8"/>
  <c r="CJ187" i="8"/>
  <c r="CQ187" i="8"/>
  <c r="CO187" i="8"/>
  <c r="CM160" i="8"/>
  <c r="CW160" i="8"/>
  <c r="CI160" i="8"/>
  <c r="CF160" i="8"/>
  <c r="CO160" i="8"/>
  <c r="CJ160" i="8"/>
  <c r="CK160" i="8"/>
  <c r="CU160" i="8"/>
  <c r="CH160" i="8"/>
  <c r="CS160" i="8"/>
  <c r="CP160" i="8"/>
  <c r="CF140" i="8"/>
  <c r="CO140" i="8"/>
  <c r="CJ140" i="8"/>
  <c r="CI140" i="8"/>
  <c r="CR140" i="8"/>
  <c r="CX140" i="8"/>
  <c r="CW140" i="8"/>
  <c r="CV140" i="8"/>
  <c r="CT140" i="8"/>
  <c r="CQ140" i="8"/>
  <c r="CV153" i="8"/>
  <c r="CU153" i="8"/>
  <c r="CW153" i="8"/>
  <c r="CI153" i="8"/>
  <c r="CK153" i="8"/>
  <c r="CP153" i="8"/>
  <c r="CH153" i="8"/>
  <c r="CS153" i="8"/>
  <c r="CJ153" i="8"/>
  <c r="CU121" i="8"/>
  <c r="CS121" i="8"/>
  <c r="CR121" i="8"/>
  <c r="CP121" i="8"/>
  <c r="CF121" i="8"/>
  <c r="CV121" i="8"/>
  <c r="CJ121" i="8"/>
  <c r="CQ121" i="8"/>
  <c r="CM89" i="8"/>
  <c r="CW89" i="8"/>
  <c r="CI89" i="8"/>
  <c r="CO89" i="8"/>
  <c r="CQ89" i="8"/>
  <c r="CR89" i="8"/>
  <c r="CM57" i="8"/>
  <c r="Y12" i="10" s="1"/>
  <c r="CI57" i="8"/>
  <c r="AJ12" i="10" s="1"/>
  <c r="CT57" i="8"/>
  <c r="CV57" i="8"/>
  <c r="BD12" i="10" s="1"/>
  <c r="CK57" i="8"/>
  <c r="AP12" i="10" s="1"/>
  <c r="CW57" i="8"/>
  <c r="BE12" i="10" s="1"/>
  <c r="CF57" i="8"/>
  <c r="J12" i="10" s="1"/>
  <c r="CS57" i="8"/>
  <c r="CO57" i="8"/>
  <c r="AV12" i="10" s="1"/>
  <c r="CJ57" i="8"/>
  <c r="AM12" i="10" s="1"/>
  <c r="CQ57" i="8"/>
  <c r="CX57" i="8"/>
  <c r="CM92" i="8"/>
  <c r="CX92" i="8"/>
  <c r="CU92" i="8"/>
  <c r="CT92" i="8"/>
  <c r="CK92" i="8"/>
  <c r="CJ92" i="8"/>
  <c r="CO92" i="8"/>
  <c r="CQ92" i="8"/>
  <c r="CR92" i="8"/>
  <c r="CK80" i="8"/>
  <c r="CS80" i="8"/>
  <c r="CR80" i="8"/>
  <c r="CJ80" i="8"/>
  <c r="CM80" i="8"/>
  <c r="CW80" i="8"/>
  <c r="CI112" i="8"/>
  <c r="CX112" i="8"/>
  <c r="CU112" i="8"/>
  <c r="CT112" i="8"/>
  <c r="CW112" i="8"/>
  <c r="CF112" i="8"/>
  <c r="CR112" i="8"/>
  <c r="CM86" i="8"/>
  <c r="CQ86" i="8"/>
  <c r="CT86" i="8"/>
  <c r="CV86" i="8"/>
  <c r="CI86" i="8"/>
  <c r="CU86" i="8"/>
  <c r="CJ86" i="8"/>
  <c r="CP86" i="8"/>
  <c r="CM175" i="8"/>
  <c r="CW175" i="8"/>
  <c r="CH175" i="8"/>
  <c r="CK175" i="8"/>
  <c r="CU175" i="8"/>
  <c r="CQ175" i="8"/>
  <c r="CM143" i="8"/>
  <c r="CV143" i="8"/>
  <c r="CJ143" i="8"/>
  <c r="CW111" i="8"/>
  <c r="CI111" i="8"/>
  <c r="CM111" i="8"/>
  <c r="CO111" i="8"/>
  <c r="CK111" i="8"/>
  <c r="CP111" i="8"/>
  <c r="CV111" i="8"/>
  <c r="CX111" i="8"/>
  <c r="CF111" i="8"/>
  <c r="CH111" i="8"/>
  <c r="CJ111" i="8"/>
  <c r="CW79" i="8"/>
  <c r="CI79" i="8"/>
  <c r="CM79" i="8"/>
  <c r="CK79" i="8"/>
  <c r="CS79" i="8"/>
  <c r="CR79" i="8"/>
  <c r="CT79" i="8"/>
  <c r="CQ79" i="8"/>
  <c r="CX79" i="8"/>
  <c r="CP79" i="8"/>
  <c r="CM156" i="8"/>
  <c r="CH156" i="8"/>
  <c r="CK156" i="8"/>
  <c r="CT156" i="8"/>
  <c r="CX156" i="8"/>
  <c r="CV156" i="8"/>
  <c r="CO156" i="8"/>
  <c r="CP156" i="8"/>
  <c r="CW156" i="8"/>
  <c r="CF156" i="8"/>
  <c r="CU156" i="8"/>
  <c r="CW158" i="8"/>
  <c r="CR158" i="8"/>
  <c r="CS158" i="8"/>
  <c r="CU158" i="8"/>
  <c r="CQ158" i="8"/>
  <c r="CF158" i="8"/>
  <c r="CT158" i="8"/>
  <c r="CK158" i="8"/>
  <c r="CJ158" i="8"/>
  <c r="CM60" i="8"/>
  <c r="Y15" i="10" s="1"/>
  <c r="CJ60" i="8"/>
  <c r="AM15" i="10" s="1"/>
  <c r="AS15" i="10" s="1"/>
  <c r="CS60" i="8"/>
  <c r="CH60" i="8"/>
  <c r="AE15" i="10" s="1"/>
  <c r="CX60" i="8"/>
  <c r="CW60" i="8"/>
  <c r="BI15" i="10" s="1"/>
  <c r="CI60" i="8"/>
  <c r="AJ15" i="10" s="1"/>
  <c r="CP60" i="8"/>
  <c r="CV60" i="8"/>
  <c r="BC15" i="10" s="1"/>
  <c r="CK60" i="8"/>
  <c r="AP15" i="10" s="1"/>
  <c r="CT60" i="8"/>
  <c r="CO60" i="8"/>
  <c r="AV15" i="10" s="1"/>
  <c r="CM170" i="8"/>
  <c r="CV170" i="8"/>
  <c r="CP170" i="8"/>
  <c r="CW170" i="8"/>
  <c r="CH170" i="8"/>
  <c r="CS170" i="8"/>
  <c r="CJ170" i="8"/>
  <c r="CR170" i="8"/>
  <c r="CO170" i="8"/>
  <c r="CX170" i="8"/>
  <c r="CW66" i="8"/>
  <c r="BK21" i="10" s="1"/>
  <c r="CT66" i="8"/>
  <c r="CV66" i="8"/>
  <c r="BD21" i="10" s="1"/>
  <c r="CR66" i="8"/>
  <c r="CM66" i="8"/>
  <c r="Y21" i="10" s="1"/>
  <c r="CF66" i="8"/>
  <c r="J21" i="10" s="1"/>
  <c r="CO66" i="8"/>
  <c r="AV21" i="10" s="1"/>
  <c r="CK66" i="8"/>
  <c r="AP21" i="10" s="1"/>
  <c r="CW165" i="8"/>
  <c r="CR165" i="8"/>
  <c r="CS165" i="8"/>
  <c r="CP165" i="8"/>
  <c r="CX165" i="8"/>
  <c r="CM165" i="8"/>
  <c r="CF165" i="8"/>
  <c r="CT165" i="8"/>
  <c r="CI165" i="8"/>
  <c r="CK165" i="8"/>
  <c r="CU165" i="8"/>
  <c r="CM133" i="8"/>
  <c r="CI133" i="8"/>
  <c r="CH133" i="8"/>
  <c r="CO133" i="8"/>
  <c r="CX133" i="8"/>
  <c r="CS133" i="8"/>
  <c r="CV133" i="8"/>
  <c r="CP133" i="8"/>
  <c r="CU133" i="8"/>
  <c r="CW133" i="8"/>
  <c r="CQ133" i="8"/>
  <c r="CF101" i="8"/>
  <c r="CR101" i="8"/>
  <c r="CI101" i="8"/>
  <c r="CS101" i="8"/>
  <c r="CU101" i="8"/>
  <c r="CV101" i="8"/>
  <c r="CX101" i="8"/>
  <c r="CP101" i="8"/>
  <c r="CH101" i="8"/>
  <c r="CJ69" i="8"/>
  <c r="AM24" i="10" s="1"/>
  <c r="CS69" i="8"/>
  <c r="CU69" i="8"/>
  <c r="CR69" i="8"/>
  <c r="CO69" i="8"/>
  <c r="AV24" i="10" s="1"/>
  <c r="CF69" i="8"/>
  <c r="CA24" i="10" s="1"/>
  <c r="CQ69" i="8"/>
  <c r="CK69" i="8"/>
  <c r="AP24" i="10" s="1"/>
  <c r="CW58" i="8"/>
  <c r="BK13" i="10" s="1"/>
  <c r="CI58" i="8"/>
  <c r="AJ13" i="10" s="1"/>
  <c r="CF58" i="8"/>
  <c r="J13" i="10" s="1"/>
  <c r="CO58" i="8"/>
  <c r="AV13" i="10" s="1"/>
  <c r="CK58" i="8"/>
  <c r="AP13" i="10" s="1"/>
  <c r="CM58" i="8"/>
  <c r="Y13" i="10" s="1"/>
  <c r="CJ58" i="8"/>
  <c r="AM13" i="10" s="1"/>
  <c r="AS13" i="10" s="1"/>
  <c r="CS58" i="8"/>
  <c r="CH58" i="8"/>
  <c r="AE13" i="10" s="1"/>
  <c r="CX58" i="8"/>
  <c r="CM100" i="8"/>
  <c r="CW100" i="8"/>
  <c r="CO100" i="8"/>
  <c r="CK100" i="8"/>
  <c r="CP100" i="8"/>
  <c r="CV100" i="8"/>
  <c r="CS100" i="8"/>
  <c r="CQ100" i="8"/>
  <c r="CJ100" i="8"/>
  <c r="CH100" i="8"/>
  <c r="CW142" i="8"/>
  <c r="CI142" i="8"/>
  <c r="CF142" i="8"/>
  <c r="CO142" i="8"/>
  <c r="CQ142" i="8"/>
  <c r="CM142" i="8"/>
  <c r="CH142" i="8"/>
  <c r="CS142" i="8"/>
  <c r="CP142" i="8"/>
  <c r="CR142" i="8"/>
  <c r="CJ142" i="8"/>
  <c r="CF96" i="8"/>
  <c r="CP80" i="8"/>
  <c r="CO80" i="8"/>
  <c r="CJ124" i="8"/>
  <c r="CO97" i="8"/>
  <c r="CF141" i="8"/>
  <c r="CX162" i="8"/>
  <c r="CS162" i="8"/>
  <c r="CH162" i="8"/>
  <c r="CF89" i="8"/>
  <c r="CU89" i="8"/>
  <c r="CH89" i="8"/>
  <c r="CT91" i="8"/>
  <c r="CK91" i="8"/>
  <c r="CQ143" i="8"/>
  <c r="CS143" i="8"/>
  <c r="CH143" i="8"/>
  <c r="CT175" i="8"/>
  <c r="CF175" i="8"/>
  <c r="CH68" i="8"/>
  <c r="AE23" i="10" s="1"/>
  <c r="CJ68" i="8"/>
  <c r="AM23" i="10" s="1"/>
  <c r="CO67" i="8"/>
  <c r="AV22" i="10" s="1"/>
  <c r="CP67" i="8"/>
  <c r="CH79" i="8"/>
  <c r="CX86" i="8"/>
  <c r="CK86" i="8"/>
  <c r="CF100" i="8"/>
  <c r="CH112" i="8"/>
  <c r="CQ112" i="8"/>
  <c r="CR58" i="8"/>
  <c r="CT58" i="8"/>
  <c r="CX66" i="8"/>
  <c r="CS66" i="8"/>
  <c r="CJ150" i="8"/>
  <c r="CF150" i="8"/>
  <c r="CP184" i="8"/>
  <c r="CU140" i="8"/>
  <c r="CT172" i="8"/>
  <c r="CR152" i="8"/>
  <c r="CH69" i="8"/>
  <c r="AE24" i="10" s="1"/>
  <c r="CK74" i="8"/>
  <c r="AP29" i="10" s="1"/>
  <c r="CJ74" i="8"/>
  <c r="AM29" i="10" s="1"/>
  <c r="CS104" i="8"/>
  <c r="CU111" i="8"/>
  <c r="CK133" i="8"/>
  <c r="CR133" i="8"/>
  <c r="CQ165" i="8"/>
  <c r="CV165" i="8"/>
  <c r="CT121" i="8"/>
  <c r="CQ170" i="8"/>
  <c r="CF170" i="8"/>
  <c r="CH87" i="8"/>
  <c r="CU147" i="8"/>
  <c r="CO182" i="8"/>
  <c r="CX160" i="8"/>
  <c r="CR160" i="8"/>
  <c r="CH57" i="8"/>
  <c r="AE12" i="10" s="1"/>
  <c r="CH92" i="8"/>
  <c r="CX153" i="8"/>
  <c r="CF153" i="8"/>
  <c r="CU142" i="8"/>
  <c r="CP158" i="8"/>
  <c r="CV158" i="8"/>
  <c r="CQ101" i="8"/>
  <c r="CS156" i="8"/>
  <c r="CU187" i="8"/>
  <c r="CI92" i="8"/>
  <c r="CI143" i="8"/>
  <c r="CI170" i="8"/>
  <c r="CI69" i="8"/>
  <c r="AJ24" i="10" s="1"/>
  <c r="CM150" i="8"/>
  <c r="CX96" i="8"/>
  <c r="CH80" i="8"/>
  <c r="CU80" i="8"/>
  <c r="CU124" i="8"/>
  <c r="CJ115" i="8"/>
  <c r="CU162" i="8"/>
  <c r="CK162" i="8"/>
  <c r="CV89" i="8"/>
  <c r="CJ89" i="8"/>
  <c r="CK89" i="8"/>
  <c r="CP91" i="8"/>
  <c r="CP143" i="8"/>
  <c r="CK143" i="8"/>
  <c r="CJ175" i="8"/>
  <c r="CO175" i="8"/>
  <c r="CV175" i="8"/>
  <c r="CX68" i="8"/>
  <c r="CO68" i="8"/>
  <c r="AV23" i="10" s="1"/>
  <c r="CF68" i="8"/>
  <c r="CA23" i="10" s="1"/>
  <c r="CU67" i="8"/>
  <c r="CJ67" i="8"/>
  <c r="AM22" i="10" s="1"/>
  <c r="CV79" i="8"/>
  <c r="CK77" i="8"/>
  <c r="CR86" i="8"/>
  <c r="CU100" i="8"/>
  <c r="CV112" i="8"/>
  <c r="CK112" i="8"/>
  <c r="CU58" i="8"/>
  <c r="CP58" i="8"/>
  <c r="CU66" i="8"/>
  <c r="CP66" i="8"/>
  <c r="CT150" i="8"/>
  <c r="CH150" i="8"/>
  <c r="CS140" i="8"/>
  <c r="CV69" i="8"/>
  <c r="BB24" i="10" s="1"/>
  <c r="CU74" i="8"/>
  <c r="CF74" i="8"/>
  <c r="CA29" i="10" s="1"/>
  <c r="CQ111" i="8"/>
  <c r="CJ133" i="8"/>
  <c r="CJ165" i="8"/>
  <c r="CH165" i="8"/>
  <c r="CO121" i="8"/>
  <c r="CU170" i="8"/>
  <c r="CT147" i="8"/>
  <c r="CT160" i="8"/>
  <c r="CR60" i="8"/>
  <c r="CF60" i="8"/>
  <c r="J15" i="10" s="1"/>
  <c r="CV92" i="8"/>
  <c r="CS92" i="8"/>
  <c r="CQ153" i="8"/>
  <c r="CR153" i="8"/>
  <c r="CT142" i="8"/>
  <c r="CX158" i="8"/>
  <c r="CH158" i="8"/>
  <c r="CK101" i="8"/>
  <c r="CJ156" i="8"/>
  <c r="CR156" i="8"/>
  <c r="CS187" i="8"/>
  <c r="CI156" i="8"/>
  <c r="CI100" i="8"/>
  <c r="CI121" i="8"/>
  <c r="CI175" i="8"/>
  <c r="CI91" i="8"/>
  <c r="CW69" i="8"/>
  <c r="BE24" i="10" s="1"/>
  <c r="CW92" i="8"/>
  <c r="CM91" i="8"/>
  <c r="CM112" i="8"/>
  <c r="CM69" i="8"/>
  <c r="Y24" i="10" s="1"/>
  <c r="CM158" i="8"/>
  <c r="CR177" i="8"/>
  <c r="CF145" i="8"/>
  <c r="CW113" i="8"/>
  <c r="CX81" i="8"/>
  <c r="CH166" i="8"/>
  <c r="CW166" i="8"/>
  <c r="CM178" i="8"/>
  <c r="CT70" i="8"/>
  <c r="CT167" i="8"/>
  <c r="CQ167" i="8"/>
  <c r="CH135" i="8"/>
  <c r="CU135" i="8"/>
  <c r="CI148" i="8"/>
  <c r="CT148" i="8"/>
  <c r="CT126" i="8"/>
  <c r="CR126" i="8"/>
  <c r="CM168" i="8"/>
  <c r="CK168" i="8"/>
  <c r="CP138" i="8"/>
  <c r="CM157" i="8"/>
  <c r="CI157" i="8"/>
  <c r="CR125" i="8"/>
  <c r="CQ93" i="8"/>
  <c r="CI93" i="8"/>
  <c r="CM75" i="8"/>
  <c r="Y30" i="10" s="1"/>
  <c r="CP75" i="8"/>
  <c r="CQ75" i="8"/>
  <c r="CO75" i="8"/>
  <c r="AV30" i="10" s="1"/>
  <c r="CW120" i="8"/>
  <c r="CR120" i="8"/>
  <c r="CT120" i="8"/>
  <c r="CF120" i="8"/>
  <c r="CK120" i="8"/>
  <c r="CM154" i="8"/>
  <c r="CH154" i="8"/>
  <c r="CK154" i="8"/>
  <c r="CT154" i="8"/>
  <c r="CJ154" i="8"/>
  <c r="CT64" i="8"/>
  <c r="CS61" i="8"/>
  <c r="CT71" i="8"/>
  <c r="CT157" i="8"/>
  <c r="CT113" i="8"/>
  <c r="CU103" i="8"/>
  <c r="CJ125" i="8"/>
  <c r="CH189" i="8"/>
  <c r="CP189" i="8"/>
  <c r="CJ178" i="8"/>
  <c r="CH178" i="8"/>
  <c r="CO145" i="8"/>
  <c r="CU166" i="8"/>
  <c r="CV93" i="8"/>
  <c r="CS93" i="8"/>
  <c r="CS177" i="8"/>
  <c r="CU70" i="8"/>
  <c r="CP135" i="8"/>
  <c r="CK81" i="8"/>
  <c r="CX154" i="8"/>
  <c r="CO154" i="8"/>
  <c r="CV154" i="8"/>
  <c r="CU75" i="8"/>
  <c r="CQ120" i="8"/>
  <c r="CP126" i="8"/>
  <c r="CU168" i="8"/>
  <c r="CJ167" i="8"/>
  <c r="CI154" i="8"/>
  <c r="CI145" i="8"/>
  <c r="CM189" i="8"/>
  <c r="CW115" i="8"/>
  <c r="CM115" i="8"/>
  <c r="CH88" i="8"/>
  <c r="CP88" i="8"/>
  <c r="CM132" i="8"/>
  <c r="CH132" i="8"/>
  <c r="CJ132" i="8"/>
  <c r="CV132" i="8"/>
  <c r="CS132" i="8"/>
  <c r="CW132" i="8"/>
  <c r="CM65" i="8"/>
  <c r="Y20" i="10" s="1"/>
  <c r="CI65" i="8"/>
  <c r="AJ20" i="10" s="1"/>
  <c r="CF183" i="8"/>
  <c r="CH183" i="8"/>
  <c r="CI87" i="8"/>
  <c r="CQ87" i="8"/>
  <c r="CX87" i="8"/>
  <c r="CI76" i="8"/>
  <c r="CT76" i="8"/>
  <c r="CR76" i="8"/>
  <c r="CW173" i="8"/>
  <c r="CI173" i="8"/>
  <c r="CW77" i="8"/>
  <c r="CI77" i="8"/>
  <c r="CI107" i="8"/>
  <c r="CO107" i="8"/>
  <c r="CK107" i="8"/>
  <c r="CP107" i="8"/>
  <c r="CV107" i="8"/>
  <c r="CW107" i="8"/>
  <c r="CH56" i="8"/>
  <c r="AE11" i="10" s="1"/>
  <c r="CP56" i="8"/>
  <c r="CX124" i="8"/>
  <c r="CJ97" i="8"/>
  <c r="CT115" i="8"/>
  <c r="CO141" i="8"/>
  <c r="CO173" i="8"/>
  <c r="CV173" i="8"/>
  <c r="CU144" i="8"/>
  <c r="CF144" i="8"/>
  <c r="CX65" i="8"/>
  <c r="CV65" i="8"/>
  <c r="BD20" i="10" s="1"/>
  <c r="CJ65" i="8"/>
  <c r="AM20" i="10" s="1"/>
  <c r="CO77" i="8"/>
  <c r="CS77" i="8"/>
  <c r="CS129" i="8"/>
  <c r="CJ129" i="8"/>
  <c r="CX161" i="8"/>
  <c r="CO161" i="8"/>
  <c r="CR161" i="8"/>
  <c r="CO184" i="8"/>
  <c r="CU184" i="8"/>
  <c r="CV184" i="8"/>
  <c r="CJ184" i="8"/>
  <c r="CP98" i="8"/>
  <c r="CS98" i="8"/>
  <c r="CJ172" i="8"/>
  <c r="CO172" i="8"/>
  <c r="CQ152" i="8"/>
  <c r="CS183" i="8"/>
  <c r="CT183" i="8"/>
  <c r="CU88" i="8"/>
  <c r="CX119" i="8"/>
  <c r="CH119" i="8"/>
  <c r="CU102" i="8"/>
  <c r="CP87" i="8"/>
  <c r="CT107" i="8"/>
  <c r="CQ107" i="8"/>
  <c r="CU182" i="8"/>
  <c r="CV182" i="8"/>
  <c r="CK76" i="8"/>
  <c r="CP76" i="8"/>
  <c r="CU109" i="8"/>
  <c r="CH185" i="8"/>
  <c r="CQ59" i="8"/>
  <c r="CK59" i="8"/>
  <c r="AP14" i="10" s="1"/>
  <c r="CF59" i="8"/>
  <c r="CA14" i="10" s="1"/>
  <c r="CV59" i="8"/>
  <c r="BB14" i="10" s="1"/>
  <c r="CT185" i="8"/>
  <c r="CX185" i="8"/>
  <c r="CQ185" i="8"/>
  <c r="CI163" i="8"/>
  <c r="CW163" i="8"/>
  <c r="CW96" i="8"/>
  <c r="CM161" i="8"/>
  <c r="CM97" i="8"/>
  <c r="CW102" i="8"/>
  <c r="CX102" i="8"/>
  <c r="CT102" i="8"/>
  <c r="CQ114" i="8"/>
  <c r="CU114" i="8"/>
  <c r="CF114" i="8"/>
  <c r="CW114" i="8"/>
  <c r="CW151" i="8"/>
  <c r="CH151" i="8"/>
  <c r="CT151" i="8"/>
  <c r="CM151" i="8"/>
  <c r="CI151" i="8"/>
  <c r="CW119" i="8"/>
  <c r="CR119" i="8"/>
  <c r="CU119" i="8"/>
  <c r="CM190" i="8"/>
  <c r="CK190" i="8"/>
  <c r="CP190" i="8"/>
  <c r="CQ190" i="8"/>
  <c r="CI104" i="8"/>
  <c r="CK104" i="8"/>
  <c r="CV104" i="8"/>
  <c r="CS82" i="8"/>
  <c r="CT82" i="8"/>
  <c r="CM82" i="8"/>
  <c r="CX82" i="8"/>
  <c r="CM141" i="8"/>
  <c r="CM184" i="8"/>
  <c r="CI184" i="8"/>
  <c r="CF184" i="8"/>
  <c r="CI172" i="8"/>
  <c r="CV172" i="8"/>
  <c r="CP172" i="8"/>
  <c r="CM172" i="8"/>
  <c r="CW172" i="8"/>
  <c r="CU96" i="8"/>
  <c r="CS96" i="8"/>
  <c r="CP124" i="8"/>
  <c r="CR124" i="8"/>
  <c r="CK97" i="8"/>
  <c r="CP115" i="8"/>
  <c r="CX115" i="8"/>
  <c r="CX141" i="8"/>
  <c r="CX173" i="8"/>
  <c r="CP163" i="8"/>
  <c r="CF163" i="8"/>
  <c r="CQ56" i="8"/>
  <c r="CT96" i="8"/>
  <c r="CQ96" i="8"/>
  <c r="CS124" i="8"/>
  <c r="CH97" i="8"/>
  <c r="CP97" i="8"/>
  <c r="CU115" i="8"/>
  <c r="CS115" i="8"/>
  <c r="CQ141" i="8"/>
  <c r="CR141" i="8"/>
  <c r="CQ173" i="8"/>
  <c r="CR173" i="8"/>
  <c r="CQ163" i="8"/>
  <c r="CO163" i="8"/>
  <c r="CV163" i="8"/>
  <c r="CX144" i="8"/>
  <c r="CO144" i="8"/>
  <c r="CV144" i="8"/>
  <c r="CK65" i="8"/>
  <c r="AP20" i="10" s="1"/>
  <c r="CS65" i="8"/>
  <c r="CF65" i="8"/>
  <c r="J20" i="10" s="1"/>
  <c r="CU77" i="8"/>
  <c r="CT77" i="8"/>
  <c r="CF129" i="8"/>
  <c r="CU129" i="8"/>
  <c r="CJ161" i="8"/>
  <c r="CS161" i="8"/>
  <c r="CH161" i="8"/>
  <c r="CX184" i="8"/>
  <c r="CH184" i="8"/>
  <c r="CQ184" i="8"/>
  <c r="CH98" i="8"/>
  <c r="CF98" i="8"/>
  <c r="CQ172" i="8"/>
  <c r="CS172" i="8"/>
  <c r="CH172" i="8"/>
  <c r="CJ152" i="8"/>
  <c r="CS152" i="8"/>
  <c r="CS151" i="8"/>
  <c r="CX183" i="8"/>
  <c r="CP183" i="8"/>
  <c r="CV88" i="8"/>
  <c r="CU104" i="8"/>
  <c r="CT119" i="8"/>
  <c r="CV102" i="8"/>
  <c r="CK102" i="8"/>
  <c r="CR87" i="8"/>
  <c r="CJ107" i="8"/>
  <c r="CH182" i="8"/>
  <c r="CO76" i="8"/>
  <c r="CF76" i="8"/>
  <c r="CH59" i="8"/>
  <c r="AE14" i="10" s="1"/>
  <c r="CR82" i="8"/>
  <c r="CX114" i="8"/>
  <c r="CS109" i="8"/>
  <c r="CF185" i="8"/>
  <c r="CP132" i="8"/>
  <c r="CO190" i="8"/>
  <c r="CI115" i="8"/>
  <c r="CM144" i="8"/>
  <c r="CK98" i="8"/>
  <c r="CJ98" i="8"/>
  <c r="CF152" i="8"/>
  <c r="CU152" i="8"/>
  <c r="CW182" i="8"/>
  <c r="CI182" i="8"/>
  <c r="CJ182" i="8"/>
  <c r="CR182" i="8"/>
  <c r="CM129" i="8"/>
  <c r="CM124" i="8"/>
  <c r="CX56" i="8"/>
  <c r="CW56" i="8"/>
  <c r="BG11" i="10" s="1"/>
  <c r="CJ56" i="8"/>
  <c r="AM11" i="10" s="1"/>
  <c r="CX109" i="8"/>
  <c r="CT109" i="8"/>
  <c r="CQ109" i="8"/>
  <c r="CV109" i="8"/>
  <c r="CK56" i="8"/>
  <c r="AP11" i="10" s="1"/>
  <c r="AA11" i="10"/>
  <c r="CJ96" i="8"/>
  <c r="CF124" i="8"/>
  <c r="CV97" i="8"/>
  <c r="CF97" i="8"/>
  <c r="CS97" i="8"/>
  <c r="CH115" i="8"/>
  <c r="CV115" i="8"/>
  <c r="CJ141" i="8"/>
  <c r="CS141" i="8"/>
  <c r="CJ173" i="8"/>
  <c r="CS173" i="8"/>
  <c r="CJ163" i="8"/>
  <c r="CR163" i="8"/>
  <c r="CQ144" i="8"/>
  <c r="CR144" i="8"/>
  <c r="CU65" i="8"/>
  <c r="CR77" i="8"/>
  <c r="CV77" i="8"/>
  <c r="CP77" i="8"/>
  <c r="CQ129" i="8"/>
  <c r="CT129" i="8"/>
  <c r="CH129" i="8"/>
  <c r="CP161" i="8"/>
  <c r="CK161" i="8"/>
  <c r="CR184" i="8"/>
  <c r="CS184" i="8"/>
  <c r="CT184" i="8"/>
  <c r="CV98" i="8"/>
  <c r="CQ98" i="8"/>
  <c r="CU172" i="8"/>
  <c r="CK172" i="8"/>
  <c r="CP152" i="8"/>
  <c r="CV152" i="8"/>
  <c r="CQ151" i="8"/>
  <c r="CK151" i="8"/>
  <c r="CO183" i="8"/>
  <c r="CR88" i="8"/>
  <c r="CH104" i="8"/>
  <c r="CX104" i="8"/>
  <c r="CO119" i="8"/>
  <c r="CR102" i="8"/>
  <c r="CO102" i="8"/>
  <c r="CO87" i="8"/>
  <c r="CH107" i="8"/>
  <c r="CF107" i="8"/>
  <c r="CX107" i="8"/>
  <c r="CF182" i="8"/>
  <c r="CV76" i="8"/>
  <c r="CT59" i="8"/>
  <c r="CO82" i="8"/>
  <c r="CO114" i="8"/>
  <c r="CH109" i="8"/>
  <c r="CO109" i="8"/>
  <c r="CX132" i="8"/>
  <c r="CH190" i="8"/>
  <c r="CM102" i="8"/>
  <c r="CM147" i="8"/>
  <c r="CU72" i="8"/>
  <c r="CF72" i="8"/>
  <c r="J27" i="10" s="1"/>
  <c r="CW179" i="8"/>
  <c r="CR179" i="8"/>
  <c r="CS179" i="8"/>
  <c r="CT179" i="8"/>
  <c r="CK179" i="8"/>
  <c r="CP179" i="8"/>
  <c r="CI179" i="8"/>
  <c r="CH179" i="8"/>
  <c r="CO179" i="8"/>
  <c r="CX179" i="8"/>
  <c r="CI128" i="8"/>
  <c r="CV128" i="8"/>
  <c r="CP128" i="8"/>
  <c r="CS128" i="8"/>
  <c r="CW128" i="8"/>
  <c r="CU128" i="8"/>
  <c r="CX128" i="8"/>
  <c r="CW108" i="8"/>
  <c r="CF108" i="8"/>
  <c r="CR108" i="8"/>
  <c r="CM108" i="8"/>
  <c r="CK108" i="8"/>
  <c r="CJ108" i="8"/>
  <c r="CO108" i="8"/>
  <c r="CQ108" i="8"/>
  <c r="CT108" i="8"/>
  <c r="CI123" i="8"/>
  <c r="CV123" i="8"/>
  <c r="CP123" i="8"/>
  <c r="CK123" i="8"/>
  <c r="CU123" i="8"/>
  <c r="CQ123" i="8"/>
  <c r="CM122" i="8"/>
  <c r="CU122" i="8"/>
  <c r="CJ122" i="8"/>
  <c r="CI122" i="8"/>
  <c r="CR122" i="8"/>
  <c r="CP122" i="8"/>
  <c r="CX122" i="8"/>
  <c r="CV122" i="8"/>
  <c r="CQ122" i="8"/>
  <c r="CK122" i="8"/>
  <c r="CW110" i="8"/>
  <c r="CX110" i="8"/>
  <c r="CU110" i="8"/>
  <c r="CT110" i="8"/>
  <c r="CF110" i="8"/>
  <c r="CR110" i="8"/>
  <c r="CI99" i="8"/>
  <c r="CM99" i="8"/>
  <c r="CW99" i="8"/>
  <c r="CS99" i="8"/>
  <c r="CQ99" i="8"/>
  <c r="CJ99" i="8"/>
  <c r="CH99" i="8"/>
  <c r="CK99" i="8"/>
  <c r="CT99" i="8"/>
  <c r="CO99" i="8"/>
  <c r="CU99" i="8"/>
  <c r="CR99" i="8"/>
  <c r="CI78" i="8"/>
  <c r="CW78" i="8"/>
  <c r="CK78" i="8"/>
  <c r="CS78" i="8"/>
  <c r="CR78" i="8"/>
  <c r="CM78" i="8"/>
  <c r="CQ78" i="8"/>
  <c r="CX78" i="8"/>
  <c r="CP78" i="8"/>
  <c r="CV78" i="8"/>
  <c r="CF78" i="8"/>
  <c r="CX123" i="8"/>
  <c r="CR123" i="8"/>
  <c r="CJ128" i="8"/>
  <c r="CT128" i="8"/>
  <c r="CP110" i="8"/>
  <c r="CO110" i="8"/>
  <c r="CQ72" i="8"/>
  <c r="CV99" i="8"/>
  <c r="CX99" i="8"/>
  <c r="CU179" i="8"/>
  <c r="CU108" i="8"/>
  <c r="CT122" i="8"/>
  <c r="CI108" i="8"/>
  <c r="CW122" i="8"/>
  <c r="CM72" i="8"/>
  <c r="Y27" i="10" s="1"/>
  <c r="CM110" i="8"/>
  <c r="CI83" i="8"/>
  <c r="CK83" i="8"/>
  <c r="CT83" i="8"/>
  <c r="CP83" i="8"/>
  <c r="CS83" i="8"/>
  <c r="CH83" i="8"/>
  <c r="CV83" i="8"/>
  <c r="CM83" i="8"/>
  <c r="CW83" i="8"/>
  <c r="CQ83" i="8"/>
  <c r="CR83" i="8"/>
  <c r="CJ83" i="8"/>
  <c r="CM62" i="8"/>
  <c r="Y17" i="10" s="1"/>
  <c r="CW62" i="8"/>
  <c r="BK17" i="10" s="1"/>
  <c r="CF62" i="8"/>
  <c r="J17" i="10" s="1"/>
  <c r="CO62" i="8"/>
  <c r="AV17" i="10" s="1"/>
  <c r="CX62" i="8"/>
  <c r="CJ62" i="8"/>
  <c r="AM17" i="10" s="1"/>
  <c r="CS62" i="8"/>
  <c r="CH62" i="8"/>
  <c r="AE17" i="10" s="1"/>
  <c r="CK62" i="8"/>
  <c r="AP17" i="10" s="1"/>
  <c r="CX192" i="8"/>
  <c r="CJ192" i="8"/>
  <c r="CF192" i="8"/>
  <c r="CU192" i="8"/>
  <c r="CM192" i="8"/>
  <c r="CI192" i="8"/>
  <c r="CR192" i="8"/>
  <c r="CH192" i="8"/>
  <c r="CO192" i="8"/>
  <c r="CV192" i="8"/>
  <c r="CK192" i="8"/>
  <c r="CW192" i="8"/>
  <c r="CQ192" i="8"/>
  <c r="CF164" i="8"/>
  <c r="CO164" i="8"/>
  <c r="CX164" i="8"/>
  <c r="CW164" i="8"/>
  <c r="CV164" i="8"/>
  <c r="CT164" i="8"/>
  <c r="CQ164" i="8"/>
  <c r="CK164" i="8"/>
  <c r="CU164" i="8"/>
  <c r="CM155" i="8"/>
  <c r="CW155" i="8"/>
  <c r="CI155" i="8"/>
  <c r="CF155" i="8"/>
  <c r="CO155" i="8"/>
  <c r="CX155" i="8"/>
  <c r="CR155" i="8"/>
  <c r="CQ155" i="8"/>
  <c r="CV155" i="8"/>
  <c r="CT155" i="8"/>
  <c r="CJ155" i="8"/>
  <c r="CM186" i="8"/>
  <c r="CJ186" i="8"/>
  <c r="CI186" i="8"/>
  <c r="CP186" i="8"/>
  <c r="CV186" i="8"/>
  <c r="CQ186" i="8"/>
  <c r="CW186" i="8"/>
  <c r="CT186" i="8"/>
  <c r="CO186" i="8"/>
  <c r="CU186" i="8"/>
  <c r="CW174" i="8"/>
  <c r="CI174" i="8"/>
  <c r="CR174" i="8"/>
  <c r="CS174" i="8"/>
  <c r="CU174" i="8"/>
  <c r="CX174" i="8"/>
  <c r="CF174" i="8"/>
  <c r="CT174" i="8"/>
  <c r="CM174" i="8"/>
  <c r="CK174" i="8"/>
  <c r="CP174" i="8"/>
  <c r="CW131" i="8"/>
  <c r="CV131" i="8"/>
  <c r="CJ131" i="8"/>
  <c r="CP131" i="8"/>
  <c r="CI131" i="8"/>
  <c r="CS131" i="8"/>
  <c r="CF131" i="8"/>
  <c r="CW130" i="8"/>
  <c r="CI130" i="8"/>
  <c r="CV130" i="8"/>
  <c r="CP130" i="8"/>
  <c r="CS130" i="8"/>
  <c r="CU130" i="8"/>
  <c r="CJ130" i="8"/>
  <c r="CW118" i="8"/>
  <c r="CI118" i="8"/>
  <c r="CH118" i="8"/>
  <c r="CJ118" i="8"/>
  <c r="CX118" i="8"/>
  <c r="CS118" i="8"/>
  <c r="CR118" i="8"/>
  <c r="CP118" i="8"/>
  <c r="CU118" i="8"/>
  <c r="CM169" i="8"/>
  <c r="CW169" i="8"/>
  <c r="CR169" i="8"/>
  <c r="CS169" i="8"/>
  <c r="CP169" i="8"/>
  <c r="CU169" i="8"/>
  <c r="CK169" i="8"/>
  <c r="CJ169" i="8"/>
  <c r="CI169" i="8"/>
  <c r="CH169" i="8"/>
  <c r="CX169" i="8"/>
  <c r="CM137" i="8"/>
  <c r="CW137" i="8"/>
  <c r="CI137" i="8"/>
  <c r="CR137" i="8"/>
  <c r="CS137" i="8"/>
  <c r="CP137" i="8"/>
  <c r="CJ137" i="8"/>
  <c r="CK137" i="8"/>
  <c r="CX137" i="8"/>
  <c r="CH137" i="8"/>
  <c r="CQ137" i="8"/>
  <c r="CW105" i="8"/>
  <c r="CI105" i="8"/>
  <c r="CS105" i="8"/>
  <c r="CQ105" i="8"/>
  <c r="CJ105" i="8"/>
  <c r="CH105" i="8"/>
  <c r="CM105" i="8"/>
  <c r="CO105" i="8"/>
  <c r="CU105" i="8"/>
  <c r="CR105" i="8"/>
  <c r="CX105" i="8"/>
  <c r="CF105" i="8"/>
  <c r="CV105" i="8"/>
  <c r="CT73" i="8"/>
  <c r="CV73" i="8"/>
  <c r="BA28" i="10" s="1"/>
  <c r="CK73" i="8"/>
  <c r="AP28" i="10" s="1"/>
  <c r="CI73" i="8"/>
  <c r="AJ28" i="10" s="1"/>
  <c r="CP73" i="8"/>
  <c r="CH73" i="8"/>
  <c r="AE28" i="10" s="1"/>
  <c r="CR73" i="8"/>
  <c r="CU73" i="8"/>
  <c r="CW180" i="8"/>
  <c r="CF180" i="8"/>
  <c r="CQ180" i="8"/>
  <c r="CU180" i="8"/>
  <c r="CS180" i="8"/>
  <c r="CJ180" i="8"/>
  <c r="CV180" i="8"/>
  <c r="CK180" i="8"/>
  <c r="CO180" i="8"/>
  <c r="CM134" i="8"/>
  <c r="CI134" i="8"/>
  <c r="CV134" i="8"/>
  <c r="CK134" i="8"/>
  <c r="CX134" i="8"/>
  <c r="CU134" i="8"/>
  <c r="CQ134" i="8"/>
  <c r="CR176" i="8"/>
  <c r="CS176" i="8"/>
  <c r="CX176" i="8"/>
  <c r="CP176" i="8"/>
  <c r="CW176" i="8"/>
  <c r="CH176" i="8"/>
  <c r="CJ176" i="8"/>
  <c r="CO176" i="8"/>
  <c r="CM176" i="8"/>
  <c r="CI176" i="8"/>
  <c r="CV176" i="8"/>
  <c r="CT176" i="8"/>
  <c r="CU176" i="8"/>
  <c r="CW146" i="8"/>
  <c r="CI146" i="8"/>
  <c r="CH146" i="8"/>
  <c r="CK146" i="8"/>
  <c r="CT146" i="8"/>
  <c r="CJ146" i="8"/>
  <c r="CR146" i="8"/>
  <c r="CS146" i="8"/>
  <c r="CU146" i="8"/>
  <c r="CX146" i="8"/>
  <c r="CM191" i="8"/>
  <c r="CI191" i="8"/>
  <c r="CJ191" i="8"/>
  <c r="CR191" i="8"/>
  <c r="CQ191" i="8"/>
  <c r="CX191" i="8"/>
  <c r="CT191" i="8"/>
  <c r="CK191" i="8"/>
  <c r="CH191" i="8"/>
  <c r="CU191" i="8"/>
  <c r="CW159" i="8"/>
  <c r="CI159" i="8"/>
  <c r="CF159" i="8"/>
  <c r="CO159" i="8"/>
  <c r="CX159" i="8"/>
  <c r="CM159" i="8"/>
  <c r="CH159" i="8"/>
  <c r="CS159" i="8"/>
  <c r="CJ159" i="8"/>
  <c r="CR159" i="8"/>
  <c r="CQ159" i="8"/>
  <c r="CM127" i="8"/>
  <c r="CR127" i="8"/>
  <c r="CT127" i="8"/>
  <c r="CX127" i="8"/>
  <c r="CS127" i="8"/>
  <c r="CV127" i="8"/>
  <c r="CU127" i="8"/>
  <c r="CF127" i="8"/>
  <c r="CJ127" i="8"/>
  <c r="CW95" i="8"/>
  <c r="CI95" i="8"/>
  <c r="CF95" i="8"/>
  <c r="CR95" i="8"/>
  <c r="CO95" i="8"/>
  <c r="CQ95" i="8"/>
  <c r="CT95" i="8"/>
  <c r="CM95" i="8"/>
  <c r="CS95" i="8"/>
  <c r="CU95" i="8"/>
  <c r="CV95" i="8"/>
  <c r="CM63" i="8"/>
  <c r="Y18" i="10" s="1"/>
  <c r="CW63" i="8"/>
  <c r="BG18" i="10" s="1"/>
  <c r="CF63" i="8"/>
  <c r="J18" i="10" s="1"/>
  <c r="CH63" i="8"/>
  <c r="AE18" i="10" s="1"/>
  <c r="CK63" i="8"/>
  <c r="AP18" i="10" s="1"/>
  <c r="CJ63" i="8"/>
  <c r="AM18" i="10" s="1"/>
  <c r="CS63" i="8"/>
  <c r="CU63" i="8"/>
  <c r="CR63" i="8"/>
  <c r="CI116" i="8"/>
  <c r="CM116" i="8"/>
  <c r="CS116" i="8"/>
  <c r="CP116" i="8"/>
  <c r="CU116" i="8"/>
  <c r="CW116" i="8"/>
  <c r="CQ116" i="8"/>
  <c r="CX116" i="8"/>
  <c r="CV116" i="8"/>
  <c r="CF116" i="8"/>
  <c r="CM94" i="8"/>
  <c r="CW94" i="8"/>
  <c r="CI94" i="8"/>
  <c r="CF94" i="8"/>
  <c r="CR94" i="8"/>
  <c r="CS94" i="8"/>
  <c r="CU94" i="8"/>
  <c r="CV94" i="8"/>
  <c r="CX94" i="8"/>
  <c r="CP94" i="8"/>
  <c r="CH94" i="8"/>
  <c r="CW136" i="8"/>
  <c r="CI136" i="8"/>
  <c r="CR136" i="8"/>
  <c r="CT136" i="8"/>
  <c r="CU136" i="8"/>
  <c r="CX136" i="8"/>
  <c r="CS136" i="8"/>
  <c r="CM136" i="8"/>
  <c r="CO136" i="8"/>
  <c r="CK136" i="8"/>
  <c r="CW106" i="8"/>
  <c r="CI106" i="8"/>
  <c r="CO106" i="8"/>
  <c r="CK106" i="8"/>
  <c r="CP106" i="8"/>
  <c r="CV106" i="8"/>
  <c r="CM106" i="8"/>
  <c r="CS106" i="8"/>
  <c r="CQ106" i="8"/>
  <c r="CJ106" i="8"/>
  <c r="CH106" i="8"/>
  <c r="CJ181" i="8"/>
  <c r="CV181" i="8"/>
  <c r="CU181" i="8"/>
  <c r="CH181" i="8"/>
  <c r="CQ181" i="8"/>
  <c r="CK181" i="8"/>
  <c r="CW181" i="8"/>
  <c r="CF181" i="8"/>
  <c r="CR181" i="8"/>
  <c r="CW149" i="8"/>
  <c r="CI149" i="8"/>
  <c r="CF149" i="8"/>
  <c r="CO149" i="8"/>
  <c r="CX149" i="8"/>
  <c r="CK149" i="8"/>
  <c r="CP149" i="8"/>
  <c r="CH149" i="8"/>
  <c r="CS149" i="8"/>
  <c r="CJ149" i="8"/>
  <c r="CV62" i="8"/>
  <c r="BB17" i="10" s="1"/>
  <c r="CJ78" i="8"/>
  <c r="CO78" i="8"/>
  <c r="CJ123" i="8"/>
  <c r="CH123" i="8"/>
  <c r="CQ130" i="8"/>
  <c r="CH130" i="8"/>
  <c r="CK131" i="8"/>
  <c r="CH131" i="8"/>
  <c r="CK128" i="8"/>
  <c r="CO128" i="8"/>
  <c r="CH110" i="8"/>
  <c r="CQ110" i="8"/>
  <c r="CK118" i="8"/>
  <c r="CF118" i="8"/>
  <c r="CJ134" i="8"/>
  <c r="CT134" i="8"/>
  <c r="CO63" i="8"/>
  <c r="AV18" i="10" s="1"/>
  <c r="CP63" i="8"/>
  <c r="CU106" i="8"/>
  <c r="CH186" i="8"/>
  <c r="CQ174" i="8"/>
  <c r="CH174" i="8"/>
  <c r="CS72" i="8"/>
  <c r="CX83" i="8"/>
  <c r="CR116" i="8"/>
  <c r="CJ116" i="8"/>
  <c r="CQ94" i="8"/>
  <c r="CQ149" i="8"/>
  <c r="CR149" i="8"/>
  <c r="CP99" i="8"/>
  <c r="CS181" i="8"/>
  <c r="CO73" i="8"/>
  <c r="AV28" i="10" s="1"/>
  <c r="CF73" i="8"/>
  <c r="CA28" i="10" s="1"/>
  <c r="CQ127" i="8"/>
  <c r="CH127" i="8"/>
  <c r="CK159" i="8"/>
  <c r="CU155" i="8"/>
  <c r="CH155" i="8"/>
  <c r="CF179" i="8"/>
  <c r="CH108" i="8"/>
  <c r="CX108" i="8"/>
  <c r="CH95" i="8"/>
  <c r="CX95" i="8"/>
  <c r="CO122" i="8"/>
  <c r="CO137" i="8"/>
  <c r="CF169" i="8"/>
  <c r="CQ176" i="8"/>
  <c r="CK105" i="8"/>
  <c r="CP136" i="8"/>
  <c r="CH136" i="8"/>
  <c r="CW191" i="8"/>
  <c r="CW72" i="8"/>
  <c r="BI27" i="10" s="1"/>
  <c r="CM131" i="8"/>
  <c r="CM179" i="8"/>
  <c r="CM128" i="8"/>
  <c r="CU64" i="8"/>
  <c r="CP64" i="8"/>
  <c r="CH61" i="8"/>
  <c r="AE16" i="10" s="1"/>
  <c r="CF61" i="8"/>
  <c r="J16" i="10" s="1"/>
  <c r="CQ62" i="8"/>
  <c r="CT78" i="8"/>
  <c r="CU78" i="8"/>
  <c r="CO71" i="8"/>
  <c r="AV26" i="10" s="1"/>
  <c r="CP71" i="8"/>
  <c r="CF123" i="8"/>
  <c r="CT123" i="8"/>
  <c r="CP157" i="8"/>
  <c r="CR157" i="8"/>
  <c r="CK130" i="8"/>
  <c r="CT130" i="8"/>
  <c r="CQ146" i="8"/>
  <c r="CF146" i="8"/>
  <c r="CX180" i="8"/>
  <c r="CT180" i="8"/>
  <c r="CR113" i="8"/>
  <c r="CR103" i="8"/>
  <c r="CX125" i="8"/>
  <c r="CX131" i="8"/>
  <c r="CT131" i="8"/>
  <c r="CF128" i="8"/>
  <c r="CR128" i="8"/>
  <c r="CO178" i="8"/>
  <c r="CS178" i="8"/>
  <c r="CV110" i="8"/>
  <c r="CK110" i="8"/>
  <c r="CQ118" i="8"/>
  <c r="CV118" i="8"/>
  <c r="CQ145" i="8"/>
  <c r="CS134" i="8"/>
  <c r="CO134" i="8"/>
  <c r="CT166" i="8"/>
  <c r="CV63" i="8"/>
  <c r="BD18" i="10" s="1"/>
  <c r="CH93" i="8"/>
  <c r="CR106" i="8"/>
  <c r="CX177" i="8"/>
  <c r="CV70" i="8"/>
  <c r="BD25" i="10" s="1"/>
  <c r="CQ135" i="8"/>
  <c r="CT135" i="8"/>
  <c r="CK186" i="8"/>
  <c r="CF186" i="8"/>
  <c r="CK148" i="8"/>
  <c r="CO174" i="8"/>
  <c r="CK72" i="8"/>
  <c r="AP27" i="10" s="1"/>
  <c r="CO83" i="8"/>
  <c r="CH81" i="8"/>
  <c r="CH116" i="8"/>
  <c r="CO116" i="8"/>
  <c r="CK94" i="8"/>
  <c r="CT149" i="8"/>
  <c r="CQ138" i="8"/>
  <c r="CH138" i="8"/>
  <c r="CH188" i="8"/>
  <c r="CF99" i="8"/>
  <c r="CT181" i="8"/>
  <c r="CQ73" i="8"/>
  <c r="CK127" i="8"/>
  <c r="CU159" i="8"/>
  <c r="CV159" i="8"/>
  <c r="CS191" i="8"/>
  <c r="CP155" i="8"/>
  <c r="CQ179" i="8"/>
  <c r="CV179" i="8"/>
  <c r="CV108" i="8"/>
  <c r="CS108" i="8"/>
  <c r="CJ95" i="8"/>
  <c r="CS122" i="8"/>
  <c r="CH122" i="8"/>
  <c r="CF137" i="8"/>
  <c r="CQ169" i="8"/>
  <c r="CV169" i="8"/>
  <c r="CJ136" i="8"/>
  <c r="CJ168" i="8"/>
  <c r="CH168" i="8"/>
  <c r="CS164" i="8"/>
  <c r="CI63" i="8"/>
  <c r="AJ18" i="10" s="1"/>
  <c r="CI127" i="8"/>
  <c r="CW123" i="8"/>
  <c r="CM123" i="8"/>
  <c r="CP192" i="8"/>
  <c r="CS192" i="8"/>
  <c r="CI72" i="8"/>
  <c r="AJ27" i="10" s="1"/>
  <c r="CT72" i="8"/>
  <c r="CV72" i="8"/>
  <c r="BC27" i="10" s="1"/>
  <c r="CR72" i="8"/>
  <c r="CP72" i="8"/>
  <c r="CO72" i="8"/>
  <c r="AV27" i="10" s="1"/>
  <c r="CX72" i="8"/>
  <c r="CH72" i="8"/>
  <c r="AE27" i="10" s="1"/>
  <c r="CI177" i="8"/>
  <c r="CM177" i="8"/>
  <c r="CV177" i="8"/>
  <c r="CQ177" i="8"/>
  <c r="CJ177" i="8"/>
  <c r="CW177" i="8"/>
  <c r="CF177" i="8"/>
  <c r="CO177" i="8"/>
  <c r="CT177" i="8"/>
  <c r="CM145" i="8"/>
  <c r="CW145" i="8"/>
  <c r="CH145" i="8"/>
  <c r="CK145" i="8"/>
  <c r="CT145" i="8"/>
  <c r="CU145" i="8"/>
  <c r="CR145" i="8"/>
  <c r="CS145" i="8"/>
  <c r="CP145" i="8"/>
  <c r="CJ145" i="8"/>
  <c r="CI113" i="8"/>
  <c r="CM113" i="8"/>
  <c r="CO113" i="8"/>
  <c r="CK113" i="8"/>
  <c r="CV113" i="8"/>
  <c r="CU113" i="8"/>
  <c r="CS113" i="8"/>
  <c r="CQ113" i="8"/>
  <c r="CJ113" i="8"/>
  <c r="CH113" i="8"/>
  <c r="CW81" i="8"/>
  <c r="CM81" i="8"/>
  <c r="CI81" i="8"/>
  <c r="CU81" i="8"/>
  <c r="CV81" i="8"/>
  <c r="CF81" i="8"/>
  <c r="CO81" i="8"/>
  <c r="CR81" i="8"/>
  <c r="CS81" i="8"/>
  <c r="CP81" i="8"/>
  <c r="CM188" i="8"/>
  <c r="CW188" i="8"/>
  <c r="CI188" i="8"/>
  <c r="CT188" i="8"/>
  <c r="CS188" i="8"/>
  <c r="CQ188" i="8"/>
  <c r="CF188" i="8"/>
  <c r="CR188" i="8"/>
  <c r="CK188" i="8"/>
  <c r="CJ188" i="8"/>
  <c r="CV188" i="8"/>
  <c r="CU188" i="8"/>
  <c r="CM166" i="8"/>
  <c r="CV166" i="8"/>
  <c r="CQ166" i="8"/>
  <c r="CI166" i="8"/>
  <c r="CF166" i="8"/>
  <c r="CO166" i="8"/>
  <c r="CJ166" i="8"/>
  <c r="CW64" i="8"/>
  <c r="BH19" i="10" s="1"/>
  <c r="CM64" i="8"/>
  <c r="Y19" i="10" s="1"/>
  <c r="CI64" i="8"/>
  <c r="AJ19" i="10" s="1"/>
  <c r="CF64" i="8"/>
  <c r="J19" i="10" s="1"/>
  <c r="CO64" i="8"/>
  <c r="AV19" i="10" s="1"/>
  <c r="CK64" i="8"/>
  <c r="AP19" i="10" s="1"/>
  <c r="CJ64" i="8"/>
  <c r="AM19" i="10" s="1"/>
  <c r="AS19" i="10" s="1"/>
  <c r="CS64" i="8"/>
  <c r="CH64" i="8"/>
  <c r="AE19" i="10" s="1"/>
  <c r="CX64" i="8"/>
  <c r="CW178" i="8"/>
  <c r="CI178" i="8"/>
  <c r="CV178" i="8"/>
  <c r="CU178" i="8"/>
  <c r="CF178" i="8"/>
  <c r="CP178" i="8"/>
  <c r="CQ178" i="8"/>
  <c r="CW70" i="8"/>
  <c r="BE25" i="10" s="1"/>
  <c r="CF70" i="8"/>
  <c r="J25" i="10" s="1"/>
  <c r="CO70" i="8"/>
  <c r="AV25" i="10" s="1"/>
  <c r="CX70" i="8"/>
  <c r="CI70" i="8"/>
  <c r="AJ25" i="10" s="1"/>
  <c r="CJ70" i="8"/>
  <c r="AM25" i="10" s="1"/>
  <c r="CS70" i="8"/>
  <c r="CH70" i="8"/>
  <c r="AE25" i="10" s="1"/>
  <c r="CK70" i="8"/>
  <c r="AP25" i="10" s="1"/>
  <c r="CI167" i="8"/>
  <c r="CF167" i="8"/>
  <c r="CO167" i="8"/>
  <c r="CX167" i="8"/>
  <c r="CM167" i="8"/>
  <c r="CK167" i="8"/>
  <c r="CP167" i="8"/>
  <c r="CH167" i="8"/>
  <c r="CS167" i="8"/>
  <c r="CU167" i="8"/>
  <c r="CI135" i="8"/>
  <c r="CW135" i="8"/>
  <c r="CV135" i="8"/>
  <c r="CJ135" i="8"/>
  <c r="CF135" i="8"/>
  <c r="CM135" i="8"/>
  <c r="CS135" i="8"/>
  <c r="CX135" i="8"/>
  <c r="CM103" i="8"/>
  <c r="CW103" i="8"/>
  <c r="CI103" i="8"/>
  <c r="CO103" i="8"/>
  <c r="CK103" i="8"/>
  <c r="CP103" i="8"/>
  <c r="CV103" i="8"/>
  <c r="CS103" i="8"/>
  <c r="CQ103" i="8"/>
  <c r="CJ103" i="8"/>
  <c r="CH103" i="8"/>
  <c r="CM71" i="8"/>
  <c r="Y26" i="10" s="1"/>
  <c r="CI71" i="8"/>
  <c r="AJ26" i="10" s="1"/>
  <c r="CW71" i="8"/>
  <c r="BF26" i="10" s="1"/>
  <c r="CF71" i="8"/>
  <c r="J26" i="10" s="1"/>
  <c r="CH71" i="8"/>
  <c r="AE26" i="10" s="1"/>
  <c r="CK71" i="8"/>
  <c r="AP26" i="10" s="1"/>
  <c r="CJ71" i="8"/>
  <c r="AM26" i="10" s="1"/>
  <c r="CS71" i="8"/>
  <c r="CU71" i="8"/>
  <c r="CR71" i="8"/>
  <c r="CM148" i="8"/>
  <c r="CF148" i="8"/>
  <c r="CO148" i="8"/>
  <c r="CJ148" i="8"/>
  <c r="CW148" i="8"/>
  <c r="CH148" i="8"/>
  <c r="CS148" i="8"/>
  <c r="CP148" i="8"/>
  <c r="CR148" i="8"/>
  <c r="CX148" i="8"/>
  <c r="CU126" i="8"/>
  <c r="CJ126" i="8"/>
  <c r="CI126" i="8"/>
  <c r="CV126" i="8"/>
  <c r="CQ126" i="8"/>
  <c r="CK126" i="8"/>
  <c r="CO126" i="8"/>
  <c r="CF126" i="8"/>
  <c r="CI168" i="8"/>
  <c r="CF168" i="8"/>
  <c r="CO168" i="8"/>
  <c r="CX168" i="8"/>
  <c r="CR168" i="8"/>
  <c r="CP168" i="8"/>
  <c r="CW168" i="8"/>
  <c r="CV168" i="8"/>
  <c r="CT168" i="8"/>
  <c r="CQ168" i="8"/>
  <c r="CM138" i="8"/>
  <c r="CR138" i="8"/>
  <c r="CS138" i="8"/>
  <c r="CU138" i="8"/>
  <c r="CX138" i="8"/>
  <c r="CW138" i="8"/>
  <c r="CI138" i="8"/>
  <c r="CV138" i="8"/>
  <c r="CO138" i="8"/>
  <c r="CJ138" i="8"/>
  <c r="CF138" i="8"/>
  <c r="CT138" i="8"/>
  <c r="CW189" i="8"/>
  <c r="CI189" i="8"/>
  <c r="CF189" i="8"/>
  <c r="CV189" i="8"/>
  <c r="CK189" i="8"/>
  <c r="CR189" i="8"/>
  <c r="CJ189" i="8"/>
  <c r="CO189" i="8"/>
  <c r="CQ189" i="8"/>
  <c r="CS189" i="8"/>
  <c r="CV157" i="8"/>
  <c r="CU157" i="8"/>
  <c r="CW157" i="8"/>
  <c r="CF157" i="8"/>
  <c r="CO157" i="8"/>
  <c r="CX157" i="8"/>
  <c r="CW125" i="8"/>
  <c r="CI125" i="8"/>
  <c r="CM125" i="8"/>
  <c r="CV125" i="8"/>
  <c r="CP125" i="8"/>
  <c r="CK125" i="8"/>
  <c r="CU125" i="8"/>
  <c r="CQ125" i="8"/>
  <c r="CW93" i="8"/>
  <c r="CM93" i="8"/>
  <c r="CX93" i="8"/>
  <c r="CU93" i="8"/>
  <c r="CT93" i="8"/>
  <c r="CF93" i="8"/>
  <c r="CR93" i="8"/>
  <c r="CM61" i="8"/>
  <c r="Y16" i="10" s="1"/>
  <c r="CW61" i="8"/>
  <c r="BJ16" i="10" s="1"/>
  <c r="CP61" i="8"/>
  <c r="CQ61" i="8"/>
  <c r="CO61" i="8"/>
  <c r="AV16" i="10" s="1"/>
  <c r="CI61" i="8"/>
  <c r="AJ16" i="10" s="1"/>
  <c r="CT61" i="8"/>
  <c r="CV61" i="8"/>
  <c r="BB16" i="10" s="1"/>
  <c r="CK61" i="8"/>
  <c r="AP16" i="10" s="1"/>
  <c r="CW117" i="8"/>
  <c r="CI117" i="8"/>
  <c r="CF117" i="8"/>
  <c r="CO117" i="8"/>
  <c r="CK117" i="8"/>
  <c r="CW85" i="8"/>
  <c r="CV85" i="8"/>
  <c r="CJ85" i="8"/>
  <c r="CU85" i="8"/>
  <c r="CS117" i="8"/>
  <c r="CT117" i="8"/>
  <c r="CR117" i="8"/>
  <c r="CM85" i="8"/>
  <c r="CW98" i="8"/>
  <c r="CI98" i="8"/>
  <c r="CM88" i="8"/>
  <c r="CW88" i="8"/>
  <c r="CK88" i="8"/>
  <c r="CO88" i="8"/>
  <c r="CX88" i="8"/>
  <c r="CF88" i="8"/>
  <c r="CM59" i="8"/>
  <c r="Y14" i="10" s="1"/>
  <c r="CW59" i="8"/>
  <c r="BH14" i="10" s="1"/>
  <c r="CI59" i="8"/>
  <c r="AJ14" i="10" s="1"/>
  <c r="CJ59" i="8"/>
  <c r="AM14" i="10" s="1"/>
  <c r="CS59" i="8"/>
  <c r="CU59" i="8"/>
  <c r="CR59" i="8"/>
  <c r="CM185" i="8"/>
  <c r="CW185" i="8"/>
  <c r="CI185" i="8"/>
  <c r="CJ185" i="8"/>
  <c r="CV185" i="8"/>
  <c r="CR185" i="8"/>
  <c r="CO185" i="8"/>
  <c r="CR132" i="8"/>
  <c r="CT132" i="8"/>
  <c r="CK132" i="8"/>
  <c r="CF132" i="8"/>
  <c r="CM96" i="8"/>
  <c r="CM182" i="8"/>
  <c r="CT182" i="8"/>
  <c r="CK182" i="8"/>
  <c r="CS182" i="8"/>
  <c r="CW129" i="8"/>
  <c r="CI129" i="8"/>
  <c r="CW97" i="8"/>
  <c r="CW65" i="8"/>
  <c r="BE20" i="10" s="1"/>
  <c r="CW124" i="8"/>
  <c r="CI124" i="8"/>
  <c r="CS102" i="8"/>
  <c r="CQ102" i="8"/>
  <c r="CJ102" i="8"/>
  <c r="CH102" i="8"/>
  <c r="CW144" i="8"/>
  <c r="CI144" i="8"/>
  <c r="CM114" i="8"/>
  <c r="CS114" i="8"/>
  <c r="CV114" i="8"/>
  <c r="CP114" i="8"/>
  <c r="CH114" i="8"/>
  <c r="CI183" i="8"/>
  <c r="CJ183" i="8"/>
  <c r="CV183" i="8"/>
  <c r="CK183" i="8"/>
  <c r="CU183" i="8"/>
  <c r="CF151" i="8"/>
  <c r="CO151" i="8"/>
  <c r="CJ151" i="8"/>
  <c r="CM119" i="8"/>
  <c r="CF119" i="8"/>
  <c r="CK119" i="8"/>
  <c r="CW87" i="8"/>
  <c r="CM87" i="8"/>
  <c r="CU87" i="8"/>
  <c r="CJ87" i="8"/>
  <c r="CV87" i="8"/>
  <c r="CM56" i="8"/>
  <c r="Y11" i="10" s="1"/>
  <c r="CI56" i="8"/>
  <c r="AJ11" i="10" s="1"/>
  <c r="CW190" i="8"/>
  <c r="CI190" i="8"/>
  <c r="CJ190" i="8"/>
  <c r="CS190" i="8"/>
  <c r="CU190" i="8"/>
  <c r="CX190" i="8"/>
  <c r="CM76" i="8"/>
  <c r="CW76" i="8"/>
  <c r="BB31" i="10" s="1"/>
  <c r="CJ76" i="8"/>
  <c r="CS76" i="8"/>
  <c r="CH76" i="8"/>
  <c r="CX76" i="8"/>
  <c r="CM104" i="8"/>
  <c r="CF104" i="8"/>
  <c r="CR104" i="8"/>
  <c r="CW82" i="8"/>
  <c r="CI82" i="8"/>
  <c r="CU82" i="8"/>
  <c r="CV82" i="8"/>
  <c r="CF82" i="8"/>
  <c r="CM173" i="8"/>
  <c r="CW141" i="8"/>
  <c r="CI141" i="8"/>
  <c r="CW109" i="8"/>
  <c r="CF109" i="8"/>
  <c r="CR109" i="8"/>
  <c r="CM77" i="8"/>
  <c r="CS56" i="8"/>
  <c r="CR56" i="8"/>
  <c r="CO56" i="8"/>
  <c r="AV11" i="10" s="1"/>
  <c r="CP85" i="8"/>
  <c r="CT85" i="8"/>
  <c r="CQ85" i="8"/>
  <c r="CV96" i="8"/>
  <c r="CP96" i="8"/>
  <c r="CK96" i="8"/>
  <c r="CO96" i="8"/>
  <c r="CK124" i="8"/>
  <c r="CQ124" i="8"/>
  <c r="CO124" i="8"/>
  <c r="CH124" i="8"/>
  <c r="CT97" i="8"/>
  <c r="CU97" i="8"/>
  <c r="CX97" i="8"/>
  <c r="CK115" i="8"/>
  <c r="CF115" i="8"/>
  <c r="CQ115" i="8"/>
  <c r="CO115" i="8"/>
  <c r="CU141" i="8"/>
  <c r="CT141" i="8"/>
  <c r="CK141" i="8"/>
  <c r="CH141" i="8"/>
  <c r="CU173" i="8"/>
  <c r="CT173" i="8"/>
  <c r="CK173" i="8"/>
  <c r="CH173" i="8"/>
  <c r="CX163" i="8"/>
  <c r="CT163" i="8"/>
  <c r="CK163" i="8"/>
  <c r="CH163" i="8"/>
  <c r="CJ144" i="8"/>
  <c r="CT144" i="8"/>
  <c r="CK144" i="8"/>
  <c r="CH144" i="8"/>
  <c r="CO65" i="8"/>
  <c r="AV20" i="10" s="1"/>
  <c r="CQ65" i="8"/>
  <c r="CP65" i="8"/>
  <c r="CX77" i="8"/>
  <c r="CH77" i="8"/>
  <c r="CF77" i="8"/>
  <c r="CK129" i="8"/>
  <c r="CP129" i="8"/>
  <c r="CV129" i="8"/>
  <c r="CU161" i="8"/>
  <c r="CV161" i="8"/>
  <c r="CT98" i="8"/>
  <c r="CU98" i="8"/>
  <c r="CX98" i="8"/>
  <c r="CX152" i="8"/>
  <c r="CT152" i="8"/>
  <c r="CK152" i="8"/>
  <c r="CH152" i="8"/>
  <c r="CX151" i="8"/>
  <c r="CR151" i="8"/>
  <c r="CR183" i="8"/>
  <c r="CQ183" i="8"/>
  <c r="CS88" i="8"/>
  <c r="CJ88" i="8"/>
  <c r="CQ88" i="8"/>
  <c r="CT104" i="8"/>
  <c r="CQ104" i="8"/>
  <c r="CO104" i="8"/>
  <c r="CS119" i="8"/>
  <c r="CP119" i="8"/>
  <c r="CV119" i="8"/>
  <c r="CP102" i="8"/>
  <c r="CF87" i="8"/>
  <c r="CT87" i="8"/>
  <c r="CK87" i="8"/>
  <c r="CX182" i="8"/>
  <c r="CQ182" i="8"/>
  <c r="CU76" i="8"/>
  <c r="CO59" i="8"/>
  <c r="AV14" i="10" s="1"/>
  <c r="AA14" i="10"/>
  <c r="CJ82" i="8"/>
  <c r="CH82" i="8"/>
  <c r="CQ82" i="8"/>
  <c r="CK114" i="8"/>
  <c r="CJ114" i="8"/>
  <c r="CJ109" i="8"/>
  <c r="CK109" i="8"/>
  <c r="CS185" i="8"/>
  <c r="CU185" i="8"/>
  <c r="CP185" i="8"/>
  <c r="CQ117" i="8"/>
  <c r="CP117" i="8"/>
  <c r="CH117" i="8"/>
  <c r="CU132" i="8"/>
  <c r="CO132" i="8"/>
  <c r="CV190" i="8"/>
  <c r="CF190" i="8"/>
  <c r="CI114" i="8"/>
  <c r="CI132" i="8"/>
  <c r="CI96" i="8"/>
  <c r="CI152" i="8"/>
  <c r="CI119" i="8"/>
  <c r="CI109" i="8"/>
  <c r="CI102" i="8"/>
  <c r="CI161" i="8"/>
  <c r="CI88" i="8"/>
  <c r="CW183" i="8"/>
  <c r="CW161" i="8"/>
  <c r="CW104" i="8"/>
  <c r="CM163" i="8"/>
  <c r="CM152" i="8"/>
  <c r="CM98" i="8"/>
  <c r="CM183" i="8"/>
  <c r="AH25" i="10"/>
  <c r="AH26" i="10"/>
  <c r="BL27" i="10"/>
  <c r="BL30" i="10"/>
  <c r="AH19" i="10"/>
  <c r="BL15" i="10"/>
  <c r="BL25" i="10"/>
  <c r="AH11" i="10"/>
  <c r="BL21" i="10"/>
  <c r="AH21" i="10"/>
  <c r="AS25" i="10"/>
  <c r="BL11" i="10"/>
  <c r="AH13" i="10"/>
  <c r="BL18" i="10"/>
  <c r="BL20" i="10"/>
  <c r="BL12" i="10"/>
  <c r="BA19" i="10" l="1"/>
  <c r="BB19" i="10"/>
  <c r="BD19" i="10"/>
  <c r="BG22" i="10"/>
  <c r="BB30" i="10"/>
  <c r="BE30" i="10"/>
  <c r="BA26" i="10"/>
  <c r="BA30" i="10"/>
  <c r="BC26" i="10"/>
  <c r="BC30" i="10"/>
  <c r="BJ30" i="10"/>
  <c r="BB26" i="10"/>
  <c r="BI30" i="10"/>
  <c r="BG26" i="10"/>
  <c r="BF30" i="10"/>
  <c r="BH30" i="10"/>
  <c r="BE28" i="10"/>
  <c r="BK30" i="10"/>
  <c r="BJ22" i="10"/>
  <c r="BI28" i="10"/>
  <c r="BH11" i="10"/>
  <c r="BJ28" i="10"/>
  <c r="BG28" i="10"/>
  <c r="BH28" i="10"/>
  <c r="BK28" i="10"/>
  <c r="BB13" i="10"/>
  <c r="BF16" i="10"/>
  <c r="BA13" i="10"/>
  <c r="BJ15" i="10"/>
  <c r="BI22" i="10"/>
  <c r="BF22" i="10"/>
  <c r="BH22" i="10"/>
  <c r="BD13" i="10"/>
  <c r="BE22" i="10"/>
  <c r="BC17" i="10"/>
  <c r="BA18" i="10"/>
  <c r="BJ24" i="10"/>
  <c r="BC14" i="10"/>
  <c r="BC16" i="10"/>
  <c r="AW31" i="10"/>
  <c r="CA11" i="10"/>
  <c r="BJ29" i="10"/>
  <c r="BI18" i="10"/>
  <c r="J14" i="10"/>
  <c r="BA15" i="10"/>
  <c r="BK23" i="10"/>
  <c r="BF13" i="10"/>
  <c r="BI12" i="10"/>
  <c r="CA20" i="10"/>
  <c r="CA21" i="10"/>
  <c r="BC29" i="10"/>
  <c r="BB15" i="10"/>
  <c r="BC20" i="10"/>
  <c r="BI13" i="10"/>
  <c r="BK12" i="10"/>
  <c r="BB18" i="10"/>
  <c r="BD17" i="10"/>
  <c r="BE18" i="10"/>
  <c r="BI16" i="10"/>
  <c r="BA31" i="10"/>
  <c r="J22" i="10"/>
  <c r="J24" i="10"/>
  <c r="J28" i="10"/>
  <c r="J29" i="10"/>
  <c r="BH18" i="10"/>
  <c r="BF21" i="10"/>
  <c r="AZ31" i="10"/>
  <c r="BK20" i="10"/>
  <c r="CA30" i="10"/>
  <c r="CA19" i="10"/>
  <c r="BB12" i="10"/>
  <c r="BC18" i="10"/>
  <c r="BJ17" i="10"/>
  <c r="BG16" i="10"/>
  <c r="BF20" i="10"/>
  <c r="BA14" i="10"/>
  <c r="BD14" i="10"/>
  <c r="BD15" i="10"/>
  <c r="BI11" i="10"/>
  <c r="BF27" i="10"/>
  <c r="BI23" i="10"/>
  <c r="BH13" i="10"/>
  <c r="BI21" i="10"/>
  <c r="BH29" i="10"/>
  <c r="J23" i="10"/>
  <c r="BC11" i="10"/>
  <c r="BD29" i="10"/>
  <c r="BG23" i="10"/>
  <c r="BI17" i="10"/>
  <c r="BG24" i="10"/>
  <c r="BF12" i="10"/>
  <c r="BA21" i="10"/>
  <c r="BD24" i="10"/>
  <c r="BE15" i="10"/>
  <c r="CA15" i="10"/>
  <c r="BB22" i="10"/>
  <c r="BC21" i="10"/>
  <c r="BC24" i="10"/>
  <c r="BB20" i="10"/>
  <c r="BF23" i="10"/>
  <c r="BH23" i="10"/>
  <c r="BH15" i="10"/>
  <c r="BF19" i="10"/>
  <c r="BJ13" i="10"/>
  <c r="BH12" i="10"/>
  <c r="BE29" i="10"/>
  <c r="BI29" i="10"/>
  <c r="BA23" i="10"/>
  <c r="BA24" i="10"/>
  <c r="BC12" i="10"/>
  <c r="BC25" i="10"/>
  <c r="BA16" i="10"/>
  <c r="BA20" i="10"/>
  <c r="BB28" i="10"/>
  <c r="BB29" i="10"/>
  <c r="BE23" i="10"/>
  <c r="BF15" i="10"/>
  <c r="BI25" i="10"/>
  <c r="BJ18" i="10"/>
  <c r="BE13" i="10"/>
  <c r="BG13" i="10"/>
  <c r="BE16" i="10"/>
  <c r="BG12" i="10"/>
  <c r="BK29" i="10"/>
  <c r="BF29" i="10"/>
  <c r="AX31" i="10"/>
  <c r="BI20" i="10"/>
  <c r="CA18" i="10"/>
  <c r="BA11" i="10"/>
  <c r="BJ11" i="10"/>
  <c r="BF11" i="10"/>
  <c r="BH27" i="10"/>
  <c r="BE26" i="10"/>
  <c r="BG17" i="10"/>
  <c r="BF24" i="10"/>
  <c r="BI24" i="10"/>
  <c r="BH21" i="10"/>
  <c r="CA13" i="10"/>
  <c r="CA17" i="10"/>
  <c r="BA22" i="10"/>
  <c r="BB23" i="10"/>
  <c r="BC22" i="10"/>
  <c r="BD23" i="10"/>
  <c r="BD27" i="10"/>
  <c r="BD11" i="10"/>
  <c r="BK11" i="10"/>
  <c r="BE11" i="10"/>
  <c r="BJ27" i="10"/>
  <c r="BE27" i="10"/>
  <c r="BH26" i="10"/>
  <c r="BK15" i="10"/>
  <c r="BE17" i="10"/>
  <c r="BJ14" i="10"/>
  <c r="BK24" i="10"/>
  <c r="BE21" i="10"/>
  <c r="BG21" i="10"/>
  <c r="CA12" i="10"/>
  <c r="BA12" i="10"/>
  <c r="BB21" i="10"/>
  <c r="BG27" i="10"/>
  <c r="BJ26" i="10"/>
  <c r="BK26" i="10"/>
  <c r="BG15" i="10"/>
  <c r="BK25" i="10"/>
  <c r="BF17" i="10"/>
  <c r="BG14" i="10"/>
  <c r="BH24" i="10"/>
  <c r="BJ21" i="10"/>
  <c r="BJ12" i="10"/>
  <c r="CP50" i="8"/>
  <c r="BK14" i="10"/>
  <c r="CA27" i="10"/>
  <c r="BB27" i="10"/>
  <c r="BF14" i="10"/>
  <c r="BI14" i="10"/>
  <c r="BA27" i="10"/>
  <c r="BE14" i="10"/>
  <c r="BA25" i="10"/>
  <c r="BB25" i="10"/>
  <c r="BC28" i="10"/>
  <c r="BH25" i="10"/>
  <c r="BJ25" i="10"/>
  <c r="BI19" i="10"/>
  <c r="BG19" i="10"/>
  <c r="CP49" i="8"/>
  <c r="BD16" i="10"/>
  <c r="CP51" i="8"/>
  <c r="BD28" i="10"/>
  <c r="BF25" i="10"/>
  <c r="BK19" i="10"/>
  <c r="BE19" i="10"/>
  <c r="BF18" i="10"/>
  <c r="BK18" i="10"/>
  <c r="BK16" i="10"/>
  <c r="BC31" i="10"/>
  <c r="BG20" i="10"/>
  <c r="BH20" i="10"/>
  <c r="CA26" i="10"/>
  <c r="CA16" i="10"/>
  <c r="CA25" i="10"/>
  <c r="BA17" i="10"/>
  <c r="BK27" i="10"/>
  <c r="BI26" i="10"/>
  <c r="BG25" i="10"/>
  <c r="BH17" i="10"/>
  <c r="BJ19" i="10"/>
  <c r="BH16" i="10"/>
  <c r="AY31" i="10"/>
  <c r="BJ20" i="10"/>
  <c r="AB93" i="9"/>
  <c r="AG111" i="9"/>
  <c r="V35" i="9"/>
  <c r="AB64" i="9"/>
  <c r="AP92" i="9"/>
  <c r="BB69" i="9"/>
  <c r="AB24" i="9"/>
  <c r="AB90" i="9"/>
  <c r="AG101" i="9"/>
  <c r="AD51" i="9"/>
  <c r="AG96" i="9"/>
  <c r="AG56" i="9"/>
  <c r="AB94" i="9"/>
  <c r="AG73" i="9"/>
  <c r="AB125" i="9"/>
  <c r="AM42" i="9"/>
  <c r="AM131" i="9"/>
  <c r="AO27" i="9"/>
  <c r="AP65" i="9"/>
  <c r="N29" i="9"/>
  <c r="V76" i="9"/>
  <c r="N95" i="9"/>
  <c r="V22" i="9"/>
  <c r="BB136" i="9"/>
  <c r="BB16" i="9"/>
  <c r="N127" i="9"/>
  <c r="AO31" i="9"/>
  <c r="AV54" i="9"/>
  <c r="BB46" i="9"/>
  <c r="BB38" i="9"/>
  <c r="V117" i="9"/>
  <c r="AM78" i="9"/>
  <c r="AP97" i="9"/>
  <c r="N66" i="9"/>
  <c r="AD17" i="9"/>
  <c r="V41" i="9"/>
  <c r="AD19" i="9"/>
  <c r="N50" i="9"/>
  <c r="AP52" i="9"/>
  <c r="N25" i="9"/>
  <c r="AD47" i="9"/>
  <c r="AD88" i="9"/>
  <c r="AO63" i="9"/>
  <c r="BB83" i="9"/>
  <c r="AB48" i="9"/>
  <c r="AD68" i="9"/>
  <c r="AP37" i="9"/>
  <c r="N133" i="9"/>
  <c r="BB34" i="9"/>
  <c r="AO128" i="9"/>
  <c r="AM121" i="9"/>
  <c r="N123" i="9"/>
  <c r="V120" i="9"/>
  <c r="AM43" i="9"/>
  <c r="AO30" i="9"/>
  <c r="V137" i="9"/>
  <c r="V40" i="9"/>
  <c r="N118" i="9"/>
  <c r="AP74" i="9"/>
  <c r="AM107" i="9"/>
  <c r="AB23" i="9"/>
  <c r="AM138" i="9"/>
  <c r="N55" i="9"/>
  <c r="AP72" i="9"/>
  <c r="AD62" i="9"/>
  <c r="AG106" i="9"/>
  <c r="N57" i="9"/>
  <c r="V124" i="9"/>
  <c r="AD13" i="9"/>
  <c r="BB130" i="9"/>
  <c r="V104" i="9"/>
  <c r="AD99" i="9"/>
  <c r="N67" i="9"/>
  <c r="BB81" i="9"/>
  <c r="BB122" i="9"/>
  <c r="N28" i="9"/>
  <c r="AG77" i="9"/>
  <c r="AH27" i="10"/>
  <c r="AS18" i="10"/>
  <c r="AS28" i="10"/>
  <c r="AS14" i="10"/>
  <c r="AS21" i="10"/>
  <c r="AH28" i="10"/>
  <c r="AS17" i="10"/>
  <c r="AH29" i="10"/>
  <c r="AH24" i="10"/>
  <c r="AS16" i="10"/>
  <c r="AS11" i="10"/>
  <c r="AH23" i="10"/>
  <c r="AS20" i="10"/>
  <c r="AS22" i="10"/>
  <c r="AH20" i="10"/>
  <c r="BL23" i="10"/>
  <c r="AS27" i="10"/>
  <c r="AH16" i="10"/>
  <c r="AS12" i="10"/>
  <c r="BL14" i="10"/>
  <c r="AH15" i="10"/>
  <c r="BL22" i="10"/>
  <c r="BL28" i="10"/>
  <c r="AS26" i="10"/>
  <c r="AS30" i="10"/>
  <c r="BL16" i="10"/>
  <c r="AH17" i="10"/>
  <c r="AH18" i="10"/>
  <c r="AS23" i="10"/>
  <c r="AH12" i="10"/>
  <c r="BL17" i="10"/>
  <c r="BL13" i="10"/>
  <c r="BL26" i="10"/>
  <c r="BL19" i="10"/>
  <c r="AS24" i="10"/>
  <c r="AH14" i="10"/>
  <c r="AS29" i="10"/>
  <c r="AP56" i="8" l="1"/>
  <c r="AR12" i="9" s="1"/>
  <c r="AO56" i="8"/>
  <c r="AM56" i="8"/>
  <c r="AP12" i="9" s="1"/>
  <c r="AN56" i="8"/>
  <c r="AG12" i="9" s="1"/>
  <c r="AK56" i="8"/>
  <c r="AN12" i="9" s="1"/>
  <c r="AL56" i="8"/>
  <c r="AO12" i="9" s="1"/>
  <c r="AH56" i="8"/>
  <c r="AJ56" i="8"/>
  <c r="AM12" i="9" s="1"/>
  <c r="AG56" i="8"/>
  <c r="V12" i="9" s="1"/>
  <c r="AI56" i="8"/>
  <c r="AL12" i="9" s="1"/>
  <c r="AE56" i="8"/>
  <c r="AD12" i="9" s="1"/>
  <c r="AF56" i="8"/>
  <c r="AE12" i="9" s="1"/>
  <c r="AC56" i="8"/>
  <c r="AB12" i="9" s="1"/>
  <c r="AD56" i="8"/>
  <c r="AC12" i="9" s="1"/>
  <c r="BB12" i="9"/>
  <c r="AB56" i="8"/>
  <c r="AA12" i="9" s="1"/>
  <c r="AV12" i="9"/>
  <c r="V91" i="9"/>
  <c r="AP101" i="9"/>
  <c r="AG36" i="9"/>
  <c r="AO91" i="9"/>
  <c r="AP91" i="9"/>
  <c r="AO36" i="9"/>
  <c r="N91" i="9"/>
  <c r="BB36" i="9"/>
  <c r="BB91" i="9"/>
  <c r="AD102" i="9"/>
  <c r="AE91" i="9"/>
  <c r="BB102" i="9"/>
  <c r="AG91" i="9"/>
  <c r="AB59" i="9"/>
  <c r="BB59" i="9"/>
  <c r="AV36" i="9"/>
  <c r="N101" i="9"/>
  <c r="AM110" i="9"/>
  <c r="AB113" i="9"/>
  <c r="AO113" i="9"/>
  <c r="N36" i="9"/>
  <c r="AD36" i="9"/>
  <c r="V101" i="9"/>
  <c r="AG102" i="9"/>
  <c r="AO102" i="9"/>
  <c r="AP36" i="9"/>
  <c r="AD96" i="9"/>
  <c r="BB113" i="9"/>
  <c r="N113" i="9"/>
  <c r="V77" i="9"/>
  <c r="V59" i="9"/>
  <c r="AE102" i="9"/>
  <c r="AE77" i="9"/>
  <c r="AP96" i="9"/>
  <c r="AM59" i="9"/>
  <c r="AO101" i="9"/>
  <c r="AB102" i="9"/>
  <c r="AM113" i="9"/>
  <c r="AP102" i="9"/>
  <c r="BB101" i="9"/>
  <c r="AE59" i="9"/>
  <c r="AG113" i="9"/>
  <c r="AB77" i="9"/>
  <c r="AD101" i="9"/>
  <c r="N96" i="9"/>
  <c r="AM96" i="9"/>
  <c r="AB91" i="9"/>
  <c r="AM91" i="9"/>
  <c r="AP113" i="9"/>
  <c r="AD113" i="9"/>
  <c r="AP77" i="9"/>
  <c r="AB96" i="9"/>
  <c r="AE96" i="9"/>
  <c r="V36" i="9"/>
  <c r="V102" i="9"/>
  <c r="AE101" i="9"/>
  <c r="AG59" i="9"/>
  <c r="AM13" i="9"/>
  <c r="AP25" i="9"/>
  <c r="AO22" i="9"/>
  <c r="AV22" i="9"/>
  <c r="AO77" i="9"/>
  <c r="AD77" i="9"/>
  <c r="AB36" i="9"/>
  <c r="N102" i="9"/>
  <c r="AD120" i="9"/>
  <c r="AP59" i="9"/>
  <c r="AD59" i="9"/>
  <c r="AO59" i="9"/>
  <c r="AM101" i="9"/>
  <c r="AE38" i="9"/>
  <c r="AM36" i="9"/>
  <c r="AD91" i="9"/>
  <c r="AE113" i="9"/>
  <c r="BB77" i="9"/>
  <c r="AM102" i="9"/>
  <c r="AV59" i="9"/>
  <c r="V113" i="9"/>
  <c r="N59" i="9"/>
  <c r="BB96" i="9"/>
  <c r="N77" i="9"/>
  <c r="AE134" i="9"/>
  <c r="AO96" i="9"/>
  <c r="AM77" i="9"/>
  <c r="AB101" i="9"/>
  <c r="V96" i="9"/>
  <c r="AE98" i="9"/>
  <c r="AB99" i="9"/>
  <c r="AM98" i="9"/>
  <c r="AD117" i="9"/>
  <c r="AM99" i="9"/>
  <c r="V109" i="9"/>
  <c r="AG119" i="9"/>
  <c r="N34" i="9"/>
  <c r="AO82" i="9"/>
  <c r="N92" i="9"/>
  <c r="AP84" i="9"/>
  <c r="AD21" i="9"/>
  <c r="AE17" i="9"/>
  <c r="AB92" i="9"/>
  <c r="AM123" i="9"/>
  <c r="AM17" i="9"/>
  <c r="AO93" i="9"/>
  <c r="AO105" i="9"/>
  <c r="BB93" i="9"/>
  <c r="AM35" i="9"/>
  <c r="AM109" i="9"/>
  <c r="AO84" i="9"/>
  <c r="AP16" i="9"/>
  <c r="AG138" i="9"/>
  <c r="AM92" i="9"/>
  <c r="AD106" i="9"/>
  <c r="N84" i="9"/>
  <c r="AV24" i="9"/>
  <c r="N117" i="9"/>
  <c r="N105" i="9"/>
  <c r="V17" i="9"/>
  <c r="AG92" i="9"/>
  <c r="AB105" i="9"/>
  <c r="BB50" i="9"/>
  <c r="AO34" i="9"/>
  <c r="AM63" i="9"/>
  <c r="AO50" i="9"/>
  <c r="AO109" i="9"/>
  <c r="AM84" i="9"/>
  <c r="AB35" i="9"/>
  <c r="N26" i="9"/>
  <c r="V130" i="9"/>
  <c r="N109" i="9"/>
  <c r="AG105" i="9"/>
  <c r="AG131" i="9"/>
  <c r="AB87" i="9"/>
  <c r="AM106" i="9"/>
  <c r="AV74" i="9"/>
  <c r="AM124" i="9"/>
  <c r="AM74" i="9"/>
  <c r="AP43" i="9"/>
  <c r="AB43" i="9"/>
  <c r="AB123" i="9"/>
  <c r="AV34" i="9"/>
  <c r="AP63" i="9"/>
  <c r="BB21" i="9"/>
  <c r="AM50" i="9"/>
  <c r="AD138" i="9"/>
  <c r="BB51" i="9"/>
  <c r="AD95" i="9"/>
  <c r="AP105" i="9"/>
  <c r="AB106" i="9"/>
  <c r="AO43" i="9"/>
  <c r="AD123" i="9"/>
  <c r="AE34" i="9"/>
  <c r="AE63" i="9"/>
  <c r="AP21" i="9"/>
  <c r="AE50" i="9"/>
  <c r="AO17" i="9"/>
  <c r="AO131" i="9"/>
  <c r="AP35" i="9"/>
  <c r="AD103" i="9"/>
  <c r="AP131" i="9"/>
  <c r="AD109" i="9"/>
  <c r="AD84" i="9"/>
  <c r="BB103" i="9"/>
  <c r="N93" i="9"/>
  <c r="AB117" i="9"/>
  <c r="AM16" i="9"/>
  <c r="AO138" i="9"/>
  <c r="N106" i="9"/>
  <c r="V106" i="9"/>
  <c r="V63" i="9"/>
  <c r="AG123" i="9"/>
  <c r="AG103" i="9"/>
  <c r="AM75" i="9"/>
  <c r="BB111" i="9"/>
  <c r="BB74" i="9"/>
  <c r="AB138" i="9"/>
  <c r="AA56" i="8"/>
  <c r="N12" i="9" s="1"/>
  <c r="BB67" i="9"/>
  <c r="AM130" i="9"/>
  <c r="AE124" i="9"/>
  <c r="AD67" i="9"/>
  <c r="AP138" i="9"/>
  <c r="AD43" i="9"/>
  <c r="AV43" i="9"/>
  <c r="AB45" i="9"/>
  <c r="AO111" i="9"/>
  <c r="BB137" i="9"/>
  <c r="AB74" i="9"/>
  <c r="AG130" i="9"/>
  <c r="AG117" i="9"/>
  <c r="AM83" i="9"/>
  <c r="AG60" i="9"/>
  <c r="AB130" i="9"/>
  <c r="BB124" i="9"/>
  <c r="AM93" i="9"/>
  <c r="AP119" i="9"/>
  <c r="AP69" i="9"/>
  <c r="BB138" i="9"/>
  <c r="BB108" i="9"/>
  <c r="BB43" i="9"/>
  <c r="BB123" i="9"/>
  <c r="AD63" i="9"/>
  <c r="AV21" i="9"/>
  <c r="AD50" i="9"/>
  <c r="N17" i="9"/>
  <c r="AD124" i="9"/>
  <c r="AD74" i="9"/>
  <c r="AV64" i="9"/>
  <c r="AB76" i="9"/>
  <c r="AD131" i="9"/>
  <c r="AE131" i="9"/>
  <c r="AM24" i="9"/>
  <c r="AB119" i="9"/>
  <c r="AE106" i="9"/>
  <c r="AO130" i="9"/>
  <c r="V34" i="9"/>
  <c r="AG21" i="9"/>
  <c r="AD69" i="9"/>
  <c r="AG69" i="9"/>
  <c r="AG17" i="9"/>
  <c r="AM76" i="9"/>
  <c r="BB72" i="9"/>
  <c r="AP60" i="9"/>
  <c r="AE69" i="9"/>
  <c r="AB60" i="9"/>
  <c r="AE127" i="9"/>
  <c r="AD32" i="9"/>
  <c r="AO37" i="9"/>
  <c r="AE47" i="9"/>
  <c r="AD93" i="9"/>
  <c r="AV16" i="9"/>
  <c r="AE119" i="9"/>
  <c r="AO106" i="9"/>
  <c r="AP93" i="9"/>
  <c r="AD105" i="9"/>
  <c r="AO16" i="9"/>
  <c r="AP130" i="9"/>
  <c r="AE43" i="9"/>
  <c r="AB34" i="9"/>
  <c r="AP123" i="9"/>
  <c r="AP85" i="9"/>
  <c r="AV15" i="9"/>
  <c r="AB128" i="9"/>
  <c r="N63" i="9"/>
  <c r="AM21" i="9"/>
  <c r="AV50" i="9"/>
  <c r="AV17" i="9"/>
  <c r="BB84" i="9"/>
  <c r="AB26" i="9"/>
  <c r="AB109" i="9"/>
  <c r="BB131" i="9"/>
  <c r="AP76" i="9"/>
  <c r="N16" i="9"/>
  <c r="AO24" i="9"/>
  <c r="BB119" i="9"/>
  <c r="V90" i="9"/>
  <c r="AE82" i="9"/>
  <c r="AP108" i="9"/>
  <c r="N32" i="9"/>
  <c r="BB112" i="9"/>
  <c r="AV75" i="9"/>
  <c r="AV47" i="9"/>
  <c r="AB37" i="9"/>
  <c r="AV45" i="9"/>
  <c r="AP20" i="9"/>
  <c r="AB129" i="9"/>
  <c r="V20" i="9"/>
  <c r="AD44" i="9"/>
  <c r="AE44" i="9"/>
  <c r="BB128" i="9"/>
  <c r="AM51" i="9"/>
  <c r="AE140" i="9"/>
  <c r="AD83" i="9"/>
  <c r="AO78" i="9"/>
  <c r="AG78" i="9"/>
  <c r="AB95" i="9"/>
  <c r="AB73" i="9"/>
  <c r="AD56" i="9"/>
  <c r="AO90" i="9"/>
  <c r="AP90" i="9"/>
  <c r="V60" i="9"/>
  <c r="AV60" i="9"/>
  <c r="AP64" i="9"/>
  <c r="V64" i="9"/>
  <c r="BB75" i="9"/>
  <c r="AM41" i="9"/>
  <c r="AO51" i="9"/>
  <c r="AM60" i="9"/>
  <c r="V55" i="9"/>
  <c r="V67" i="9"/>
  <c r="AG67" i="9"/>
  <c r="AM67" i="9"/>
  <c r="AP67" i="9"/>
  <c r="AG82" i="9"/>
  <c r="AD82" i="9"/>
  <c r="AP82" i="9"/>
  <c r="AM82" i="9"/>
  <c r="AB82" i="9"/>
  <c r="N82" i="9"/>
  <c r="BB82" i="9"/>
  <c r="V105" i="9"/>
  <c r="BB105" i="9"/>
  <c r="AE105" i="9"/>
  <c r="AM105" i="9"/>
  <c r="V92" i="9"/>
  <c r="AO92" i="9"/>
  <c r="AE92" i="9"/>
  <c r="BB92" i="9"/>
  <c r="BB35" i="9"/>
  <c r="AG35" i="9"/>
  <c r="N35" i="9"/>
  <c r="AG93" i="9"/>
  <c r="V93" i="9"/>
  <c r="AE93" i="9"/>
  <c r="V108" i="9"/>
  <c r="AO40" i="9"/>
  <c r="AV40" i="9"/>
  <c r="AM40" i="9"/>
  <c r="AG127" i="9"/>
  <c r="V127" i="9"/>
  <c r="AO127" i="9"/>
  <c r="AG136" i="9"/>
  <c r="AP49" i="9"/>
  <c r="AO49" i="9"/>
  <c r="AG65" i="9"/>
  <c r="AO65" i="9"/>
  <c r="AE94" i="9"/>
  <c r="V94" i="9"/>
  <c r="AG51" i="9"/>
  <c r="AB51" i="9"/>
  <c r="V69" i="9"/>
  <c r="AV69" i="9"/>
  <c r="AD111" i="9"/>
  <c r="V111" i="9"/>
  <c r="AE111" i="9"/>
  <c r="AB111" i="9"/>
  <c r="AO60" i="9"/>
  <c r="BB44" i="9"/>
  <c r="AE85" i="9"/>
  <c r="AP95" i="9"/>
  <c r="AM65" i="9"/>
  <c r="BB94" i="9"/>
  <c r="AG128" i="9"/>
  <c r="AD130" i="9"/>
  <c r="AE130" i="9"/>
  <c r="N124" i="9"/>
  <c r="AG124" i="9"/>
  <c r="AO124" i="9"/>
  <c r="BB106" i="9"/>
  <c r="V138" i="9"/>
  <c r="V74" i="9"/>
  <c r="AG74" i="9"/>
  <c r="AB137" i="9"/>
  <c r="AM137" i="9"/>
  <c r="AG137" i="9"/>
  <c r="AP137" i="9"/>
  <c r="AO137" i="9"/>
  <c r="AD137" i="9"/>
  <c r="AG43" i="9"/>
  <c r="V43" i="9"/>
  <c r="V123" i="9"/>
  <c r="AG34" i="9"/>
  <c r="AP34" i="9"/>
  <c r="AG63" i="9"/>
  <c r="V21" i="9"/>
  <c r="AG50" i="9"/>
  <c r="AP17" i="9"/>
  <c r="BB117" i="9"/>
  <c r="AE117" i="9"/>
  <c r="AM117" i="9"/>
  <c r="AD119" i="9"/>
  <c r="AM119" i="9"/>
  <c r="AB16" i="9"/>
  <c r="V16" i="9"/>
  <c r="AE16" i="9"/>
  <c r="AO76" i="9"/>
  <c r="AE76" i="9"/>
  <c r="N76" i="9"/>
  <c r="V103" i="9"/>
  <c r="AM103" i="9"/>
  <c r="AB103" i="9"/>
  <c r="AP103" i="9"/>
  <c r="AG109" i="9"/>
  <c r="AP109" i="9"/>
  <c r="AE109" i="9"/>
  <c r="BB109" i="9"/>
  <c r="V131" i="9"/>
  <c r="N131" i="9"/>
  <c r="AG84" i="9"/>
  <c r="V84" i="9"/>
  <c r="AG26" i="9"/>
  <c r="BB26" i="9"/>
  <c r="AO26" i="9"/>
  <c r="AE26" i="9"/>
  <c r="AV26" i="9"/>
  <c r="AP26" i="9"/>
  <c r="V24" i="9"/>
  <c r="AP24" i="9"/>
  <c r="AD24" i="9"/>
  <c r="AG24" i="9"/>
  <c r="AE24" i="9"/>
  <c r="N24" i="9"/>
  <c r="AB67" i="9"/>
  <c r="BB127" i="9"/>
  <c r="AE74" i="9"/>
  <c r="AO129" i="9"/>
  <c r="BB24" i="9"/>
  <c r="AM56" i="9"/>
  <c r="AO119" i="9"/>
  <c r="AD16" i="9"/>
  <c r="AO67" i="9"/>
  <c r="AE138" i="9"/>
  <c r="AP106" i="9"/>
  <c r="AP124" i="9"/>
  <c r="AE67" i="9"/>
  <c r="N130" i="9"/>
  <c r="AO74" i="9"/>
  <c r="AP75" i="9"/>
  <c r="AB63" i="9"/>
  <c r="AE123" i="9"/>
  <c r="AD37" i="9"/>
  <c r="AB21" i="9"/>
  <c r="AM34" i="9"/>
  <c r="BB85" i="9"/>
  <c r="N43" i="9"/>
  <c r="AO123" i="9"/>
  <c r="N128" i="9"/>
  <c r="AD34" i="9"/>
  <c r="N37" i="9"/>
  <c r="AB83" i="9"/>
  <c r="AV63" i="9"/>
  <c r="BB63" i="9"/>
  <c r="BB47" i="9"/>
  <c r="AO21" i="9"/>
  <c r="N21" i="9"/>
  <c r="AP50" i="9"/>
  <c r="AB50" i="9"/>
  <c r="BB41" i="9"/>
  <c r="BB17" i="9"/>
  <c r="AB17" i="9"/>
  <c r="AO45" i="9"/>
  <c r="AB124" i="9"/>
  <c r="AB131" i="9"/>
  <c r="AO35" i="9"/>
  <c r="AE64" i="9"/>
  <c r="N103" i="9"/>
  <c r="BB76" i="9"/>
  <c r="AB84" i="9"/>
  <c r="AO80" i="9"/>
  <c r="AD76" i="9"/>
  <c r="AO103" i="9"/>
  <c r="AD26" i="9"/>
  <c r="AE84" i="9"/>
  <c r="N137" i="9"/>
  <c r="AB65" i="9"/>
  <c r="AO117" i="9"/>
  <c r="AO56" i="9"/>
  <c r="AP117" i="9"/>
  <c r="N119" i="9"/>
  <c r="AD92" i="9"/>
  <c r="BB45" i="9"/>
  <c r="N74" i="9"/>
  <c r="AV67" i="9"/>
  <c r="V119" i="9"/>
  <c r="AM26" i="9"/>
  <c r="V37" i="9"/>
  <c r="V82" i="9"/>
  <c r="AD35" i="9"/>
  <c r="V44" i="9"/>
  <c r="V32" i="9"/>
  <c r="N138" i="9"/>
  <c r="V73" i="9"/>
  <c r="V26" i="9"/>
  <c r="AE137" i="9"/>
  <c r="AP94" i="9"/>
  <c r="AE35" i="9"/>
  <c r="AG76" i="9"/>
  <c r="AG64" i="9"/>
  <c r="AG16" i="9"/>
  <c r="V126" i="9"/>
  <c r="AG81" i="9"/>
  <c r="AD81" i="9"/>
  <c r="V14" i="9"/>
  <c r="AO107" i="9"/>
  <c r="AM139" i="9"/>
  <c r="AD70" i="9"/>
  <c r="AE70" i="9"/>
  <c r="V100" i="9"/>
  <c r="AO100" i="9"/>
  <c r="AO53" i="9"/>
  <c r="V89" i="9"/>
  <c r="AM89" i="9"/>
  <c r="AO39" i="9"/>
  <c r="AG39" i="9"/>
  <c r="BB39" i="9"/>
  <c r="N39" i="9"/>
  <c r="AG114" i="9"/>
  <c r="V114" i="9"/>
  <c r="N114" i="9"/>
  <c r="N100" i="9"/>
  <c r="N31" i="9"/>
  <c r="AM114" i="9"/>
  <c r="AE89" i="9"/>
  <c r="AB118" i="9"/>
  <c r="AM53" i="9"/>
  <c r="AD115" i="9"/>
  <c r="AE71" i="9"/>
  <c r="AM135" i="9"/>
  <c r="AE135" i="9"/>
  <c r="AO86" i="9"/>
  <c r="V33" i="9"/>
  <c r="AE33" i="9"/>
  <c r="AG79" i="9"/>
  <c r="AD79" i="9"/>
  <c r="AP79" i="9"/>
  <c r="AG58" i="9"/>
  <c r="V58" i="9"/>
  <c r="AM58" i="9"/>
  <c r="AM71" i="9"/>
  <c r="AP71" i="9"/>
  <c r="AO71" i="9"/>
  <c r="AO58" i="9"/>
  <c r="AV58" i="9"/>
  <c r="AP58" i="9"/>
  <c r="AD39" i="9"/>
  <c r="AB58" i="9"/>
  <c r="AV39" i="9"/>
  <c r="BB107" i="9"/>
  <c r="AD135" i="9"/>
  <c r="N79" i="9"/>
  <c r="AO108" i="9"/>
  <c r="N90" i="9"/>
  <c r="AB20" i="9"/>
  <c r="AE136" i="9"/>
  <c r="BB55" i="9"/>
  <c r="BB56" i="9"/>
  <c r="AO69" i="9"/>
  <c r="BB90" i="9"/>
  <c r="AB136" i="9"/>
  <c r="AD20" i="9"/>
  <c r="AD140" i="9"/>
  <c r="AV55" i="9"/>
  <c r="BB20" i="9"/>
  <c r="AO85" i="9"/>
  <c r="N75" i="9"/>
  <c r="AB75" i="9"/>
  <c r="AP128" i="9"/>
  <c r="AE37" i="9"/>
  <c r="AO83" i="9"/>
  <c r="AP47" i="9"/>
  <c r="AP41" i="9"/>
  <c r="N41" i="9"/>
  <c r="AM95" i="9"/>
  <c r="AO73" i="9"/>
  <c r="BB65" i="9"/>
  <c r="BB95" i="9"/>
  <c r="AO64" i="9"/>
  <c r="N51" i="9"/>
  <c r="AM111" i="9"/>
  <c r="BB129" i="9"/>
  <c r="BB60" i="9"/>
  <c r="AE56" i="9"/>
  <c r="AE78" i="9"/>
  <c r="N129" i="9"/>
  <c r="AM69" i="9"/>
  <c r="AM90" i="9"/>
  <c r="AD136" i="9"/>
  <c r="BB64" i="9"/>
  <c r="N45" i="9"/>
  <c r="V56" i="9"/>
  <c r="V78" i="9"/>
  <c r="V136" i="9"/>
  <c r="V47" i="9"/>
  <c r="V80" i="9"/>
  <c r="AP111" i="9"/>
  <c r="AE40" i="9"/>
  <c r="V49" i="9"/>
  <c r="N64" i="9"/>
  <c r="N40" i="9"/>
  <c r="AG83" i="9"/>
  <c r="N111" i="9"/>
  <c r="AG80" i="9"/>
  <c r="N49" i="9"/>
  <c r="AG129" i="9"/>
  <c r="AG90" i="9"/>
  <c r="AV44" i="9"/>
  <c r="AD78" i="9"/>
  <c r="AB56" i="9"/>
  <c r="AD112" i="9"/>
  <c r="N60" i="9"/>
  <c r="AP56" i="9"/>
  <c r="N69" i="9"/>
  <c r="AD90" i="9"/>
  <c r="AP44" i="9"/>
  <c r="AB112" i="9"/>
  <c r="AB108" i="9"/>
  <c r="N85" i="9"/>
  <c r="AE83" i="9"/>
  <c r="AM128" i="9"/>
  <c r="AD41" i="9"/>
  <c r="AM37" i="9"/>
  <c r="AD85" i="9"/>
  <c r="AE75" i="9"/>
  <c r="AD128" i="9"/>
  <c r="N83" i="9"/>
  <c r="N47" i="9"/>
  <c r="AE41" i="9"/>
  <c r="AB41" i="9"/>
  <c r="AE108" i="9"/>
  <c r="AB55" i="9"/>
  <c r="N80" i="9"/>
  <c r="AP51" i="9"/>
  <c r="AP73" i="9"/>
  <c r="AD80" i="9"/>
  <c r="BB49" i="9"/>
  <c r="AM64" i="9"/>
  <c r="AV73" i="9"/>
  <c r="AV51" i="9"/>
  <c r="AD64" i="9"/>
  <c r="AM73" i="9"/>
  <c r="AV56" i="9"/>
  <c r="AE90" i="9"/>
  <c r="AD60" i="9"/>
  <c r="N56" i="9"/>
  <c r="AB69" i="9"/>
  <c r="AE51" i="9"/>
  <c r="AP45" i="9"/>
  <c r="AM140" i="9"/>
  <c r="V51" i="9"/>
  <c r="AE45" i="9"/>
  <c r="AG41" i="9"/>
  <c r="AG45" i="9"/>
  <c r="AD89" i="9"/>
  <c r="AO79" i="9"/>
  <c r="N58" i="9"/>
  <c r="AB15" i="9"/>
  <c r="AD52" i="9"/>
  <c r="AE48" i="9"/>
  <c r="AD18" i="9"/>
  <c r="AV52" i="9"/>
  <c r="BB104" i="9"/>
  <c r="AP115" i="9"/>
  <c r="AE114" i="9"/>
  <c r="AV53" i="9"/>
  <c r="AB114" i="9"/>
  <c r="BB114" i="9"/>
  <c r="AP114" i="9"/>
  <c r="AV71" i="9"/>
  <c r="AO89" i="9"/>
  <c r="AE79" i="9"/>
  <c r="BB58" i="9"/>
  <c r="N89" i="9"/>
  <c r="AP89" i="9"/>
  <c r="BB31" i="9"/>
  <c r="AB39" i="9"/>
  <c r="V79" i="9"/>
  <c r="N46" i="9"/>
  <c r="V115" i="9"/>
  <c r="V71" i="9"/>
  <c r="AG139" i="9"/>
  <c r="AG71" i="9"/>
  <c r="AG89" i="9"/>
  <c r="BB79" i="9"/>
  <c r="AB139" i="9"/>
  <c r="AO135" i="9"/>
  <c r="AE121" i="9"/>
  <c r="AM86" i="9"/>
  <c r="AB79" i="9"/>
  <c r="AE58" i="9"/>
  <c r="AB135" i="9"/>
  <c r="AP107" i="9"/>
  <c r="AE15" i="9"/>
  <c r="AP86" i="9"/>
  <c r="N18" i="9"/>
  <c r="AP33" i="9"/>
  <c r="AP14" i="9"/>
  <c r="AD71" i="9"/>
  <c r="AM125" i="9"/>
  <c r="N71" i="9"/>
  <c r="AD114" i="9"/>
  <c r="BB71" i="9"/>
  <c r="AB71" i="9"/>
  <c r="AP39" i="9"/>
  <c r="AM79" i="9"/>
  <c r="AD58" i="9"/>
  <c r="AB89" i="9"/>
  <c r="BB89" i="9"/>
  <c r="AM39" i="9"/>
  <c r="AV28" i="9"/>
  <c r="AP53" i="9"/>
  <c r="N107" i="9"/>
  <c r="V39" i="9"/>
  <c r="AP125" i="9"/>
  <c r="AO114" i="9"/>
  <c r="AD28" i="9"/>
  <c r="AG132" i="9"/>
  <c r="V132" i="9"/>
  <c r="AP132" i="9"/>
  <c r="AM132" i="9"/>
  <c r="AE132" i="9"/>
  <c r="BB132" i="9"/>
  <c r="N132" i="9"/>
  <c r="AB132" i="9"/>
  <c r="AD132" i="9"/>
  <c r="AG122" i="9"/>
  <c r="V122" i="9"/>
  <c r="AE122" i="9"/>
  <c r="AB122" i="9"/>
  <c r="AO122" i="9"/>
  <c r="AD122" i="9"/>
  <c r="AG99" i="9"/>
  <c r="BB99" i="9"/>
  <c r="AO99" i="9"/>
  <c r="N99" i="9"/>
  <c r="V99" i="9"/>
  <c r="AG13" i="9"/>
  <c r="V13" i="9"/>
  <c r="N13" i="9"/>
  <c r="AG57" i="9"/>
  <c r="AB57" i="9"/>
  <c r="AO57" i="9"/>
  <c r="AG62" i="9"/>
  <c r="V62" i="9"/>
  <c r="N62" i="9"/>
  <c r="BB62" i="9"/>
  <c r="AP62" i="9"/>
  <c r="AG23" i="9"/>
  <c r="AV23" i="9"/>
  <c r="AP23" i="9"/>
  <c r="BB23" i="9"/>
  <c r="V23" i="9"/>
  <c r="AG61" i="9"/>
  <c r="V61" i="9"/>
  <c r="AB61" i="9"/>
  <c r="N61" i="9"/>
  <c r="AP61" i="9"/>
  <c r="BB61" i="9"/>
  <c r="AP98" i="9"/>
  <c r="AG98" i="9"/>
  <c r="V98" i="9"/>
  <c r="AD98" i="9"/>
  <c r="BB98" i="9"/>
  <c r="AP30" i="9"/>
  <c r="N30" i="9"/>
  <c r="AB30" i="9"/>
  <c r="BB30" i="9"/>
  <c r="AD30" i="9"/>
  <c r="AV30" i="9"/>
  <c r="AG120" i="9"/>
  <c r="AE120" i="9"/>
  <c r="AO120" i="9"/>
  <c r="AP120" i="9"/>
  <c r="N120" i="9"/>
  <c r="V134" i="9"/>
  <c r="AD134" i="9"/>
  <c r="AG134" i="9"/>
  <c r="AO134" i="9"/>
  <c r="AP134" i="9"/>
  <c r="BB134" i="9"/>
  <c r="AE133" i="9"/>
  <c r="AB133" i="9"/>
  <c r="V133" i="9"/>
  <c r="AO133" i="9"/>
  <c r="AP133" i="9"/>
  <c r="BB133" i="9"/>
  <c r="V68" i="9"/>
  <c r="N68" i="9"/>
  <c r="AO68" i="9"/>
  <c r="AG68" i="9"/>
  <c r="BB68" i="9"/>
  <c r="AV68" i="9"/>
  <c r="V88" i="9"/>
  <c r="AM88" i="9"/>
  <c r="AE88" i="9"/>
  <c r="BB88" i="9"/>
  <c r="AE25" i="9"/>
  <c r="AG25" i="9"/>
  <c r="AB25" i="9"/>
  <c r="AM25" i="9"/>
  <c r="V19" i="9"/>
  <c r="AO19" i="9"/>
  <c r="AB19" i="9"/>
  <c r="AP19" i="9"/>
  <c r="AV19" i="9"/>
  <c r="N19" i="9"/>
  <c r="BB66" i="9"/>
  <c r="AP66" i="9"/>
  <c r="AM66" i="9"/>
  <c r="AB66" i="9"/>
  <c r="AO66" i="9"/>
  <c r="V38" i="9"/>
  <c r="AO38" i="9"/>
  <c r="AV38" i="9"/>
  <c r="AM38" i="9"/>
  <c r="AP38" i="9"/>
  <c r="AD38" i="9"/>
  <c r="AB38" i="9"/>
  <c r="BB54" i="9"/>
  <c r="AP54" i="9"/>
  <c r="AD54" i="9"/>
  <c r="AG22" i="9"/>
  <c r="AD22" i="9"/>
  <c r="BB22" i="9"/>
  <c r="AE22" i="9"/>
  <c r="AB22" i="9"/>
  <c r="N22" i="9"/>
  <c r="V29" i="9"/>
  <c r="AD29" i="9"/>
  <c r="AO29" i="9"/>
  <c r="AM29" i="9"/>
  <c r="AG29" i="9"/>
  <c r="AV29" i="9"/>
  <c r="AG110" i="9"/>
  <c r="V110" i="9"/>
  <c r="AP110" i="9"/>
  <c r="AB110" i="9"/>
  <c r="N110" i="9"/>
  <c r="AE110" i="9"/>
  <c r="AE42" i="9"/>
  <c r="AO42" i="9"/>
  <c r="N42" i="9"/>
  <c r="AV42" i="9"/>
  <c r="V42" i="9"/>
  <c r="AB54" i="9"/>
  <c r="AV62" i="9"/>
  <c r="AO98" i="9"/>
  <c r="AB13" i="9"/>
  <c r="AE99" i="9"/>
  <c r="AM62" i="9"/>
  <c r="AE61" i="9"/>
  <c r="AD25" i="9"/>
  <c r="BB120" i="9"/>
  <c r="AB134" i="9"/>
  <c r="AM133" i="9"/>
  <c r="AE68" i="9"/>
  <c r="AP88" i="9"/>
  <c r="AV25" i="9"/>
  <c r="BB19" i="9"/>
  <c r="BB57" i="9"/>
  <c r="N98" i="9"/>
  <c r="AV13" i="9"/>
  <c r="AB42" i="9"/>
  <c r="AE29" i="9"/>
  <c r="AD110" i="9"/>
  <c r="BB42" i="9"/>
  <c r="AM54" i="9"/>
  <c r="AD66" i="9"/>
  <c r="AD23" i="9"/>
  <c r="BB29" i="9"/>
  <c r="V25" i="9"/>
  <c r="BB110" i="9"/>
  <c r="V57" i="9"/>
  <c r="AV61" i="9"/>
  <c r="AP68" i="9"/>
  <c r="AD42" i="9"/>
  <c r="AG42" i="9"/>
  <c r="AG38" i="9"/>
  <c r="AG28" i="9"/>
  <c r="BB28" i="9"/>
  <c r="AO28" i="9"/>
  <c r="AP28" i="9"/>
  <c r="AE28" i="9"/>
  <c r="AM28" i="9"/>
  <c r="AB28" i="9"/>
  <c r="V81" i="9"/>
  <c r="AO81" i="9"/>
  <c r="AB81" i="9"/>
  <c r="N81" i="9"/>
  <c r="AE104" i="9"/>
  <c r="AO104" i="9"/>
  <c r="AG104" i="9"/>
  <c r="N104" i="9"/>
  <c r="AB104" i="9"/>
  <c r="AO14" i="9"/>
  <c r="AD14" i="9"/>
  <c r="N14" i="9"/>
  <c r="AE14" i="9"/>
  <c r="AV14" i="9"/>
  <c r="V135" i="9"/>
  <c r="BB135" i="9"/>
  <c r="AG135" i="9"/>
  <c r="AP135" i="9"/>
  <c r="N135" i="9"/>
  <c r="AB72" i="9"/>
  <c r="V72" i="9"/>
  <c r="AD72" i="9"/>
  <c r="AO72" i="9"/>
  <c r="V107" i="9"/>
  <c r="AE107" i="9"/>
  <c r="AG107" i="9"/>
  <c r="AB107" i="9"/>
  <c r="AD107" i="9"/>
  <c r="V139" i="9"/>
  <c r="AD139" i="9"/>
  <c r="AO139" i="9"/>
  <c r="AG118" i="9"/>
  <c r="AD118" i="9"/>
  <c r="AO118" i="9"/>
  <c r="BB118" i="9"/>
  <c r="AE118" i="9"/>
  <c r="V118" i="9"/>
  <c r="V70" i="9"/>
  <c r="AG70" i="9"/>
  <c r="AO70" i="9"/>
  <c r="AV70" i="9"/>
  <c r="AM70" i="9"/>
  <c r="N70" i="9"/>
  <c r="N15" i="9"/>
  <c r="BB15" i="9"/>
  <c r="AG15" i="9"/>
  <c r="V15" i="9"/>
  <c r="AM15" i="9"/>
  <c r="AD15" i="9"/>
  <c r="AD121" i="9"/>
  <c r="AB121" i="9"/>
  <c r="AO121" i="9"/>
  <c r="V86" i="9"/>
  <c r="BB86" i="9"/>
  <c r="AG86" i="9"/>
  <c r="AD86" i="9"/>
  <c r="N86" i="9"/>
  <c r="AM48" i="9"/>
  <c r="AV48" i="9"/>
  <c r="N48" i="9"/>
  <c r="AP48" i="9"/>
  <c r="AO48" i="9"/>
  <c r="BB18" i="9"/>
  <c r="AP18" i="9"/>
  <c r="AE18" i="9"/>
  <c r="AG18" i="9"/>
  <c r="V18" i="9"/>
  <c r="AM18" i="9"/>
  <c r="AB18" i="9"/>
  <c r="AE52" i="9"/>
  <c r="N52" i="9"/>
  <c r="V52" i="9"/>
  <c r="AB52" i="9"/>
  <c r="AO52" i="9"/>
  <c r="AD33" i="9"/>
  <c r="BB33" i="9"/>
  <c r="N33" i="9"/>
  <c r="AM33" i="9"/>
  <c r="AG97" i="9"/>
  <c r="V97" i="9"/>
  <c r="AB97" i="9"/>
  <c r="AE97" i="9"/>
  <c r="AD97" i="9"/>
  <c r="BB97" i="9"/>
  <c r="AG46" i="9"/>
  <c r="AV46" i="9"/>
  <c r="AM46" i="9"/>
  <c r="AO46" i="9"/>
  <c r="V46" i="9"/>
  <c r="AE46" i="9"/>
  <c r="AG31" i="9"/>
  <c r="AB31" i="9"/>
  <c r="AE31" i="9"/>
  <c r="AP31" i="9"/>
  <c r="AV31" i="9"/>
  <c r="AM31" i="9"/>
  <c r="V31" i="9"/>
  <c r="AO116" i="9"/>
  <c r="AG116" i="9"/>
  <c r="AM116" i="9"/>
  <c r="N116" i="9"/>
  <c r="V116" i="9"/>
  <c r="BB116" i="9"/>
  <c r="AE100" i="9"/>
  <c r="AG100" i="9"/>
  <c r="AP100" i="9"/>
  <c r="AB100" i="9"/>
  <c r="AM100" i="9"/>
  <c r="BB100" i="9"/>
  <c r="BB53" i="9"/>
  <c r="AE53" i="9"/>
  <c r="N53" i="9"/>
  <c r="AG53" i="9"/>
  <c r="V53" i="9"/>
  <c r="AD53" i="9"/>
  <c r="AO115" i="9"/>
  <c r="AB115" i="9"/>
  <c r="AM115" i="9"/>
  <c r="BB115" i="9"/>
  <c r="AE115" i="9"/>
  <c r="N115" i="9"/>
  <c r="V27" i="9"/>
  <c r="AB27" i="9"/>
  <c r="AE27" i="9"/>
  <c r="N27" i="9"/>
  <c r="AD27" i="9"/>
  <c r="AV27" i="9"/>
  <c r="AO125" i="9"/>
  <c r="AG125" i="9"/>
  <c r="V125" i="9"/>
  <c r="AD125" i="9"/>
  <c r="AE125" i="9"/>
  <c r="AG87" i="9"/>
  <c r="V87" i="9"/>
  <c r="AM87" i="9"/>
  <c r="N87" i="9"/>
  <c r="AE87" i="9"/>
  <c r="AP87" i="9"/>
  <c r="AD87" i="9"/>
  <c r="BB87" i="9"/>
  <c r="AM97" i="9"/>
  <c r="N122" i="9"/>
  <c r="AE23" i="9"/>
  <c r="AE72" i="9"/>
  <c r="AO13" i="9"/>
  <c r="AO97" i="9"/>
  <c r="AD100" i="9"/>
  <c r="AE54" i="9"/>
  <c r="AD116" i="9"/>
  <c r="AO23" i="9"/>
  <c r="N72" i="9"/>
  <c r="AV57" i="9"/>
  <c r="BB14" i="9"/>
  <c r="BB13" i="9"/>
  <c r="AP122" i="9"/>
  <c r="AM104" i="9"/>
  <c r="AV72" i="9"/>
  <c r="AP139" i="9"/>
  <c r="N134" i="9"/>
  <c r="N88" i="9"/>
  <c r="AB86" i="9"/>
  <c r="AO18" i="9"/>
  <c r="BB70" i="9"/>
  <c r="AB120" i="9"/>
  <c r="AO15" i="9"/>
  <c r="AM134" i="9"/>
  <c r="BB121" i="9"/>
  <c r="AD133" i="9"/>
  <c r="AD48" i="9"/>
  <c r="AB88" i="9"/>
  <c r="AO25" i="9"/>
  <c r="AM52" i="9"/>
  <c r="AE19" i="9"/>
  <c r="AO33" i="9"/>
  <c r="AM30" i="9"/>
  <c r="AP99" i="9"/>
  <c r="AE139" i="9"/>
  <c r="AM57" i="9"/>
  <c r="AP27" i="9"/>
  <c r="BB125" i="9"/>
  <c r="AO110" i="9"/>
  <c r="N54" i="9"/>
  <c r="AP46" i="9"/>
  <c r="AP22" i="9"/>
  <c r="AD46" i="9"/>
  <c r="AP116" i="9"/>
  <c r="N125" i="9"/>
  <c r="AE81" i="9"/>
  <c r="V54" i="9"/>
  <c r="AB70" i="9"/>
  <c r="V48" i="9"/>
  <c r="V28" i="9"/>
  <c r="AD104" i="9"/>
  <c r="AD57" i="9"/>
  <c r="V30" i="9"/>
  <c r="V121" i="9"/>
  <c r="AB29" i="9"/>
  <c r="AG115" i="9"/>
  <c r="AG14" i="9"/>
  <c r="AG33" i="9"/>
  <c r="AM81" i="9"/>
  <c r="AE116" i="9"/>
  <c r="AM61" i="9"/>
  <c r="N23" i="9"/>
  <c r="AP57" i="9"/>
  <c r="N97" i="9"/>
  <c r="AO54" i="9"/>
  <c r="AD31" i="9"/>
  <c r="AB116" i="9"/>
  <c r="AP104" i="9"/>
  <c r="AP118" i="9"/>
  <c r="AD61" i="9"/>
  <c r="AB62" i="9"/>
  <c r="AE57" i="9"/>
  <c r="AM14" i="9"/>
  <c r="AP81" i="9"/>
  <c r="AM72" i="9"/>
  <c r="AM23" i="9"/>
  <c r="BB139" i="9"/>
  <c r="AB98" i="9"/>
  <c r="AV33" i="9"/>
  <c r="AM68" i="9"/>
  <c r="N121" i="9"/>
  <c r="AP70" i="9"/>
  <c r="AP15" i="9"/>
  <c r="AP121" i="9"/>
  <c r="AE86" i="9"/>
  <c r="AB68" i="9"/>
  <c r="BB48" i="9"/>
  <c r="AO88" i="9"/>
  <c r="AV18" i="9"/>
  <c r="BB25" i="9"/>
  <c r="BB52" i="9"/>
  <c r="AM19" i="9"/>
  <c r="AB33" i="9"/>
  <c r="AB14" i="9"/>
  <c r="AE30" i="9"/>
  <c r="AO62" i="9"/>
  <c r="AO61" i="9"/>
  <c r="AP42" i="9"/>
  <c r="BB27" i="9"/>
  <c r="AO87" i="9"/>
  <c r="AB53" i="9"/>
  <c r="AP29" i="9"/>
  <c r="AO132" i="9"/>
  <c r="AV66" i="9"/>
  <c r="AE66" i="9"/>
  <c r="AM22" i="9"/>
  <c r="N38" i="9"/>
  <c r="AB46" i="9"/>
  <c r="AE13" i="9"/>
  <c r="AM118" i="9"/>
  <c r="AM122" i="9"/>
  <c r="AE62" i="9"/>
  <c r="AM27" i="9"/>
  <c r="V66" i="9"/>
  <c r="AP13" i="9"/>
  <c r="AG30" i="9"/>
  <c r="AM120" i="9"/>
  <c r="AG121" i="9"/>
  <c r="AG133" i="9"/>
  <c r="AG48" i="9"/>
  <c r="AG88" i="9"/>
  <c r="AG52" i="9"/>
  <c r="AG19" i="9"/>
  <c r="AG27" i="9"/>
  <c r="AG72" i="9"/>
  <c r="AG66" i="9"/>
  <c r="AG54" i="9"/>
  <c r="AD45" i="9"/>
  <c r="AM45" i="9"/>
  <c r="AG108" i="9"/>
  <c r="AD108" i="9"/>
  <c r="AM108" i="9"/>
  <c r="AG44" i="9"/>
  <c r="N44" i="9"/>
  <c r="AM44" i="9"/>
  <c r="AG140" i="9"/>
  <c r="BB140" i="9"/>
  <c r="AG32" i="9"/>
  <c r="AO32" i="9"/>
  <c r="AV32" i="9"/>
  <c r="BB32" i="9"/>
  <c r="AG55" i="9"/>
  <c r="AO55" i="9"/>
  <c r="AG20" i="9"/>
  <c r="AV20" i="9"/>
  <c r="AO20" i="9"/>
  <c r="AG112" i="9"/>
  <c r="AO112" i="9"/>
  <c r="AM112" i="9"/>
  <c r="AE112" i="9"/>
  <c r="AP40" i="9"/>
  <c r="AB40" i="9"/>
  <c r="BB40" i="9"/>
  <c r="AD40" i="9"/>
  <c r="AG85" i="9"/>
  <c r="V85" i="9"/>
  <c r="V83" i="9"/>
  <c r="AP78" i="9"/>
  <c r="BB78" i="9"/>
  <c r="V129" i="9"/>
  <c r="AP129" i="9"/>
  <c r="AB127" i="9"/>
  <c r="AM127" i="9"/>
  <c r="AM136" i="9"/>
  <c r="AG95" i="9"/>
  <c r="AE95" i="9"/>
  <c r="AO95" i="9"/>
  <c r="AV49" i="9"/>
  <c r="AM49" i="9"/>
  <c r="AV65" i="9"/>
  <c r="AE65" i="9"/>
  <c r="BB80" i="9"/>
  <c r="BB73" i="9"/>
  <c r="AE73" i="9"/>
  <c r="N73" i="9"/>
  <c r="AO94" i="9"/>
  <c r="AB44" i="9"/>
  <c r="AM20" i="9"/>
  <c r="AP112" i="9"/>
  <c r="N136" i="9"/>
  <c r="AD55" i="9"/>
  <c r="AB78" i="9"/>
  <c r="AD127" i="9"/>
  <c r="AP136" i="9"/>
  <c r="N108" i="9"/>
  <c r="AM55" i="9"/>
  <c r="AB32" i="9"/>
  <c r="AO140" i="9"/>
  <c r="AP55" i="9"/>
  <c r="N20" i="9"/>
  <c r="AM85" i="9"/>
  <c r="AD75" i="9"/>
  <c r="AO75" i="9"/>
  <c r="AE128" i="9"/>
  <c r="BB37" i="9"/>
  <c r="AP83" i="9"/>
  <c r="AO47" i="9"/>
  <c r="AB47" i="9"/>
  <c r="AV41" i="9"/>
  <c r="AO41" i="9"/>
  <c r="AP32" i="9"/>
  <c r="AP140" i="9"/>
  <c r="AO44" i="9"/>
  <c r="N112" i="9"/>
  <c r="AM32" i="9"/>
  <c r="AB140" i="9"/>
  <c r="AB80" i="9"/>
  <c r="AD65" i="9"/>
  <c r="AB49" i="9"/>
  <c r="AD73" i="9"/>
  <c r="AP80" i="9"/>
  <c r="N65" i="9"/>
  <c r="N94" i="9"/>
  <c r="AD49" i="9"/>
  <c r="AM94" i="9"/>
  <c r="AM80" i="9"/>
  <c r="AO136" i="9"/>
  <c r="AM129" i="9"/>
  <c r="N78" i="9"/>
  <c r="AD129" i="9"/>
  <c r="AP127" i="9"/>
  <c r="AE55" i="9"/>
  <c r="AD94" i="9"/>
  <c r="AB85" i="9"/>
  <c r="V128" i="9"/>
  <c r="AV37" i="9"/>
  <c r="AM47" i="9"/>
  <c r="V95" i="9"/>
  <c r="V45" i="9"/>
  <c r="V140" i="9"/>
  <c r="V112" i="9"/>
  <c r="V75" i="9"/>
  <c r="AE49" i="9"/>
  <c r="V65" i="9"/>
  <c r="AG40" i="9"/>
  <c r="AG75" i="9"/>
  <c r="AG37" i="9"/>
  <c r="AG47" i="9"/>
  <c r="AG94" i="9"/>
  <c r="AG49" i="9"/>
  <c r="AG126" i="9"/>
  <c r="AE126" i="9"/>
  <c r="N126" i="9"/>
  <c r="AD126" i="9"/>
  <c r="BB126" i="9"/>
  <c r="AM126" i="9"/>
  <c r="AO126" i="9"/>
  <c r="AP126" i="9"/>
  <c r="AB126" i="9"/>
  <c r="AE60" i="9"/>
  <c r="AE39" i="9"/>
  <c r="AE32" i="9"/>
  <c r="AE21" i="9"/>
  <c r="AE103" i="9"/>
  <c r="AE80" i="9"/>
  <c r="AE129" i="9"/>
  <c r="AE36" i="9"/>
  <c r="AE20" i="9"/>
  <c r="BL29" i="10"/>
  <c r="AH22" i="10"/>
  <c r="BL24" i="10"/>
  <c r="AC219" i="8" l="1"/>
  <c r="AC218" i="8"/>
  <c r="AC217" i="8"/>
  <c r="AC214" i="8"/>
  <c r="AC220" i="8"/>
  <c r="AC213" i="8"/>
  <c r="AC215" i="8"/>
  <c r="AC216" i="8"/>
  <c r="AC221" i="8"/>
</calcChain>
</file>

<file path=xl/comments1.xml><?xml version="1.0" encoding="utf-8"?>
<comments xmlns="http://schemas.openxmlformats.org/spreadsheetml/2006/main">
  <authors>
    <author>Hale Forster</author>
  </authors>
  <commentList>
    <comment ref="C23" authorId="0" shapeId="0">
      <text>
        <r>
          <rPr>
            <sz val="9"/>
            <color indexed="81"/>
            <rFont val="Tahoma"/>
            <family val="2"/>
          </rPr>
          <t>Sample comment</t>
        </r>
      </text>
    </comment>
  </commentList>
</comments>
</file>

<file path=xl/comments2.xml><?xml version="1.0" encoding="utf-8"?>
<comments xmlns="http://schemas.openxmlformats.org/spreadsheetml/2006/main">
  <authors>
    <author>Hale Forster</author>
  </authors>
  <commentList>
    <comment ref="AR8" authorId="0" shapeId="0">
      <text>
        <r>
          <rPr>
            <sz val="9"/>
            <color indexed="81"/>
            <rFont val="Tahoma"/>
            <family val="2"/>
          </rPr>
          <t xml:space="preserve">Difference between 2011 California and National ENERGY STAR Market Share Difference = %  CA 2011 Market Share (new sales) - % National 2011 Market share (new sales) </t>
        </r>
      </text>
    </comment>
    <comment ref="AZ8" authorId="0" shapeId="0">
      <text>
        <r>
          <rPr>
            <sz val="9"/>
            <color indexed="81"/>
            <rFont val="Tahoma"/>
            <family val="2"/>
          </rPr>
          <t>Blank cells have no energy star specification.</t>
        </r>
      </text>
    </comment>
  </commentList>
</comments>
</file>

<file path=xl/comments3.xml><?xml version="1.0" encoding="utf-8"?>
<comments xmlns="http://schemas.openxmlformats.org/spreadsheetml/2006/main">
  <authors>
    <author>Hale Forster</author>
  </authors>
  <commentList>
    <comment ref="T8" authorId="0" shapeId="0">
      <text>
        <r>
          <rPr>
            <sz val="9"/>
            <color indexed="81"/>
            <rFont val="Tahoma"/>
            <family val="2"/>
          </rPr>
          <t>Theoretical annual savings from replacing all devices in territory with efficient models, regardless of factors that affect real-world uptake (such as cost-effectiveness, lifecycle, availability, consumer adoption)
blank = not included in study.</t>
        </r>
      </text>
    </comment>
    <comment ref="Y8" authorId="0" shapeId="0">
      <text>
        <r>
          <rPr>
            <sz val="9"/>
            <color indexed="81"/>
            <rFont val="Tahoma"/>
            <family val="2"/>
          </rPr>
          <t>Annual Unit Energy Savings (UES) of efficient device compared with baseline.</t>
        </r>
      </text>
    </comment>
    <comment ref="AC8" authorId="0" shapeId="0">
      <text>
        <r>
          <rPr>
            <sz val="9"/>
            <color indexed="81"/>
            <rFont val="Tahoma"/>
            <family val="2"/>
          </rPr>
          <t>Annual unit energy consumption of installed base, as collected by Energy Solutions
Some device definitions differ from RSW defininitions: Audio/video receiver, Compact audio, Set top boxes, and Network equipment.
Blank = not collected in study</t>
        </r>
      </text>
    </comment>
    <comment ref="Y9" authorId="0" shapeId="0">
      <text>
        <r>
          <rPr>
            <sz val="9"/>
            <color indexed="81"/>
            <rFont val="Tahoma"/>
            <family val="2"/>
          </rPr>
          <t>Savings from Emerging Technology: devices that are near commercial availability or devices where technology is continuing to improve.</t>
        </r>
      </text>
    </comment>
    <comment ref="AE9" authorId="0" shapeId="0">
      <text>
        <r>
          <rPr>
            <sz val="9"/>
            <color indexed="81"/>
            <rFont val="Tahoma"/>
            <family val="2"/>
          </rPr>
          <t>Annual energy savings of most efficient product on market.
Baseline from source.
Blank = no source available.</t>
        </r>
      </text>
    </comment>
    <comment ref="AJ9" authorId="0" shapeId="0">
      <text>
        <r>
          <rPr>
            <sz val="9"/>
            <color indexed="81"/>
            <rFont val="Tahoma"/>
            <family val="2"/>
          </rPr>
          <t>Annual energy savings of ENERGY STAR-qualified product.
Baseline from savings source.</t>
        </r>
      </text>
    </comment>
    <comment ref="AM9" authorId="0" shapeId="0">
      <text>
        <r>
          <rPr>
            <sz val="9"/>
            <color indexed="81"/>
            <rFont val="Tahoma"/>
            <family val="2"/>
          </rPr>
          <t>Annual energy savings of other type of efficient product, including:
Title 20 compliant, maximum feasible efficient technology (not currently available), combination of efficient components (availability unknown).</t>
        </r>
      </text>
    </comment>
    <comment ref="BO9" authorId="0" shapeId="0">
      <text>
        <r>
          <rPr>
            <sz val="9"/>
            <color indexed="81"/>
            <rFont val="Tahoma"/>
            <family val="2"/>
          </rPr>
          <t>Unit Energy Savings of Title 20 compliant devices over noncompliant devices.
Blank = not included in study OR no Title 20 spec.</t>
        </r>
      </text>
    </comment>
    <comment ref="BR9" authorId="0" shapeId="0">
      <text>
        <r>
          <rPr>
            <sz val="9"/>
            <color indexed="81"/>
            <rFont val="Tahoma"/>
            <family val="2"/>
          </rPr>
          <t>Estimated percent of noncompliance.</t>
        </r>
      </text>
    </comment>
    <comment ref="BU9" authorId="0" shapeId="0">
      <text>
        <r>
          <rPr>
            <sz val="9"/>
            <color indexed="81"/>
            <rFont val="Tahoma"/>
            <family val="2"/>
          </rPr>
          <t>Unit Energy Savings of Title 20 compliant devices over noncompliant devices.</t>
        </r>
      </text>
    </comment>
    <comment ref="BX9" authorId="0" shapeId="0">
      <text>
        <r>
          <rPr>
            <sz val="9"/>
            <color indexed="81"/>
            <rFont val="Tahoma"/>
            <family val="2"/>
          </rPr>
          <t>Estimated percent of noncompliance.</t>
        </r>
      </text>
    </comment>
    <comment ref="AP32" authorId="0" shapeId="0">
      <text>
        <r>
          <rPr>
            <sz val="9"/>
            <color indexed="81"/>
            <rFont val="Tahoma"/>
            <family val="2"/>
          </rPr>
          <t>National availability of ENERGY STAR models at all product price points.</t>
        </r>
      </text>
    </comment>
    <comment ref="AF33" authorId="0" shapeId="0">
      <text>
        <r>
          <rPr>
            <sz val="9"/>
            <color indexed="81"/>
            <rFont val="Tahoma"/>
            <family val="2"/>
          </rPr>
          <t>Average proportion of available models that are ENERGY STAR qualified.</t>
        </r>
      </text>
    </comment>
    <comment ref="AJ33" authorId="0" shapeId="0">
      <text>
        <r>
          <rPr>
            <sz val="9"/>
            <color indexed="81"/>
            <rFont val="Tahoma"/>
            <family val="2"/>
          </rPr>
          <t>Product price range, overall.</t>
        </r>
      </text>
    </comment>
    <comment ref="AP33" authorId="0" shapeId="0">
      <text>
        <r>
          <rPr>
            <sz val="9"/>
            <color indexed="81"/>
            <rFont val="Tahoma"/>
            <family val="2"/>
          </rPr>
          <t>Product price points where availability is constrained (shaded region) and proportion of ENERGY STAR qualified models at these constrained price points.</t>
        </r>
      </text>
    </comment>
    <comment ref="AV33" authorId="0" shapeId="0">
      <text>
        <r>
          <rPr>
            <sz val="9"/>
            <color indexed="81"/>
            <rFont val="Tahoma"/>
            <family val="2"/>
          </rPr>
          <t>Proportion of available models that meet ENERGY STAR specification criteria at each product price point. 
Shaded regions indicate price points at which the availability of ENERGY STAR models is constrained (defined as the proportion of ENERGY STAR models is 50% or less than the maximum proportion of ENERGY STAR qualifying models for that product.)
X axis: product price point (low to high)
Y axis: proportion of models that are ENERGY STAR Qualified (low to high)</t>
        </r>
      </text>
    </comment>
    <comment ref="BB33" authorId="0" shapeId="0">
      <text>
        <r>
          <rPr>
            <sz val="9"/>
            <color indexed="81"/>
            <rFont val="Tahoma"/>
            <family val="2"/>
          </rPr>
          <t>Product price points (at high end of prices) where availability is constrained (shaded region) and proportion of ENERGY STAR qualified models at these constrained price points.</t>
        </r>
      </text>
    </comment>
    <comment ref="AB46" authorId="0" shapeId="0">
      <text>
        <r>
          <rPr>
            <sz val="9"/>
            <color indexed="81"/>
            <rFont val="Tahoma"/>
            <family val="2"/>
          </rPr>
          <t>Note: Pool pump availability data refers to dual speed versus variable speed availability.</t>
        </r>
      </text>
    </comment>
    <comment ref="AG46" authorId="0" shapeId="0">
      <text>
        <r>
          <rPr>
            <sz val="9"/>
            <color indexed="81"/>
            <rFont val="Tahoma"/>
            <family val="2"/>
          </rPr>
          <t>Percent variable speed motors at major online retailer.</t>
        </r>
      </text>
    </comment>
    <comment ref="W52" authorId="0" shapeId="0">
      <text>
        <r>
          <rPr>
            <sz val="9"/>
            <color indexed="81"/>
            <rFont val="Tahoma"/>
            <family val="2"/>
          </rPr>
          <t xml:space="preserve">For draft specifications, some estimates have been rounded to the first date of the quarter. Specific dates noted in DATA tab.
</t>
        </r>
      </text>
    </comment>
  </commentList>
</comments>
</file>

<file path=xl/comments4.xml><?xml version="1.0" encoding="utf-8"?>
<comments xmlns="http://schemas.openxmlformats.org/spreadsheetml/2006/main">
  <authors>
    <author>Hale Forster</author>
    <author>Zac Hathaway</author>
    <author>Jen Loomis</author>
  </authors>
  <commentList>
    <comment ref="BM5" authorId="0" shapeId="0">
      <text>
        <r>
          <rPr>
            <sz val="9"/>
            <color indexed="81"/>
            <rFont val="Tahoma"/>
            <family val="2"/>
          </rPr>
          <t>Electric water heating. 120 with gas water heating.</t>
        </r>
      </text>
    </comment>
    <comment ref="BN5" authorId="0" shapeId="0">
      <text>
        <r>
          <rPr>
            <sz val="9"/>
            <color indexed="81"/>
            <rFont val="Tahoma"/>
            <family val="2"/>
          </rPr>
          <t>Gas water heating.</t>
        </r>
      </text>
    </comment>
    <comment ref="EA10" authorId="0" shapeId="0">
      <text>
        <r>
          <rPr>
            <sz val="9"/>
            <color indexed="81"/>
            <rFont val="Tahoma"/>
            <family val="2"/>
          </rPr>
          <t xml:space="preserve">Estimate
</t>
        </r>
      </text>
    </comment>
    <comment ref="EA11" authorId="0" shapeId="0">
      <text>
        <r>
          <rPr>
            <sz val="9"/>
            <color indexed="81"/>
            <rFont val="Tahoma"/>
            <family val="2"/>
          </rPr>
          <t>Estimate</t>
        </r>
      </text>
    </comment>
    <comment ref="BH16" authorId="0" shapeId="0">
      <text>
        <r>
          <rPr>
            <sz val="9"/>
            <color indexed="81"/>
            <rFont val="Tahoma"/>
            <family val="2"/>
          </rPr>
          <t>Mini systems</t>
        </r>
      </text>
    </comment>
    <comment ref="EA18" authorId="0" shapeId="0">
      <text>
        <r>
          <rPr>
            <sz val="9"/>
            <color indexed="81"/>
            <rFont val="Tahoma"/>
            <family val="2"/>
          </rPr>
          <t>Summer 2015</t>
        </r>
      </text>
    </comment>
    <comment ref="DV21" authorId="1" shapeId="0">
      <text>
        <r>
          <rPr>
            <sz val="9"/>
            <color indexed="81"/>
            <rFont val="Tahoma"/>
            <family val="2"/>
          </rPr>
          <t>Estimate</t>
        </r>
      </text>
    </comment>
    <comment ref="EA23" authorId="0" shapeId="0">
      <text>
        <r>
          <rPr>
            <sz val="9"/>
            <color indexed="81"/>
            <rFont val="Tahoma"/>
            <family val="2"/>
          </rPr>
          <t>estimated, not actual.</t>
        </r>
      </text>
    </comment>
    <comment ref="BF24" authorId="0" shapeId="0">
      <text>
        <r>
          <rPr>
            <sz val="9"/>
            <color indexed="81"/>
            <rFont val="Tahoma"/>
            <family val="2"/>
          </rPr>
          <t>Combined gas and electric.</t>
        </r>
      </text>
    </comment>
    <comment ref="BG24" authorId="2" shapeId="0">
      <text>
        <r>
          <rPr>
            <b/>
            <sz val="9"/>
            <color indexed="81"/>
            <rFont val="Tahoma"/>
            <family val="2"/>
          </rPr>
          <t>Jen Loomis:</t>
        </r>
        <r>
          <rPr>
            <sz val="9"/>
            <color indexed="81"/>
            <rFont val="Tahoma"/>
            <family val="2"/>
          </rPr>
          <t xml:space="preserve">
Combined gas and electric</t>
        </r>
      </text>
    </comment>
    <comment ref="BG25" authorId="2" shapeId="0">
      <text>
        <r>
          <rPr>
            <b/>
            <sz val="9"/>
            <color indexed="81"/>
            <rFont val="Tahoma"/>
            <family val="2"/>
          </rPr>
          <t>Jen Loomis:</t>
        </r>
        <r>
          <rPr>
            <sz val="9"/>
            <color indexed="81"/>
            <rFont val="Tahoma"/>
            <family val="2"/>
          </rPr>
          <t xml:space="preserve">
Referred to as "gas storage."</t>
        </r>
      </text>
    </comment>
    <comment ref="BH77" authorId="0" shapeId="0">
      <text>
        <r>
          <rPr>
            <sz val="9"/>
            <color indexed="81"/>
            <rFont val="Tahoma"/>
            <family val="2"/>
          </rPr>
          <t>Air source only. As percentage of heat pump market. 
Geothermal = 37%</t>
        </r>
      </text>
    </comment>
  </commentList>
</comments>
</file>

<file path=xl/comments5.xml><?xml version="1.0" encoding="utf-8"?>
<comments xmlns="http://schemas.openxmlformats.org/spreadsheetml/2006/main">
  <authors>
    <author>Hale Forster</author>
  </authors>
  <commentList>
    <comment ref="AZ25" authorId="0" shapeId="0">
      <text>
        <r>
          <rPr>
            <b/>
            <sz val="9"/>
            <color indexed="81"/>
            <rFont val="Tahoma"/>
            <family val="2"/>
          </rPr>
          <t>Hale Forster:</t>
        </r>
        <r>
          <rPr>
            <sz val="9"/>
            <color indexed="81"/>
            <rFont val="Tahoma"/>
            <family val="2"/>
          </rPr>
          <t xml:space="preserve">
Delete if not used.</t>
        </r>
      </text>
    </comment>
    <comment ref="CP54" authorId="0" shapeId="0">
      <text>
        <r>
          <rPr>
            <b/>
            <sz val="9"/>
            <color indexed="81"/>
            <rFont val="Tahoma"/>
            <family val="2"/>
          </rPr>
          <t>Hale Forster:</t>
        </r>
        <r>
          <rPr>
            <sz val="9"/>
            <color indexed="81"/>
            <rFont val="Tahoma"/>
            <family val="2"/>
          </rPr>
          <t xml:space="preserve">
Reference formula for conditional formatting on Dashboard tab</t>
        </r>
      </text>
    </comment>
  </commentList>
</comments>
</file>

<file path=xl/sharedStrings.xml><?xml version="1.0" encoding="utf-8"?>
<sst xmlns="http://schemas.openxmlformats.org/spreadsheetml/2006/main" count="12415" uniqueCount="1122">
  <si>
    <t>Source</t>
  </si>
  <si>
    <t>Other</t>
  </si>
  <si>
    <t>%</t>
  </si>
  <si>
    <t>EIA</t>
  </si>
  <si>
    <t>HH Penetration</t>
  </si>
  <si>
    <t>HH Saturation</t>
  </si>
  <si>
    <t>Gas</t>
  </si>
  <si>
    <t>Pool heat - Gas</t>
  </si>
  <si>
    <t>Electric</t>
  </si>
  <si>
    <t>Pool pump</t>
  </si>
  <si>
    <t>Furnace - Fan</t>
  </si>
  <si>
    <t>Network equipment</t>
  </si>
  <si>
    <t>Media player/recorder</t>
  </si>
  <si>
    <t>Home Theater in a Box</t>
  </si>
  <si>
    <t>Printer</t>
  </si>
  <si>
    <t>Fax</t>
  </si>
  <si>
    <t>Copier</t>
  </si>
  <si>
    <t>Telephone</t>
  </si>
  <si>
    <t>Boiler</t>
  </si>
  <si>
    <t>Thermostat - Smart</t>
  </si>
  <si>
    <t>Rug cleaner</t>
  </si>
  <si>
    <t>Trash compactor</t>
  </si>
  <si>
    <t>Vacuum cleaner - Built-in</t>
  </si>
  <si>
    <t>Vacuum cleaner - Portable</t>
  </si>
  <si>
    <t>Coffee maker</t>
  </si>
  <si>
    <t>Food processing</t>
  </si>
  <si>
    <t>Projector</t>
  </si>
  <si>
    <t>Radio</t>
  </si>
  <si>
    <t>Central AC</t>
  </si>
  <si>
    <t>Fireplace</t>
  </si>
  <si>
    <t>Room AC</t>
  </si>
  <si>
    <t>Air cleaner</t>
  </si>
  <si>
    <t>Decorative lighting</t>
  </si>
  <si>
    <t>Task lamps</t>
  </si>
  <si>
    <t>Scanner</t>
  </si>
  <si>
    <t>Shredder</t>
  </si>
  <si>
    <t>Answering machine</t>
  </si>
  <si>
    <t>Clock</t>
  </si>
  <si>
    <t>Ride-on toy car</t>
  </si>
  <si>
    <t>Sauna</t>
  </si>
  <si>
    <t>Shaver</t>
  </si>
  <si>
    <t>Water cooler</t>
  </si>
  <si>
    <t>Beverage cooler</t>
  </si>
  <si>
    <t>Infant monitor transmitter</t>
  </si>
  <si>
    <t>Carbon monoxide detector</t>
  </si>
  <si>
    <t>Irrigation system</t>
  </si>
  <si>
    <t>Sump pump</t>
  </si>
  <si>
    <t>Well pump</t>
  </si>
  <si>
    <t>Sewing machine &amp; peripherals</t>
  </si>
  <si>
    <t>Ceramics-Pottery Wheel</t>
  </si>
  <si>
    <t>Uninterruptible power supply</t>
  </si>
  <si>
    <t>Office Equipment</t>
  </si>
  <si>
    <t>Entertainment</t>
  </si>
  <si>
    <t>Water/Waste Water</t>
  </si>
  <si>
    <t>Refrigeration</t>
  </si>
  <si>
    <t>Cooking</t>
  </si>
  <si>
    <t>Lighting</t>
  </si>
  <si>
    <t>Personal Care</t>
  </si>
  <si>
    <t>Security</t>
  </si>
  <si>
    <t>Energy Controls</t>
  </si>
  <si>
    <t>Hobbies</t>
  </si>
  <si>
    <t>Baseline UEC</t>
  </si>
  <si>
    <t>Oven/Range - Electric</t>
  </si>
  <si>
    <t>Security system</t>
  </si>
  <si>
    <t>Water purification system</t>
  </si>
  <si>
    <t>Barbeque - Gas</t>
  </si>
  <si>
    <t>Pond pump</t>
  </si>
  <si>
    <t>Hot water recirculation pump</t>
  </si>
  <si>
    <t>Ceramics - Kiln - Electric</t>
  </si>
  <si>
    <t>Barbeque - Electric</t>
  </si>
  <si>
    <t>Ceramics - Kiln - Gas</t>
  </si>
  <si>
    <t>Hot water heater - Gas</t>
  </si>
  <si>
    <t>Hot water heater - Electric</t>
  </si>
  <si>
    <t>Tier 1</t>
  </si>
  <si>
    <t>Tier 2</t>
  </si>
  <si>
    <t>Tier 3</t>
  </si>
  <si>
    <t>RSW Category</t>
  </si>
  <si>
    <t>HVAC</t>
  </si>
  <si>
    <t>Cleaning</t>
  </si>
  <si>
    <t>Electronics</t>
  </si>
  <si>
    <t>Energy Solutions</t>
  </si>
  <si>
    <t>Refrigerators</t>
  </si>
  <si>
    <t xml:space="preserve">HVAC </t>
  </si>
  <si>
    <t>Ventilating fan</t>
  </si>
  <si>
    <t>Waterbed heater</t>
  </si>
  <si>
    <t>Refrigerator/freezer</t>
  </si>
  <si>
    <t>Stand-alone freezer</t>
  </si>
  <si>
    <t>Portable space heater</t>
  </si>
  <si>
    <t>Television</t>
  </si>
  <si>
    <t>Compact audio</t>
  </si>
  <si>
    <t>Modem, router, integrated access device</t>
  </si>
  <si>
    <t>Electric grill</t>
  </si>
  <si>
    <t>Waffle maker</t>
  </si>
  <si>
    <t>Portable electric grill</t>
  </si>
  <si>
    <t>Crockpot</t>
  </si>
  <si>
    <t>Electric kettle</t>
  </si>
  <si>
    <t>Stand alone electric mixer</t>
  </si>
  <si>
    <t>Electric can opener</t>
  </si>
  <si>
    <t>Portable AC</t>
  </si>
  <si>
    <t>Smoke detector</t>
  </si>
  <si>
    <t>Water softener</t>
  </si>
  <si>
    <t>Dishwasher</t>
  </si>
  <si>
    <t>Organization</t>
  </si>
  <si>
    <t>Title</t>
  </si>
  <si>
    <t>Network attached storage drive</t>
  </si>
  <si>
    <t>Soundbar</t>
  </si>
  <si>
    <t>Includes other powered speakers.</t>
  </si>
  <si>
    <t>Any all-in-one audio system, including docks.</t>
  </si>
  <si>
    <t>Includes other products with rechargable batteries (eg: bluetooth-enabled speakers)</t>
  </si>
  <si>
    <t>Date Accessed</t>
  </si>
  <si>
    <t>Web Address</t>
  </si>
  <si>
    <t>Date Published</t>
  </si>
  <si>
    <t>Source ID</t>
  </si>
  <si>
    <t>U.S. Department of Energy</t>
  </si>
  <si>
    <t>National Impact Analysis</t>
  </si>
  <si>
    <t>http://www1.eere.energy.gov/buildings/appliance_standards/docs/national_impact_analysis.xlsm</t>
  </si>
  <si>
    <t>http://www.energy.ca.gov/appliances/2013rulemaking/documents/proposals/12-AAER-2A_Consumer_Electronics/California_IOUs_Response_to_the_Invitation_for_Standards_Proposals_for_Small_Network_Equipment_2013-07-29_TN-71761.pdf</t>
  </si>
  <si>
    <t>ENERGY STAR Market Share</t>
  </si>
  <si>
    <t>Includes multifunction devices</t>
  </si>
  <si>
    <t>Bathroom, stove</t>
  </si>
  <si>
    <t>Cable set-top, Satelite set-top, DVR</t>
  </si>
  <si>
    <t>CD, DVD, BluRay, VCR</t>
  </si>
  <si>
    <t>Grinders, mixer, processors, jucier, dough maker, blender</t>
  </si>
  <si>
    <t>Rice cooker, steamer, crock-pot, waffle iron, elecric kettle</t>
  </si>
  <si>
    <t>With and without stove top, including induction</t>
  </si>
  <si>
    <t>must have power plug</t>
  </si>
  <si>
    <t>Ducted and ductless</t>
  </si>
  <si>
    <t>Saws, drills, sanders, grinders, routers, yard care tools</t>
  </si>
  <si>
    <t>Pumps, inverters</t>
  </si>
  <si>
    <t>Wine, beer, other</t>
  </si>
  <si>
    <t>Filter Inputs</t>
  </si>
  <si>
    <t>Fuel Filter</t>
  </si>
  <si>
    <t>Product #</t>
  </si>
  <si>
    <t>Product Name</t>
  </si>
  <si>
    <t>Unique</t>
  </si>
  <si>
    <t>Sorted</t>
  </si>
  <si>
    <t>Position</t>
  </si>
  <si>
    <t>BCE</t>
  </si>
  <si>
    <t>HEER</t>
  </si>
  <si>
    <t>ResHVAC</t>
  </si>
  <si>
    <t>Value</t>
  </si>
  <si>
    <t>Index</t>
  </si>
  <si>
    <t>Penetration</t>
  </si>
  <si>
    <t>Saturation</t>
  </si>
  <si>
    <t>PG&amp;E</t>
  </si>
  <si>
    <t>SCE</t>
  </si>
  <si>
    <t>SDG&amp;E</t>
  </si>
  <si>
    <t>Sort by</t>
  </si>
  <si>
    <t>ESTAR UEC savings</t>
  </si>
  <si>
    <t>HOUSEHOLD VIEW</t>
  </si>
  <si>
    <t>Utility Program Category Filter (UtilityProgram)</t>
  </si>
  <si>
    <t>GLOBAL FILTERS AND NAMED RANGES</t>
  </si>
  <si>
    <t>Unknown</t>
  </si>
  <si>
    <t>Statewide HH Penetration 2012</t>
  </si>
  <si>
    <t>Statewide HH Penetration 2009</t>
  </si>
  <si>
    <t>PG&amp;E HH Penetration 2003</t>
  </si>
  <si>
    <t>PG&amp;E HH Penetration 2009</t>
  </si>
  <si>
    <t>PG&amp;E HH Penetration 2012</t>
  </si>
  <si>
    <t>SCE HH Penetration 2003</t>
  </si>
  <si>
    <t>SCE HH Penetration 2009</t>
  </si>
  <si>
    <t>SCE HH Penetration 2012</t>
  </si>
  <si>
    <t>SDG&amp;E HH Penetration 2003</t>
  </si>
  <si>
    <t>SDG&amp;E HH Penetration 2009</t>
  </si>
  <si>
    <t>SDG&amp;E HH Penetration 2012</t>
  </si>
  <si>
    <t>Statewide HH Saturation 2003</t>
  </si>
  <si>
    <t>Statewide HH Saturation 2009</t>
  </si>
  <si>
    <t>Statewide HH Saturation 2012</t>
  </si>
  <si>
    <t>PG&amp;E HH Saturation 2003</t>
  </si>
  <si>
    <t>PG&amp;E HH Saturation 2009</t>
  </si>
  <si>
    <t>PG&amp;E HH Saturation 2012</t>
  </si>
  <si>
    <t>SCE HH Saturation 2003</t>
  </si>
  <si>
    <t>SCE HH Saturation 2009</t>
  </si>
  <si>
    <t>SCE HH Saturation 2012</t>
  </si>
  <si>
    <t>SDG&amp;E HH Saturation 2003</t>
  </si>
  <si>
    <t>SDG&amp;E HH Saturation 2009</t>
  </si>
  <si>
    <t>SDG&amp;E HH Saturation 2012</t>
  </si>
  <si>
    <t>Statewide HH Penetration 2003</t>
  </si>
  <si>
    <t xml:space="preserve">California </t>
  </si>
  <si>
    <t>Household Energy Consumption</t>
  </si>
  <si>
    <t>Household</t>
  </si>
  <si>
    <t>ENERGY STAR</t>
  </si>
  <si>
    <t>Market Share</t>
  </si>
  <si>
    <t>Includes programmable thermostats</t>
  </si>
  <si>
    <t>Select Fuel →</t>
  </si>
  <si>
    <r>
      <t xml:space="preserve">Select Territory </t>
    </r>
    <r>
      <rPr>
        <b/>
        <sz val="11"/>
        <color theme="0"/>
        <rFont val="Calibri"/>
        <family val="2"/>
      </rPr>
      <t>→</t>
    </r>
  </si>
  <si>
    <t>ESTAR</t>
  </si>
  <si>
    <t>Tier 1 Products</t>
  </si>
  <si>
    <t>Device Snapshot</t>
  </si>
  <si>
    <t>N/A</t>
  </si>
  <si>
    <t xml:space="preserve">Product Specification for Clothes Washers Version 6.1 </t>
  </si>
  <si>
    <t>Clothes Washers Specification Version 7.0</t>
  </si>
  <si>
    <t>Federal</t>
  </si>
  <si>
    <t>Refrigerators and Freezers Program Requirements Version 5.0</t>
  </si>
  <si>
    <t>AV Products Program Requirements Version 3.0</t>
  </si>
  <si>
    <t>Title 20 Section 1605.3(v)1: Consumer Audio and Video Equipment</t>
  </si>
  <si>
    <t>Pool Pumps Program Requirements Version 1.0</t>
  </si>
  <si>
    <t>Title 20 Section 1605.3(g)(5)(B)1: Residential Pool Pump and Motor Combinations</t>
  </si>
  <si>
    <t>Version 3.0 Program Requirements for Set-top Boxes</t>
  </si>
  <si>
    <t xml:space="preserve">Version 4.1 Program Requirements </t>
  </si>
  <si>
    <t>Television Program Requirements Version 6.1</t>
  </si>
  <si>
    <t>Television Program Requirements Version 7.0</t>
  </si>
  <si>
    <t>Title 20 Section 1605.3(v)2: Televisions</t>
  </si>
  <si>
    <t>Computer Program Requirements Version 6.0</t>
  </si>
  <si>
    <t>Final Rule: Standards: 66 FR 4474</t>
  </si>
  <si>
    <t xml:space="preserve">Displays Program Requirements Version 6.0 </t>
  </si>
  <si>
    <t xml:space="preserve">Title 20 Section 1605.3(g)(6): Portable Electric Spas </t>
  </si>
  <si>
    <t>Furnaces Specification V4.0</t>
  </si>
  <si>
    <t>Program Requirements for Residential Water Heaters Version 2.0</t>
  </si>
  <si>
    <t>ACEEE</t>
  </si>
  <si>
    <t>Emerging Hot Water Technologies and Practices for Energy Efficiency as of 2011</t>
  </si>
  <si>
    <t>http://www.aceee.org/sites/default/files/publications/researchreports/a112.pdf</t>
  </si>
  <si>
    <t>Miscellaneous Energy Loads in Buildings</t>
  </si>
  <si>
    <t>http://www.aceee.org/sites/default/files/publications/researchreports/a133.pdf</t>
  </si>
  <si>
    <t>US:</t>
  </si>
  <si>
    <t>CA:</t>
  </si>
  <si>
    <t>ESTAR:</t>
  </si>
  <si>
    <t>Natural Gas</t>
  </si>
  <si>
    <t>End Use</t>
  </si>
  <si>
    <t>Quads</t>
  </si>
  <si>
    <t>Space Heating</t>
  </si>
  <si>
    <t>Water Heating</t>
  </si>
  <si>
    <t>Air Conditioning</t>
  </si>
  <si>
    <t>Total</t>
  </si>
  <si>
    <t>Average of monochrome and color</t>
  </si>
  <si>
    <t>Telephony category - cordless phones.</t>
  </si>
  <si>
    <t>Battery charging systems. Same as power tools.</t>
  </si>
  <si>
    <t>Small Network Equipment Requirements 1.0</t>
  </si>
  <si>
    <t>Energy Conservation Standards for Residential Conventional Cooking Products; Request for information (RFI) and notice of document availability</t>
  </si>
  <si>
    <t>http://www.regulations.gov/#!documentDetail;D=EERE-2014-BT-STD-0005-0001</t>
  </si>
  <si>
    <t>Chapter 7: Energy Use Analysis</t>
  </si>
  <si>
    <t>http://www1.eere.energy.gov/buildings/appliance_standards/pdfs/ff_prelim_ch_07_energyuse_2012_07_05.pdf</t>
  </si>
  <si>
    <t>http://aceee.org/files/proceedings/2010/data/papers/2214.pdf</t>
  </si>
  <si>
    <t>Potential Impact of Adopting Maximum Technologies as Minimum Efficiency Performance Standards in the U.S. Residential Sector</t>
  </si>
  <si>
    <t>http://www.toptenusa.org/Top-Ten-Freezers</t>
  </si>
  <si>
    <t>TopTenUSA</t>
  </si>
  <si>
    <t>Most efficient on-market tower-type CPU (excludes monitor)</t>
  </si>
  <si>
    <t>Product</t>
  </si>
  <si>
    <t>Price Range</t>
  </si>
  <si>
    <t>Non ENERGY STAR</t>
  </si>
  <si>
    <t>Price range</t>
  </si>
  <si>
    <t>&gt;10 cu ft</t>
  </si>
  <si>
    <t>Count</t>
  </si>
  <si>
    <t>Percent</t>
  </si>
  <si>
    <t>Under $500</t>
  </si>
  <si>
    <t>$500 to $699</t>
  </si>
  <si>
    <t>$700 to $899</t>
  </si>
  <si>
    <t>$900 to $1500</t>
  </si>
  <si>
    <t>Non-ENERGY STAR</t>
  </si>
  <si>
    <t>Under $400</t>
  </si>
  <si>
    <t>$400 to $599</t>
  </si>
  <si>
    <t>$600 to $799</t>
  </si>
  <si>
    <t>$800 to $999</t>
  </si>
  <si>
    <t>$1000 to $1299</t>
  </si>
  <si>
    <t>$1300 to $1599</t>
  </si>
  <si>
    <t>$1600 to $1899</t>
  </si>
  <si>
    <t>$1900 to $2199</t>
  </si>
  <si>
    <t>$2200 to 2499</t>
  </si>
  <si>
    <t>$2500 or more</t>
  </si>
  <si>
    <t>Chest and upright</t>
  </si>
  <si>
    <t>Under $300</t>
  </si>
  <si>
    <t>$300 to $499</t>
  </si>
  <si>
    <t>$900 or more</t>
  </si>
  <si>
    <t>$1000 or more</t>
  </si>
  <si>
    <t>$250 - $499</t>
  </si>
  <si>
    <t>$500 - $749</t>
  </si>
  <si>
    <t>$750 - $999</t>
  </si>
  <si>
    <t>$1000 - $1249</t>
  </si>
  <si>
    <t>$1250 - $1499</t>
  </si>
  <si>
    <t>$1500 - $1999</t>
  </si>
  <si>
    <t>$200 - $249</t>
  </si>
  <si>
    <t>$2000 - $2499</t>
  </si>
  <si>
    <t>$2500 - $2999</t>
  </si>
  <si>
    <t>$50 - $99</t>
  </si>
  <si>
    <t>$100 - $149</t>
  </si>
  <si>
    <t>$150 - $199</t>
  </si>
  <si>
    <t>Variable speed</t>
  </si>
  <si>
    <t>Dual speed</t>
  </si>
  <si>
    <t>Under $800</t>
  </si>
  <si>
    <t>Notes</t>
  </si>
  <si>
    <t>Pool Pump</t>
  </si>
  <si>
    <t>Overall ENERGY STAR Model Penetration</t>
  </si>
  <si>
    <t>ENERGY STAR model status not available; low number of ENERGY STAR models approved</t>
  </si>
  <si>
    <t>Not sold at online retailers - data not available</t>
  </si>
  <si>
    <t>Under $500 (4 models)</t>
  </si>
  <si>
    <t>$500 to $699 (26 models)</t>
  </si>
  <si>
    <t>$700 to $899 (20 models)</t>
  </si>
  <si>
    <t>$900 to $1500 (66 models)</t>
  </si>
  <si>
    <t>Under $400 (6 models)</t>
  </si>
  <si>
    <t>$400 to $599 (103 models)</t>
  </si>
  <si>
    <t>$600 to $799 (80 models)</t>
  </si>
  <si>
    <t>$800 to $999 (68 models)</t>
  </si>
  <si>
    <t>$1000 to $1299 (84 models)</t>
  </si>
  <si>
    <t>$1300 to $1599 (103 models)</t>
  </si>
  <si>
    <t>$1600 to $1899 (71 models)</t>
  </si>
  <si>
    <t>$1900 to $2199 (47 models)</t>
  </si>
  <si>
    <t>$2200 to 2499 (48 models)</t>
  </si>
  <si>
    <t>$2500 or more (102 models)</t>
  </si>
  <si>
    <t>Under $300 (11 models)</t>
  </si>
  <si>
    <t>$300 to $499 (17 models)</t>
  </si>
  <si>
    <t>$500 to $699 (17 models)</t>
  </si>
  <si>
    <t>$700 to $899 (14 models)</t>
  </si>
  <si>
    <t>$900 or more (8 models)</t>
  </si>
  <si>
    <t>Under $300 (4 models)</t>
  </si>
  <si>
    <t>$300 to $499 (12 models)</t>
  </si>
  <si>
    <t>$500 to $699 (2 models)</t>
  </si>
  <si>
    <t>Over $700 (1 models)</t>
  </si>
  <si>
    <t>Under $400 (5 models)</t>
  </si>
  <si>
    <t>$400 to $599 (13 models)</t>
  </si>
  <si>
    <t>$600 to $799 (5 models)</t>
  </si>
  <si>
    <t>$800 to $999 (5 models)</t>
  </si>
  <si>
    <t>$1000 or more (2 models)</t>
  </si>
  <si>
    <t>Less than $250 (4 models)</t>
  </si>
  <si>
    <t>$250 - $499 (70 models)</t>
  </si>
  <si>
    <t>$500 - $749 (91 models)</t>
  </si>
  <si>
    <t>$750 - $999 (76 models)</t>
  </si>
  <si>
    <t>$1000 - $1249 (35 models)</t>
  </si>
  <si>
    <t>$1250 - $1499 (35 models)</t>
  </si>
  <si>
    <t>$1500 - $1999 (26 models)</t>
  </si>
  <si>
    <t>Less than $200 (46 models)</t>
  </si>
  <si>
    <t>$200 - $249 (32 models)</t>
  </si>
  <si>
    <t>$500 - $749 (33 models)</t>
  </si>
  <si>
    <t>$750 - $999 (26 models)</t>
  </si>
  <si>
    <t>$1000 - $1249 (7 models)</t>
  </si>
  <si>
    <t>$1250 - $1499 (13 models)</t>
  </si>
  <si>
    <t>$1500 - $1999 (16 models)</t>
  </si>
  <si>
    <t>$2000 - $2499 (13 models)</t>
  </si>
  <si>
    <t>$2500 - $2999 (11 models)</t>
  </si>
  <si>
    <t>$3000 and Up (30 models)</t>
  </si>
  <si>
    <t>Less than $250 (2 models)</t>
  </si>
  <si>
    <t>$250 - $499 (34 models)</t>
  </si>
  <si>
    <t>$500 - $749 (42 models)</t>
  </si>
  <si>
    <t>$750 - $999 (17 models)</t>
  </si>
  <si>
    <t>Over $1000 (6 models)</t>
  </si>
  <si>
    <t>$50 - $99 (20 models)</t>
  </si>
  <si>
    <t>$100 - $149 (68 models)</t>
  </si>
  <si>
    <t>$150 - $199 (60 models)</t>
  </si>
  <si>
    <t>$200 - $249 (38 models)</t>
  </si>
  <si>
    <t>$250 - $499 (65 models)</t>
  </si>
  <si>
    <t>$500 - $749 (17 models)</t>
  </si>
  <si>
    <t>$750 or over (5 models)</t>
  </si>
  <si>
    <t>Under $800 (13 models)</t>
  </si>
  <si>
    <t>$800 and above (9 models)</t>
  </si>
  <si>
    <t>Excludes refurbished products, includes 9 chromebook models. No netbooks in assortment.</t>
  </si>
  <si>
    <t>Compares variable speed vs dual speed. Also includes stand-alone motors, corrected for average cost of other pump components.</t>
  </si>
  <si>
    <t>Tier 1 View</t>
  </si>
  <si>
    <t>Sort by (T1Sort)</t>
  </si>
  <si>
    <t>Sort by (HHVSort)</t>
  </si>
  <si>
    <t>Checked</t>
  </si>
  <si>
    <t>Filter by</t>
  </si>
  <si>
    <t>Selected Device List</t>
  </si>
  <si>
    <t>Selected Products LIst (T1CustomList)</t>
  </si>
  <si>
    <t>End Uses (EndUse)</t>
  </si>
  <si>
    <t>Select Territory →</t>
  </si>
  <si>
    <t>Territory Filter (Territory)</t>
  </si>
  <si>
    <t>Territory Filter</t>
  </si>
  <si>
    <t>Consumer Electronics: Market Trends, Energy Consumption, and Program Recommendations 2005-2010.</t>
  </si>
  <si>
    <t>http://www.etcc-ca.com/sites/default/files/OLD/images/stories/pdf/ETCC_Report_370.pdf</t>
  </si>
  <si>
    <t>Includes netbooks, excludes tablets</t>
  </si>
  <si>
    <t>SCG</t>
  </si>
  <si>
    <t>All</t>
  </si>
  <si>
    <t>PRICE POINT DATA</t>
  </si>
  <si>
    <t>Category</t>
  </si>
  <si>
    <t># of price ranges</t>
  </si>
  <si>
    <t>Price Range 1</t>
  </si>
  <si>
    <t>Price Range 2</t>
  </si>
  <si>
    <t>Price Range 3</t>
  </si>
  <si>
    <t>Price Range 4</t>
  </si>
  <si>
    <t>Price Range 5</t>
  </si>
  <si>
    <t>Price Range 6</t>
  </si>
  <si>
    <t>Price Range 7</t>
  </si>
  <si>
    <t>Price Range 8</t>
  </si>
  <si>
    <t>Price Range 9</t>
  </si>
  <si>
    <t>Price Range 10</t>
  </si>
  <si>
    <t>Price Range 11</t>
  </si>
  <si>
    <t>ENERGY STAR Percent 1</t>
  </si>
  <si>
    <t>ENERGY STAR Percent 2</t>
  </si>
  <si>
    <t>ENERGY STAR Percent 3</t>
  </si>
  <si>
    <t>ENERGY STAR Percent 4</t>
  </si>
  <si>
    <t>ENERGY STAR Percent 5</t>
  </si>
  <si>
    <t>ENERGY STAR Percent 6</t>
  </si>
  <si>
    <t>ENERGY STAR Percent 7</t>
  </si>
  <si>
    <t>ENERGY STAR Percent 8</t>
  </si>
  <si>
    <t>ENERGY STAR Percent 9</t>
  </si>
  <si>
    <t>ENERGY STAR Percent 10</t>
  </si>
  <si>
    <t>ENERGY STAR Percent 11</t>
  </si>
  <si>
    <t>White Goods</t>
  </si>
  <si>
    <t>Row Start</t>
  </si>
  <si>
    <t>SCG HH Penetration 2003</t>
  </si>
  <si>
    <t>SCG HH Penetration 2009</t>
  </si>
  <si>
    <t>SCG HH Penetration 2012</t>
  </si>
  <si>
    <t>SCG HH Saturation 2003</t>
  </si>
  <si>
    <t>SCG HH Saturation 2009</t>
  </si>
  <si>
    <t>SCG HH Saturation 2012</t>
  </si>
  <si>
    <t>Source #</t>
  </si>
  <si>
    <t>'03</t>
  </si>
  <si>
    <t>'09</t>
  </si>
  <si>
    <t>'12</t>
  </si>
  <si>
    <t>Upcoming Federal Standard Year</t>
  </si>
  <si>
    <t>Upcoming ESTAR Standard Year</t>
  </si>
  <si>
    <t>Sort by  →</t>
  </si>
  <si>
    <t>C&amp;S Changes</t>
  </si>
  <si>
    <t>Energy Star Market Share</t>
  </si>
  <si>
    <t>Savings Calculator for ENERGY STAR Qualified Office Equipment</t>
  </si>
  <si>
    <t>http://www.energystar.gov/ia/business/bulk_purchasing/bpsavings_calc/Calc_office_eq.xls</t>
  </si>
  <si>
    <t>Most recent upcoming date?</t>
  </si>
  <si>
    <t>Decorative gas fireplace</t>
  </si>
  <si>
    <t>Patio heater</t>
  </si>
  <si>
    <t xml:space="preserve">Territory Technical </t>
  </si>
  <si>
    <t>Potential Savings</t>
  </si>
  <si>
    <t>Current Federal Standard Year</t>
  </si>
  <si>
    <t>Current ESTAR Standard Year</t>
  </si>
  <si>
    <t>Type</t>
  </si>
  <si>
    <t># Models</t>
  </si>
  <si>
    <t>% ESTAR</t>
  </si>
  <si>
    <t>Electronic Code of Federal Regulations: 10 CFR 430.32 (g)(3)</t>
  </si>
  <si>
    <t>Code of Federal Regulations: 10 CFR 430.32(a)</t>
  </si>
  <si>
    <t>Code of Federal Regulations: 10 CFR 430.32(h)(3)</t>
  </si>
  <si>
    <t>Code of Federal Regulations, 10 CFR 430.32(e)(1)(i) and (e)(2)(i)</t>
  </si>
  <si>
    <t>Code of Federal Regulations, 10 CFR 430.32(a)</t>
  </si>
  <si>
    <t>Code of Federal Regulations, 10 CFR 430.32(h)(2)</t>
  </si>
  <si>
    <t>Code of Federal Regulations: 10 CFR 430.32(j)(3)</t>
  </si>
  <si>
    <t>Weatherized furnaces Code of Federal Regulations, 10 CFR 430.32(e)(1)(i) and (e)(2)(i)</t>
  </si>
  <si>
    <t>Code of Federal Regulations, 10 CFR 430.32(g)</t>
  </si>
  <si>
    <t>Filename</t>
  </si>
  <si>
    <t>Custom Select:</t>
  </si>
  <si>
    <t>Both</t>
  </si>
  <si>
    <t>Codes and Specifications</t>
  </si>
  <si>
    <t>Overall Price Range</t>
  </si>
  <si>
    <t>Overall # Models</t>
  </si>
  <si>
    <t>Under $500 to $1500</t>
  </si>
  <si>
    <t>Under $600</t>
  </si>
  <si>
    <t>Under $700</t>
  </si>
  <si>
    <t>$750 or more</t>
  </si>
  <si>
    <t>$3000 or more</t>
  </si>
  <si>
    <t>$800 or more</t>
  </si>
  <si>
    <t>$700 or more</t>
  </si>
  <si>
    <t>Under $400 to $2500 or more</t>
  </si>
  <si>
    <t>Under $300 to $900 or more</t>
  </si>
  <si>
    <t>Under $400 to $1000 or more</t>
  </si>
  <si>
    <t>Under $800 to $800 or more</t>
  </si>
  <si>
    <t>Under $250 to $1000 or more</t>
  </si>
  <si>
    <t>Under $250</t>
  </si>
  <si>
    <t>Under $200</t>
  </si>
  <si>
    <t>$50 to $750 or more</t>
  </si>
  <si>
    <t>Under $250 to $1999</t>
  </si>
  <si>
    <t>Under $200 to $3000 or more</t>
  </si>
  <si>
    <t>Availibility limited below:</t>
  </si>
  <si>
    <t>Availability limited above:</t>
  </si>
  <si>
    <t>Clothes Dryers Specification Version 1.0</t>
  </si>
  <si>
    <t>Refrigerators and Freezers Program Requirements Version 4.1</t>
  </si>
  <si>
    <t>V7.0 ENERGY STAR Displays Specification Draft 1</t>
  </si>
  <si>
    <t>Price</t>
  </si>
  <si>
    <t>Low Price Constraint</t>
  </si>
  <si>
    <t>High Price Constraint</t>
  </si>
  <si>
    <t>Linked to Radio Buttons</t>
  </si>
  <si>
    <t>Federal Current Effective Date</t>
  </si>
  <si>
    <t>Federal Current Name</t>
  </si>
  <si>
    <t>Final</t>
  </si>
  <si>
    <t>In Process</t>
  </si>
  <si>
    <t>ESTAR Current Effective Date</t>
  </si>
  <si>
    <t>ESTAR Current Name</t>
  </si>
  <si>
    <t>ESTAR Future Status</t>
  </si>
  <si>
    <t>Federal Future Status</t>
  </si>
  <si>
    <t>Energy Conservation Standards for Residential Conventional Cooking Products 10 CFR Part 431</t>
  </si>
  <si>
    <t>Upcoming Federal Standard Status</t>
  </si>
  <si>
    <t>Upcoming ESTAR Standard Status</t>
  </si>
  <si>
    <t>Best on market</t>
  </si>
  <si>
    <t>Fuel Filter (FuelFilter)</t>
  </si>
  <si>
    <r>
      <t xml:space="preserve">Select Fuel </t>
    </r>
    <r>
      <rPr>
        <b/>
        <sz val="11"/>
        <color theme="0"/>
        <rFont val="Calibri"/>
        <family val="2"/>
      </rPr>
      <t>→</t>
    </r>
  </si>
  <si>
    <r>
      <t xml:space="preserve">Sort by </t>
    </r>
    <r>
      <rPr>
        <b/>
        <sz val="11"/>
        <color theme="0"/>
        <rFont val="Calibri"/>
        <family val="2"/>
      </rPr>
      <t>→</t>
    </r>
  </si>
  <si>
    <t>New Filter by (T1FilterByNew)</t>
  </si>
  <si>
    <t>FilterIndex</t>
  </si>
  <si>
    <t>T1FilterByNew Result</t>
  </si>
  <si>
    <t>Dropdown Destination</t>
  </si>
  <si>
    <t>HHFilterBy</t>
  </si>
  <si>
    <t>Leslie's Pool Supply</t>
  </si>
  <si>
    <t>Best Buy</t>
  </si>
  <si>
    <t>Sears</t>
  </si>
  <si>
    <t>http://www.lesliespool.com</t>
  </si>
  <si>
    <t>http://www.bestbuy.com</t>
  </si>
  <si>
    <t>http://www.Sears.com</t>
  </si>
  <si>
    <t>http://www1.eere.energy.gov/buildings/appliance_standards/product.aspx/productid/39</t>
  </si>
  <si>
    <t>Residential Clothes Washers</t>
  </si>
  <si>
    <t xml:space="preserve">Residential Refrigerators and Freezers </t>
  </si>
  <si>
    <t xml:space="preserve">Residential Kitchen Ranges and Ovens </t>
  </si>
  <si>
    <t>http://www1.eere.energy.gov/buildings/appliance_standards/product.aspx/productid/57</t>
  </si>
  <si>
    <t>http://www1.eere.energy.gov/buildings/appliance_standards/product.aspx/productid/72</t>
  </si>
  <si>
    <t>Residential Furnaces and Boilers</t>
  </si>
  <si>
    <t>Residential Clothes Dryers</t>
  </si>
  <si>
    <t>http://www1.eere.energy.gov/buildings/appliance_standards/product.aspx/productid/48</t>
  </si>
  <si>
    <t>Microwave Ovens</t>
  </si>
  <si>
    <t>http://www1.eere.energy.gov/buildings/appliance_standards/product.aspx/productid/27</t>
  </si>
  <si>
    <t>Residential Water Heaters</t>
  </si>
  <si>
    <t>https://www.energystar.gov/ia/partners/prod_development/revisions/downloads/commercial_clothes_washers/Clothes_Washers_Program_Requirements_Version_6_1.pdf?9192-b006</t>
  </si>
  <si>
    <t>https://www.energystar.gov/products/specs/node/405</t>
  </si>
  <si>
    <t xml:space="preserve">ENERGY STAR Program Requirements Product Specification for Clothes Washers </t>
  </si>
  <si>
    <t>http://www.energystar.gov/products/specs/system/files/Furnaces_Version_4.0_Program_Requirements.pdf</t>
  </si>
  <si>
    <t xml:space="preserve">ENERGY STAR Program Requirements for Furnaces </t>
  </si>
  <si>
    <t>https://www.energystar.gov/ia/partners/product_specs/program_reqs/Refrigerators_and_Freezers_Program_Requirements.pdf?f06d-5d52</t>
  </si>
  <si>
    <t>https://www.energystar.gov/ia/partners/product_specs/program_reqs/Refrigerators_and_Freezers_Program_Requirements_V5.0.pdf?f06d-5d52</t>
  </si>
  <si>
    <t>ENERGY STAR Program Requirements Product Specification for Residential Refrigerators and Freezers Eligibility Criteria Version 4.1</t>
  </si>
  <si>
    <t>ENERGY STAR Program Requirements Product Specification for Residential Refrigerators and Freezers Eligibility Criteria Version 5.0</t>
  </si>
  <si>
    <t>http://www.energystar.gov/products/specs/sites/products/files/ENERGY%20STAR%20Clothes%20Dryers%20Supplemental%20Proposal.pdf</t>
  </si>
  <si>
    <t xml:space="preserve">ENERGY STAR Clothes Dryers Supplemental Proposal
</t>
  </si>
  <si>
    <t>https://www.energystar.gov/ia/partners/product_specs/program_reqs/Final_Version_3_AV_Program_Requirements.pdf?61fb-bfd2</t>
  </si>
  <si>
    <t>https://www.energystar.gov/certified-products/sites/products/uploads/files/Computers_Program_Requirements_Version_6%200.pdf?28ee-c058</t>
  </si>
  <si>
    <t>ENERGY STAR Program Requirements Product Specification for Computers Eligibility Criteria Version 6.0 Rev. Oct-2013</t>
  </si>
  <si>
    <t>ENERGY STAR Program Requirements Product Specification for Set-top Boxes Eligibility Criteria Version 3.0 Rev. Oct -2012</t>
  </si>
  <si>
    <t>https://www.energystar.gov/ia/partners/prod_development/revisions/downloads/settop_boxes/STB_Version_3_Program_Requirements_Manufacturer.pdf?0760-f7e4</t>
  </si>
  <si>
    <t>https://www.energystar.gov/products/specs/sites/products/files/Final%20Draft%20Version%204.1%20Set-top%20Box%20Specification.pdf</t>
  </si>
  <si>
    <t xml:space="preserve">ENERGY STAR Product Specification for Set-top Boxes Eligibility Criteria Final Draft Version 4.1 </t>
  </si>
  <si>
    <t>ENERGY STAR Program Requirements Product Specification for Televisions Eligibility Criteria Version 6.1</t>
  </si>
  <si>
    <t>https://www.energystar.gov/products/specs/sites/products/files/EPA_Cover_Memo_TVs_12_02_2013_0.pdf</t>
  </si>
  <si>
    <t>https://www.energystar.gov/certified-products/sites/products/uploads/files/ENERGY%20STAR%20Version%206%201%20TV%20Specification.pdf?b518-23d1</t>
  </si>
  <si>
    <t>ENERGY STAR Version 7.0 Specification Development Launch and Data Assembly - Cover Memo</t>
  </si>
  <si>
    <t>ENERGY STAR Product Specification for Small Network Equipment Eligibility Criteria Version 1.0 Rev. Nov -2013</t>
  </si>
  <si>
    <t>http://www.energystar.gov/products/specs/system/files/SmallNetworkEquipment_V1_ENERGYSTAR_ProgramRequirements_Nov2013_0.pdf</t>
  </si>
  <si>
    <t>https://www.energystar.gov/products/specs/sites/products/files/Final_Version_6%200_Displays_Program_Requirements.pdf</t>
  </si>
  <si>
    <t>ENERGY STAR Program Requirements Product Specification for Displays Eligibility Criteria Version 6.0 Rev. Jan - 2013</t>
  </si>
  <si>
    <t>https://www.energystar.gov/products/specs/sites/products/files/Displays_V7_CoverMemo_02_24_2014.pdf</t>
  </si>
  <si>
    <t>ENERGY STAR V7.0 Specification Data Call and Draft 1 Test Method - Cover Memo</t>
  </si>
  <si>
    <t>https://www.energystar.gov/products/specs/system/files/ENERGY%20STAR%20Water%20Heaters%20V2%200%20Program%20Requirements.pdf</t>
  </si>
  <si>
    <t xml:space="preserve">ENERGY STAR Program Requirements Product Specification for Residential Water Heaters Eligibility Criteria Version 2.0 </t>
  </si>
  <si>
    <t>California  Code  Of  Regulations Title 20. Public Utilities And Energy</t>
  </si>
  <si>
    <t>http://www.energy.ca.gov/2014publications/CEC-140-2014-002/CEC-140-2014-002.pdf</t>
  </si>
  <si>
    <t>California Energy Commission</t>
  </si>
  <si>
    <t>http://www.ecfr.gov/cgi-bin/text-idx?SID=a7c6cd7918f914346b022597aabdf9b3&amp;node=10:3.0.1.4.18.3.9.2&amp;rgn=div8</t>
  </si>
  <si>
    <t>2009 California Residential Appliance Saturation Study (RASS)</t>
  </si>
  <si>
    <t>http://websafe.kemainc.com/rass2009/Default.aspx</t>
  </si>
  <si>
    <t>KEMA</t>
  </si>
  <si>
    <t>2003 California Residential Appliance Saturation Study (RASS)</t>
  </si>
  <si>
    <t>https://websafe.kemainc.com/projects62/Default.aspx?tabid=190</t>
  </si>
  <si>
    <t>Sears Website</t>
  </si>
  <si>
    <t>Best Buy Website</t>
  </si>
  <si>
    <t>Leslie's Pool Supply Website</t>
  </si>
  <si>
    <t>http://www.aceee.org/files/pdf/white-paper/great-lakes-clothes-washers.pdf</t>
  </si>
  <si>
    <t>Energy Conservation Program for Consumer Products : Energy Conservation Standards for Residential Furnace Fans</t>
  </si>
  <si>
    <t>Top Ten Freezers</t>
  </si>
  <si>
    <t>Lawrence Berkeley National Laboratory</t>
  </si>
  <si>
    <t>Max Tech and Beyond - Cumulative (30-year) Technical Energy-Savings Potential Estimates</t>
  </si>
  <si>
    <t>http://www.energy.ca.gov/appliances/2013rulemaking/documents/responses/Consumer_Electronics_12-AAER-2A/California_IOUs_Response_to_the_Invitation_to_Participate_for_Displays_REFERENCES/LBNL_2011_Max_Tech_and_Beyond_Cumulative_Tech_Potential_Est.xlsx</t>
  </si>
  <si>
    <t>http://www.energystar.gov/products/specs/sites/products/files/ENERGY%20STAR%20Final%20Draft%20Version%201.0%20Clothes%20Dryers%20Specification_0.pdf</t>
  </si>
  <si>
    <t>ENERGY STAR Program Requirements Product Specification for Clothes Dryers Eligibility Criteria Final Draft Version 1.0</t>
  </si>
  <si>
    <t>Pools &amp; Spas - Codes and Standards Enhancement (CASE) Initiative for PY 2013: Title 20 Standards Development - Analysis of Standards Proposal for Residential Swimming Pool &amp; Portable Spa Equipment</t>
  </si>
  <si>
    <t>http://www.energy.ca.gov/appliances/2013rulemaking/documents/proposals/12-AAER-2F_Residential_Pool_Pumps_and_Replacement_Motors/California_IOUs_Response_to_the_Invitation_to_Submit_Proposals_for_Pool_and_Spas_2013-07-29_TN-71756.pdf</t>
  </si>
  <si>
    <t>2012 California Lighting and Appliance Saturation Study (CLASS)</t>
  </si>
  <si>
    <t xml:space="preserve">ENERGY STAR Program Requirements Product Specification for Audio/Video Eligibility Criteria Version 3.0 </t>
  </si>
  <si>
    <t>Ecova</t>
  </si>
  <si>
    <t>Work Paper PGECOPUM102 Variable Speed Pool Pump-Residential Revision # 4</t>
  </si>
  <si>
    <t>Small Network Equipment: Codes and Standards Enhancement (CASE) Intiative, Submitted to CEC by IOUs</t>
  </si>
  <si>
    <t>http://www.ma-eeac.org/Docs/8.3_TRMs/1MATRM_2013-15%20PLAN_FINAL.pdf</t>
  </si>
  <si>
    <t xml:space="preserve">Massachusetts Technical Reference Manual for Estimating Savings from Energy Efficiency Measures </t>
  </si>
  <si>
    <t>Device Snapshot Product Number</t>
  </si>
  <si>
    <t>All IOUs</t>
  </si>
  <si>
    <t>Filter</t>
  </si>
  <si>
    <t>Device Name</t>
  </si>
  <si>
    <t>Device Category</t>
  </si>
  <si>
    <t>Adapted from draft 2013 SCE list of energy-using devices</t>
  </si>
  <si>
    <t>Device Research Priority</t>
  </si>
  <si>
    <t>IOU Research Priority</t>
  </si>
  <si>
    <t>Column Note →</t>
  </si>
  <si>
    <t>Column Header →</t>
  </si>
  <si>
    <t>Device Information</t>
  </si>
  <si>
    <t>-98 = unclear from source; 
-99 = N/A (not collected in source)</t>
  </si>
  <si>
    <t>Proportion of 2012 sales that were ENERGY STAR qualified</t>
  </si>
  <si>
    <t>-98 = DK (market share not tracked by source)
-99 = N/A (no ESTAR spec)</t>
  </si>
  <si>
    <t>Under $300 to $700 or more</t>
  </si>
  <si>
    <t>-99 = Not applicable (no ESTAR spec)
Unknown = data not available (see note)</t>
  </si>
  <si>
    <t>-99 = Not applicable (no ESTAR spec)
Unknown = data not available (see note)
None = no constraint (good availability)</t>
  </si>
  <si>
    <t>-99 = Not applicable (no ESTAR spec)
Unknown = data not available (see note)
N/A = no constraint at price point</t>
  </si>
  <si>
    <t>ESTAR Future Effective Date</t>
  </si>
  <si>
    <t>ESTAR Future Name</t>
  </si>
  <si>
    <t>Title 20 Current Effective Date</t>
  </si>
  <si>
    <t>Title 20 Current Name</t>
  </si>
  <si>
    <t>Title 20 Future Status</t>
  </si>
  <si>
    <t>Title 20 Future Effective Date</t>
  </si>
  <si>
    <t>Title 20 Future Name</t>
  </si>
  <si>
    <t>Federal Future Effective Date</t>
  </si>
  <si>
    <t>Federal Future Name</t>
  </si>
  <si>
    <t>N/A = No applicable spec</t>
  </si>
  <si>
    <r>
      <t xml:space="preserve">Column Group </t>
    </r>
    <r>
      <rPr>
        <b/>
        <sz val="10"/>
        <color theme="1"/>
        <rFont val="Calibri"/>
        <family val="2"/>
      </rPr>
      <t>→</t>
    </r>
  </si>
  <si>
    <t>Value Labels/ Units →</t>
  </si>
  <si>
    <t>Select Devices →</t>
  </si>
  <si>
    <r>
      <t xml:space="preserve">Select Devices </t>
    </r>
    <r>
      <rPr>
        <b/>
        <sz val="11"/>
        <color theme="0"/>
        <rFont val="Calibri"/>
        <family val="2"/>
      </rPr>
      <t>→</t>
    </r>
  </si>
  <si>
    <t>'05</t>
  </si>
  <si>
    <t>End Use:</t>
  </si>
  <si>
    <t>Custom Select</t>
  </si>
  <si>
    <t>Most Recent</t>
  </si>
  <si>
    <t>Best on Market</t>
  </si>
  <si>
    <r>
      <t>RASS</t>
    </r>
    <r>
      <rPr>
        <sz val="11"/>
        <color theme="1" tint="0.499984740745262"/>
        <rFont val="Calibri"/>
        <family val="2"/>
        <scheme val="minor"/>
      </rPr>
      <t>/</t>
    </r>
    <r>
      <rPr>
        <sz val="11"/>
        <color theme="8"/>
        <rFont val="Calibri"/>
        <family val="2"/>
        <scheme val="minor"/>
      </rPr>
      <t>CLASS</t>
    </r>
  </si>
  <si>
    <t>Most recent Penetration</t>
  </si>
  <si>
    <t>Most recent saturation</t>
  </si>
  <si>
    <t>Other-source</t>
  </si>
  <si>
    <t>Title 20</t>
  </si>
  <si>
    <t>Max ESTAR model penetration</t>
  </si>
  <si>
    <t>Constrained models cutoff</t>
  </si>
  <si>
    <t>No constraint</t>
  </si>
  <si>
    <t>Current Title 20 year</t>
  </si>
  <si>
    <t>Current Title 20 Year</t>
  </si>
  <si>
    <t>n</t>
  </si>
  <si>
    <t>Alphabetical</t>
  </si>
  <si>
    <t>Device Notes</t>
  </si>
  <si>
    <t>NATIONAL</t>
  </si>
  <si>
    <t>Device View</t>
  </si>
  <si>
    <t>SDG&amp;E HH Saturation 2005</t>
  </si>
  <si>
    <t>SCG HH Saturation 2005</t>
  </si>
  <si>
    <t>SCE HH Saturation 2005</t>
  </si>
  <si>
    <t>PG&amp;E HH Saturation 2005</t>
  </si>
  <si>
    <t>Statewide HH Saturation 2005</t>
  </si>
  <si>
    <t>SDG&amp;E HH Penetration 2005</t>
  </si>
  <si>
    <t>SCG HH Penetration 2005</t>
  </si>
  <si>
    <t>SCE HH Penetration 2005</t>
  </si>
  <si>
    <t>PG&amp;E HH Penetration 2005</t>
  </si>
  <si>
    <t>Statewide HH Penetration 2005</t>
  </si>
  <si>
    <t>Energy Star</t>
  </si>
  <si>
    <t>Baseline Energy Use</t>
  </si>
  <si>
    <t xml:space="preserve">Source </t>
  </si>
  <si>
    <t>UEC</t>
  </si>
  <si>
    <t>ES Baseline UEC</t>
  </si>
  <si>
    <t>Other- source</t>
  </si>
  <si>
    <t>Codes and Standards</t>
  </si>
  <si>
    <t>Price Point Model Availability</t>
  </si>
  <si>
    <t>C&amp;S Overall Source</t>
  </si>
  <si>
    <t>Category Data</t>
  </si>
  <si>
    <t>RASS/CLASS</t>
  </si>
  <si>
    <t>Max Tech</t>
  </si>
  <si>
    <t>Certified Computers 2014-05-07</t>
  </si>
  <si>
    <t>http://www.energystar.gov/productfinder/download/certified-computers/</t>
  </si>
  <si>
    <t xml:space="preserve">Efficient components. </t>
  </si>
  <si>
    <t>Title 20 compliance</t>
  </si>
  <si>
    <t xml:space="preserve">Components include: vacuum insulate panels, variable speed compressor, optimized refrigerant (and air) temperature, top-mounted condensing coils with no fan, improved gasket seals; adaptive defrost and anti-sweat heaters; improved heat exchanges, and DC fan motors. </t>
  </si>
  <si>
    <t>Alphabetic Sort</t>
  </si>
  <si>
    <t>Humidifier</t>
  </si>
  <si>
    <t>Dehumidifier</t>
  </si>
  <si>
    <t>Alphabetic sort</t>
  </si>
  <si>
    <t>All Products</t>
  </si>
  <si>
    <t>Saving Energy and Water through State Programs for Clothes Washer Replacement in the Great Lakes Region</t>
  </si>
  <si>
    <t>Assumes moderate climate.</t>
  </si>
  <si>
    <t>Includes refrigerator/freezer combination units.</t>
  </si>
  <si>
    <t>Excludes jacuzzis and bathtubs.</t>
  </si>
  <si>
    <t>Installed Base</t>
  </si>
  <si>
    <t>Household View</t>
  </si>
  <si>
    <t>DATA</t>
  </si>
  <si>
    <t>DATA SOURCE #s</t>
  </si>
  <si>
    <t>SOURCE Info</t>
  </si>
  <si>
    <t>Price Point Data</t>
  </si>
  <si>
    <t>Dashboard tabs</t>
  </si>
  <si>
    <t>Documentation tabs</t>
  </si>
  <si>
    <t>Comments</t>
  </si>
  <si>
    <t>Linked cells</t>
  </si>
  <si>
    <t>Background colors</t>
  </si>
  <si>
    <t>Throughout both dashboard tabs, cell comments (indicated by a red triangle in the top right-hand corner of the cell, visible on clicking the cell) are used to give notes and definitions of market indicators.</t>
  </si>
  <si>
    <t>Installed Base UEC</t>
  </si>
  <si>
    <t xml:space="preserve">Savings based on maximum trial standard level, efficient components. </t>
  </si>
  <si>
    <t>Savings for chest stand-alone freezers.</t>
  </si>
  <si>
    <t>Savings for best-on-market assumes pre-2015 baseline. ESTAR V1.0 Spec savings assume 2015 baseline.</t>
  </si>
  <si>
    <t>Best on market is lowest energy using model in lowest performance tier of ENERGY STAR.</t>
  </si>
  <si>
    <t>Best on market assumes no active mode savings.</t>
  </si>
  <si>
    <t xml:space="preserve">Savings is the weighted average of compliant broadband access equipment and local network equipment, based on a baseline of weighted average of non-compliant broadband access equipment and local network equipment. </t>
  </si>
  <si>
    <t>High uncertainty - test procedures just approved recently. Average of gas and electric shown, assumes national climate.</t>
  </si>
  <si>
    <t>IOU-specific</t>
  </si>
  <si>
    <t>National</t>
  </si>
  <si>
    <t>Documentation report</t>
  </si>
  <si>
    <t>Select Fuel
Select Devices
Select Territory
Sort By</t>
  </si>
  <si>
    <t>Select device →</t>
  </si>
  <si>
    <t>LBNL &amp; Collaborative Labeling and Appliance Standards Program</t>
  </si>
  <si>
    <t>Residential Energy Consumption Survey (RECS)</t>
  </si>
  <si>
    <t>http://www.eia.gov/consumption/residential/data/2009/</t>
  </si>
  <si>
    <t>2001, 2005, 2009</t>
  </si>
  <si>
    <t>http://www.energystar.gov/ia/partners/prod_development/revisions/downloads/pool_pumps/Pool_Pumps_Version1.0_Program_Requirements.pdf?f876-2b1e</t>
  </si>
  <si>
    <t>ENERGY STAR Program Requirements Product Specification for Pool Pumps Eligibility Criteria Version 1.0</t>
  </si>
  <si>
    <t>Residential Water Heaters Eligibility Criteria Draft 1 Version 3.0</t>
  </si>
  <si>
    <t>https://www.energystar.gov/products/specs/sites/products/files/ENERGY%20STAR%20Water%20Heaters%20Draft%201%20V3%200.pdf</t>
  </si>
  <si>
    <t>ENERGY STAR Product Specification for Residential Water Heaters Eligibility Criteria Draft 1 Version 3.0</t>
  </si>
  <si>
    <t>Final Rule: Standards: 75 FR 20012</t>
  </si>
  <si>
    <t>http://www1.eere.energy.gov/buildings/appliance_standards/product.aspx/productid/42</t>
  </si>
  <si>
    <t>Use and savings for component audio as a whole; market share for audio separates.</t>
  </si>
  <si>
    <t>Averaged across Blue-ray and DVD</t>
  </si>
  <si>
    <t>Includes all gas heating devices</t>
  </si>
  <si>
    <t xml:space="preserve">Min </t>
  </si>
  <si>
    <t>Max</t>
  </si>
  <si>
    <t>Receiver only, excludes component systems</t>
  </si>
  <si>
    <t>Audio device with an amplifier and radio tuner and speakers (including all-in-one systems), excludes battery-powered devices and  devices with video input.</t>
  </si>
  <si>
    <t>Device notes:</t>
  </si>
  <si>
    <t>Dashboard Version:</t>
  </si>
  <si>
    <t>Release Date:</t>
  </si>
  <si>
    <t>Blank data cells</t>
  </si>
  <si>
    <t>Filter/sort functions</t>
  </si>
  <si>
    <t xml:space="preserve">Effective Date </t>
  </si>
  <si>
    <t>Aquarium - Lights, pumps</t>
  </si>
  <si>
    <t>Attic fan</t>
  </si>
  <si>
    <t>Battery charger</t>
  </si>
  <si>
    <t>Ceiling fan</t>
  </si>
  <si>
    <t>Cell phone charger</t>
  </si>
  <si>
    <t>Clothes washer</t>
  </si>
  <si>
    <t>Clothes dryer - Electric</t>
  </si>
  <si>
    <t>Clothes dryer - Gas</t>
  </si>
  <si>
    <t>Clothes iron</t>
  </si>
  <si>
    <t>Curling iron</t>
  </si>
  <si>
    <t>Desktop (non-portable computer)</t>
  </si>
  <si>
    <t>Notebook (portable computer)</t>
  </si>
  <si>
    <t>Microwave oven</t>
  </si>
  <si>
    <t>Set top box</t>
  </si>
  <si>
    <t>Display</t>
  </si>
  <si>
    <t>Gas space heating</t>
  </si>
  <si>
    <t>Hot Tub/Spa - Electric</t>
  </si>
  <si>
    <t>Oven/Range - Gas</t>
  </si>
  <si>
    <t>Toaster/Toaster oven</t>
  </si>
  <si>
    <t>Waste disposal/Insink-erator</t>
  </si>
  <si>
    <t>Espresso machine</t>
  </si>
  <si>
    <t>Knife sharpener</t>
  </si>
  <si>
    <t>Popcorn maker</t>
  </si>
  <si>
    <t>Speciality cooking</t>
  </si>
  <si>
    <t>Warmer - Baby bottle/Food</t>
  </si>
  <si>
    <t>Smart power strip</t>
  </si>
  <si>
    <t>Game console</t>
  </si>
  <si>
    <t>Home automation</t>
  </si>
  <si>
    <t>Video streaming/OTT device</t>
  </si>
  <si>
    <t>Ceramics - Pottery wheel</t>
  </si>
  <si>
    <t>Home shop device</t>
  </si>
  <si>
    <t>Musical equipment</t>
  </si>
  <si>
    <t>Heat pump</t>
  </si>
  <si>
    <t>Hot tub/Spa - Gas heat</t>
  </si>
  <si>
    <t>Garage door opener</t>
  </si>
  <si>
    <t>Door bell</t>
  </si>
  <si>
    <t>Ice maker</t>
  </si>
  <si>
    <t>Water pik</t>
  </si>
  <si>
    <t>Towel warmer</t>
  </si>
  <si>
    <t>Tooth brush</t>
  </si>
  <si>
    <t>Medical equipment</t>
  </si>
  <si>
    <t>Electric car</t>
  </si>
  <si>
    <t>Electric blanket</t>
  </si>
  <si>
    <t>Digital photo frame</t>
  </si>
  <si>
    <t>Interior lighting fixtures</t>
  </si>
  <si>
    <t>Grow lights</t>
  </si>
  <si>
    <t>Exterior lighting fixtures</t>
  </si>
  <si>
    <t>Whole house fan</t>
  </si>
  <si>
    <t>Evaporative cooler</t>
  </si>
  <si>
    <t>Primary electric heat</t>
  </si>
  <si>
    <t>Portable fan</t>
  </si>
  <si>
    <t>Electric warmer/serving tray</t>
  </si>
  <si>
    <t>External hard drive</t>
  </si>
  <si>
    <t>Hot tub/Spa - Electric</t>
  </si>
  <si>
    <t>Occupancy sensor</t>
  </si>
  <si>
    <t>Timer for devices, lights, etc</t>
  </si>
  <si>
    <t>Electric fence</t>
  </si>
  <si>
    <t>Hair dryer - Blow dryer</t>
  </si>
  <si>
    <t>Power tool</t>
  </si>
  <si>
    <t>Renewable energy component</t>
  </si>
  <si>
    <t xml:space="preserve">Video streaming/OTT device </t>
  </si>
  <si>
    <t xml:space="preserve">Tier 1 = Highest, most data collection. Tier 2 &amp; 3 = Lower </t>
  </si>
  <si>
    <t>CLASS/RASS</t>
  </si>
  <si>
    <t>Unit Savings</t>
  </si>
  <si>
    <t>CLASS</t>
  </si>
  <si>
    <t>RASS</t>
  </si>
  <si>
    <t>Energy Solutions MEL report</t>
  </si>
  <si>
    <t>RIA secondary research conducted as part of RSW Phase I project</t>
  </si>
  <si>
    <t>RIA primary research conducted as part of RSW Phase I project</t>
  </si>
  <si>
    <t>Overall ESTAR Penetration</t>
  </si>
  <si>
    <t xml:space="preserve">Difference in Device Definition </t>
  </si>
  <si>
    <t>Savings Source</t>
  </si>
  <si>
    <t>Savings Notes</t>
  </si>
  <si>
    <t>Overall Device Price Range</t>
  </si>
  <si>
    <t>ESTAR Availibility Limited at Low Price Point</t>
  </si>
  <si>
    <t>ESTAR Penetration at Low Price Point</t>
  </si>
  <si>
    <t># Total Models at Low price point</t>
  </si>
  <si>
    <t>ESTAR Availability Constrained at High Price Point</t>
  </si>
  <si>
    <t>ESTAR Penetration at High Price Points</t>
  </si>
  <si>
    <t># Total Models at High Price Point</t>
  </si>
  <si>
    <t>Price Point Notes</t>
  </si>
  <si>
    <t>Federal Mandatory</t>
  </si>
  <si>
    <t>National Voluntary (ENERGY STAR)</t>
  </si>
  <si>
    <t>California Mandatory (Title 20)</t>
  </si>
  <si>
    <t>% of new unit shipments</t>
  </si>
  <si>
    <t>Estimated Annual</t>
  </si>
  <si>
    <t>ENERGY STAR (NATIONAL)</t>
  </si>
  <si>
    <t>Codes/Specs - Current &amp; Future</t>
  </si>
  <si>
    <t>`</t>
  </si>
  <si>
    <t>Other Type</t>
  </si>
  <si>
    <t>Average ESTAR Model Penetration</t>
  </si>
  <si>
    <t>Differences btwn source  device definitions and RSW definitions.</t>
  </si>
  <si>
    <r>
      <rPr>
        <b/>
        <i/>
        <sz val="11"/>
        <color theme="1"/>
        <rFont val="Calibri"/>
        <family val="2"/>
        <scheme val="minor"/>
      </rPr>
      <t>Expected</t>
    </r>
    <r>
      <rPr>
        <b/>
        <sz val="11"/>
        <color theme="1"/>
        <rFont val="Calibri"/>
        <family val="2"/>
        <scheme val="minor"/>
      </rPr>
      <t xml:space="preserve"> Effective Date</t>
    </r>
  </si>
  <si>
    <t>ENERGY STAR Market Share (new unit sales)</t>
  </si>
  <si>
    <t>Current Codes and Specifications</t>
  </si>
  <si>
    <t>Upcoming Codes and Specifications</t>
  </si>
  <si>
    <r>
      <t>RASS/</t>
    </r>
    <r>
      <rPr>
        <sz val="11"/>
        <color rgb="FF0563C1"/>
        <rFont val="Calibri"/>
        <family val="2"/>
        <scheme val="minor"/>
      </rPr>
      <t>CLASS</t>
    </r>
  </si>
  <si>
    <t>An overview of device penetration and saturation and ENERGY STAR market share and UEC savings for all energy-using household devices. Also includes a California-specific chart of energy use by end use over time.</t>
  </si>
  <si>
    <t>ENERGY STAR Availability by Device Price Point</t>
  </si>
  <si>
    <t>Displays the raw data for the Household Energy Consumption chart in the upper left quadrant of the Household View</t>
  </si>
  <si>
    <t>Dashboard controls</t>
  </si>
  <si>
    <t>Grey, underlined cell contents are hyperlinks to the SOURCE Info tab, where information about the source of each data point is displayed.</t>
  </si>
  <si>
    <t>Navigating the Dashboards</t>
  </si>
  <si>
    <t>Navigating the Documentation Tabs</t>
  </si>
  <si>
    <t>Pending Modifications</t>
  </si>
  <si>
    <t>Interpreting the Data</t>
  </si>
  <si>
    <t>Device list</t>
  </si>
  <si>
    <t>Data accuracy</t>
  </si>
  <si>
    <t>Dashboard purpose</t>
  </si>
  <si>
    <t xml:space="preserve">Data in the RSW are "order of magnitude accurate" and intended to facilitate program planning. </t>
  </si>
  <si>
    <t>ENERGY STAR Availability by Price Point</t>
  </si>
  <si>
    <t>Tier 1 Product Fuel</t>
  </si>
  <si>
    <t>Savings over Title 20 baseline</t>
  </si>
  <si>
    <r>
      <t xml:space="preserve">Column Group </t>
    </r>
    <r>
      <rPr>
        <b/>
        <sz val="10"/>
        <rFont val="Calibri"/>
        <family val="2"/>
      </rPr>
      <t>→</t>
    </r>
  </si>
  <si>
    <t>Includes modems, routers, integrated access devices, hubs and switches Optical Network Termination devices</t>
  </si>
  <si>
    <t>All STB devices: cable, satellite, internet protocol television, OTT, stand-alone DVRs, digital TV adapters, thin clients.</t>
  </si>
  <si>
    <t>Compares dual speed versus vairable speed pumps. Includes stand-alone motors, corrected for the cost of the other pump components</t>
  </si>
  <si>
    <t>Excludes tankless units.</t>
  </si>
  <si>
    <t>ENERGY STAR qualified model is heat pump water heater. Excludes POU units.</t>
  </si>
  <si>
    <t>ENERGY STAR model is heat pump water heater. Excludes POU units</t>
  </si>
  <si>
    <t>'00</t>
  </si>
  <si>
    <t>Statewide HH Penetration 2000</t>
  </si>
  <si>
    <t>PG&amp;E HH Penetration 2000</t>
  </si>
  <si>
    <t>SCE HH Penetration 2000</t>
  </si>
  <si>
    <t>SCG HH Penetration 2000</t>
  </si>
  <si>
    <t>SDG&amp;E HH Penetration 2000</t>
  </si>
  <si>
    <t>Statewide HH Saturation 2000</t>
  </si>
  <si>
    <t>PG&amp;E HH Saturation 2000</t>
  </si>
  <si>
    <t>SCE HH Saturation 2000</t>
  </si>
  <si>
    <t>SCG HH Saturation 2000</t>
  </si>
  <si>
    <t>SDG&amp;E HH Saturation 2000</t>
  </si>
  <si>
    <t>2005 California Lighting and Appliance Saturation Study (CLASS)</t>
  </si>
  <si>
    <t>http://calresest.kemainc.com/</t>
  </si>
  <si>
    <t>Massachusetts Electric and Gas Energy</t>
  </si>
  <si>
    <t>Literature Review of Miscellaneous Energy Loads (MELs) in Residential Buildings</t>
  </si>
  <si>
    <t>http://www.calmac.org/publications/MEL_Literature_Review_6_10_14.pdf</t>
  </si>
  <si>
    <t>Baseline is 2015 DOE minimum. ENERGY STAR savings also 30 kWh</t>
  </si>
  <si>
    <t>Includes air-source only; not CA-specific. Geothermal heat pump savings 6700</t>
  </si>
  <si>
    <t>Other savings assumes variable speed motor with a baseline of two speed motor; ESTAR savings assumes single speed motor</t>
  </si>
  <si>
    <t>Assumes DOE baseline usage, national average. ENERGY STAR is national average.</t>
  </si>
  <si>
    <t>Market share refers to MFDs and printers; savings is weighted average of laser and inkjet printers</t>
  </si>
  <si>
    <t>Efficient components</t>
  </si>
  <si>
    <t>Savings estimates by product type, weighted by sales estimates; ENERGY STAR average over all types</t>
  </si>
  <si>
    <t>Assumed annual run hours of 1,882 (5.16 hours/day * 365 days); ENERGY STAR average over all sizes</t>
  </si>
  <si>
    <t>National average</t>
  </si>
  <si>
    <t>Market share for gas storage only; ENERGY STAR  tankless - storage type savings 37 therms</t>
  </si>
  <si>
    <t>Simple average of laser and inkjet</t>
  </si>
  <si>
    <t>ENERGY STAR 2014 Product Savings Table</t>
  </si>
  <si>
    <t/>
  </si>
  <si>
    <t>Averaged across display sizes</t>
  </si>
  <si>
    <t>Therms savings of 1.4</t>
  </si>
  <si>
    <t>Standard and heat pump</t>
  </si>
  <si>
    <t>Storage and tankless</t>
  </si>
  <si>
    <t>Note for source of "other" savings</t>
  </si>
  <si>
    <t>-98 = not included in source</t>
  </si>
  <si>
    <t>SDG&amp;E: Lela Manning</t>
  </si>
  <si>
    <t>LJManning@semprautilities.com</t>
  </si>
  <si>
    <t>SCE: Larry Tabizon</t>
  </si>
  <si>
    <t>Larry.Tabizon@sce.com</t>
  </si>
  <si>
    <t>Market Indicator Definitions</t>
  </si>
  <si>
    <t>Household energy consumption by end-use</t>
  </si>
  <si>
    <t>Household penetration and saturation by device</t>
  </si>
  <si>
    <t>ENERGY STAR market share</t>
  </si>
  <si>
    <t>Installed base UEC</t>
  </si>
  <si>
    <t>ENERGY STAR availability by price point</t>
  </si>
  <si>
    <t>Codes and specifications</t>
  </si>
  <si>
    <t>Percent of California household energy consumption by end-use category for single-family households.</t>
  </si>
  <si>
    <t>Household penetration by device</t>
  </si>
  <si>
    <t>Household saturation by device</t>
  </si>
  <si>
    <t xml:space="preserve">ENERGY STAR models as a percent of new unit shipments. </t>
  </si>
  <si>
    <t>Estimated annual energy consumption of installed units.</t>
  </si>
  <si>
    <t>Estimated savings from Best on Market, ENERGY STAR, or other efficient model types over baseline models.</t>
  </si>
  <si>
    <t>ENERGY STAR models as a percent of all models available at retail, by price point.</t>
  </si>
  <si>
    <t>Current and future updates to Federal and California Title 20 standards, and ENERGY STAR specifications.</t>
  </si>
  <si>
    <t>Dashboard Use Scenario Examples</t>
  </si>
  <si>
    <t>What devices have the lowest ENERGY STAR market share and highest estimated unit savings?</t>
  </si>
  <si>
    <t>What devices have upcoming specification updates?</t>
  </si>
  <si>
    <t>What devices have high penetration but moderate savings estimates?</t>
  </si>
  <si>
    <t>What devices have limited ENERGY STAR availability at low price points?</t>
  </si>
  <si>
    <t>The RSW is a planning document. The purpose is to pool  available data in a systematic, accessible format for use by residential program managers in program planning. It is not a forecasting or reporting tool.</t>
  </si>
  <si>
    <t>The 132 residential plug load devices in the RSW were compiled from a list developed by PG&amp;E and adapted to align with the device lists in various sources. Some of the listed devices are actually device categories, and may be differentiated in future versions of the RSW. As part of the development of the RSW v1.0, devices were assigned to one of three categories, "Tier 1," "Tier 2," or "Tier 3," based on their importance to the utility stakeholders, with Tier 1 being the most important device category. Additional market indicators were collected for Tier 1 devices, and they are the focus of the Device View tab. To avoid duplication with the Lighting Solutions Workbook, no data were collected for lighting devices.</t>
  </si>
  <si>
    <t>How is the penetration of stand-alone freezers changing over time in SCE territory?</t>
  </si>
  <si>
    <t>What is the range of savings estimates for desktops?</t>
  </si>
  <si>
    <t>What devices in the  office equipment end use have the highest saturation?</t>
  </si>
  <si>
    <t>What is the difference between SCG territory and all IOU territory in the saturation of gas water heaters?</t>
  </si>
  <si>
    <t>On the Device View tab, select a fuel and examine the "Codes/Specs - Current &amp; Future" section on the upper right of the page.</t>
  </si>
  <si>
    <t>On the Household View tab, select a fuel and sort by either of the two right-most market indicators.</t>
  </si>
  <si>
    <t>On the Household View tab, select a fuel and territory and sort by penetration. Examine the ENERGY STAR savings estimates on the far right of the dashboard.</t>
  </si>
  <si>
    <t>On the Household View tab, select electric as a fuel, select a territory, and select "Office equipment" as the devices to display. Sort by saturation and compare the top devices.</t>
  </si>
  <si>
    <t>On the Household View tab, select gas as a fuel and select "Water/Waste water" as the devices to display. Sort by saturation, and compare the results between selecting "SCG" and "All IOUs" as the territory.</t>
  </si>
  <si>
    <t>On the Household View tab, select electric as a fuel and select "Refrigeration" as the devices to display. Examine the change in penetration between 2000 and 2012 (black numbers are RASS results, blue are CLASS results).</t>
  </si>
  <si>
    <t xml:space="preserve">The RSW Documentation report provides more detail about the data collection process and market indicator definitions. It is available through CALMAC. </t>
  </si>
  <si>
    <t>Market Indicator Interpretation Notes</t>
  </si>
  <si>
    <r>
      <t xml:space="preserve">The background color indicates  the user's selected fuel type and territory. 
</t>
    </r>
    <r>
      <rPr>
        <b/>
        <sz val="11"/>
        <color theme="1"/>
        <rFont val="Calibri"/>
        <family val="2"/>
        <scheme val="minor"/>
      </rPr>
      <t>Blue/orange</t>
    </r>
    <r>
      <rPr>
        <sz val="11"/>
        <color theme="1"/>
        <rFont val="Calibri"/>
        <family val="2"/>
        <scheme val="minor"/>
      </rPr>
      <t xml:space="preserve"> indicate electric/gas.
</t>
    </r>
    <r>
      <rPr>
        <b/>
        <sz val="11"/>
        <color theme="1"/>
        <rFont val="Calibri"/>
        <family val="2"/>
        <scheme val="minor"/>
      </rPr>
      <t>Green/gray</t>
    </r>
    <r>
      <rPr>
        <sz val="11"/>
        <color theme="1"/>
        <rFont val="Calibri"/>
        <family val="2"/>
        <scheme val="minor"/>
      </rPr>
      <t xml:space="preserve"> indicates utility-specific/national data.</t>
    </r>
  </si>
  <si>
    <t>Displays the raw data for the "ENERGY STAR Availability by Price Point" market indicator displayed on the lower right quadrant of the Device View. This data is also summarized in the Data tab.</t>
  </si>
  <si>
    <t>SCG: Corinne Sierzant</t>
  </si>
  <si>
    <t>CSierzant@semprautilities.com</t>
  </si>
  <si>
    <t>'14</t>
  </si>
  <si>
    <t>PG&amp;E: Oriana Tiell</t>
  </si>
  <si>
    <t>OST2@pge.com</t>
  </si>
  <si>
    <r>
      <t xml:space="preserve">Excel Version Compatibility: </t>
    </r>
    <r>
      <rPr>
        <sz val="11"/>
        <rFont val="Calibri"/>
        <family val="2"/>
        <scheme val="minor"/>
      </rPr>
      <t>Fully compatible with Excel 2010 and above. Partially compatible with Excel 2007.</t>
    </r>
  </si>
  <si>
    <t>Utility Contacts (for questions and suggestions):</t>
  </si>
  <si>
    <t>Funded by: Southern California Edison, Pacific Gas and Electric Company, Southern California Gas Company, and San Diego Gas and Electric</t>
  </si>
  <si>
    <t>Prepared by: Research Into Action, Inc.</t>
  </si>
  <si>
    <r>
      <t xml:space="preserve">Residential Solutions Workbook
</t>
    </r>
    <r>
      <rPr>
        <b/>
        <sz val="16"/>
        <color theme="3"/>
        <rFont val="Calibri"/>
        <family val="2"/>
        <scheme val="minor"/>
      </rPr>
      <t>Phase I: Market View</t>
    </r>
  </si>
  <si>
    <r>
      <t xml:space="preserve">Red cells indicate user controls, which include drop-down menus, radio buttons, and check boxes.
</t>
    </r>
    <r>
      <rPr>
        <b/>
        <sz val="11"/>
        <color theme="1"/>
        <rFont val="Calibri"/>
        <family val="2"/>
        <scheme val="minor"/>
      </rPr>
      <t>Drop-down</t>
    </r>
    <r>
      <rPr>
        <sz val="11"/>
        <color theme="1"/>
        <rFont val="Calibri"/>
        <family val="2"/>
        <scheme val="minor"/>
      </rPr>
      <t xml:space="preserve"> filter the data to select a fuel, subset of devices (by end-use in Household View or custom select in Device View), and utility territory.
</t>
    </r>
    <r>
      <rPr>
        <b/>
        <sz val="11"/>
        <color theme="1"/>
        <rFont val="Calibri"/>
        <family val="2"/>
        <scheme val="minor"/>
      </rPr>
      <t>Radio buttons</t>
    </r>
    <r>
      <rPr>
        <sz val="11"/>
        <color theme="1"/>
        <rFont val="Calibri"/>
        <family val="2"/>
        <scheme val="minor"/>
      </rPr>
      <t xml:space="preserve"> sort the devices by market indicator from largest to smallest.
</t>
    </r>
    <r>
      <rPr>
        <b/>
        <sz val="11"/>
        <color theme="1"/>
        <rFont val="Calibri"/>
        <family val="2"/>
        <scheme val="minor"/>
      </rPr>
      <t xml:space="preserve">Check boxes </t>
    </r>
    <r>
      <rPr>
        <sz val="11"/>
        <color theme="1"/>
        <rFont val="Calibri"/>
        <family val="2"/>
        <scheme val="minor"/>
      </rPr>
      <t>select a custom subset of devices (in Device View).</t>
    </r>
  </si>
  <si>
    <t>The raw data table from which the dashboard tab data is drawn (with the exception of the price point data and the category data, which have separate tabs). Devices are in rows, market indicators are in columns. Sorting and filtering does not affect the layout of the dashboard tabs. Editing the data in these cells will edit the data shown on in the dashboard.</t>
  </si>
  <si>
    <t>Shows the source numbers for each cell in the Data tab. The organization mirrors the Data tab. The source numbers shown correspond to the source numbers on the Source Info tab.</t>
  </si>
  <si>
    <t>The author, date, title, link, and date accessed for each source used. Sources are organized by numbers (which correspond to the numbers on the DATA SOURCE #s tab). The five-digit source numbers can be interpreted, broadly, as  follows: the first digit is the market indicator number, the second and third digits are the product number, the fourth and fifth digits are the source number. For sources that apply to all products, the product number is 00. For sources that apply to some products, the product number has been assigned to the first applicable product. All source numbers are unique, and the numbering system is not necessary to locating or interpreting source information.</t>
  </si>
  <si>
    <t>An in-depth look at the 21 devices selected for enhanced data collection (labeled as "Tier 1" devices). It includes a "device snapshot" view in the bottom left quartile that displays all collected data for a single selected device. It includes a separate view of the "ENERGY STAR Model Availability by Price Point" metric on the bottom right quartile, displaying ENERGY STAR model availability for each price point for each retailer-distributed product with an ENERGY STAR specification.</t>
  </si>
  <si>
    <t>Unless otherwise noted, blank data cells in the dashboard tabs indicate  the sources did not include data for the device.</t>
  </si>
  <si>
    <t>The goal of the RSW is to allow program managers to track market indicators for products in current programs and to identify new opportunities. The workbook also provides easy access to the original data source to facilitate further research. The following are several examples of specific questions the RSW can be used to answer.</t>
  </si>
  <si>
    <t>On the Device View tab, examine the "ENERGY STAR Availability by Device and Price Point" section at the bottom right. Look at the "Low Price Constraint" column for products with limited availability at low price points.</t>
  </si>
  <si>
    <t>On the Device View tab, select electric as a fuel and compare Best on Market and ENERGY STAR national savings estimates.</t>
  </si>
  <si>
    <t>Percent of households in territory with one or more devices.</t>
  </si>
  <si>
    <t>Average number of devices per household in territory.</t>
  </si>
  <si>
    <t>&lt;11</t>
  </si>
  <si>
    <t>Best on market savings is weighted averages of compact (shelf) audio systems and iPod/MP3 Docking Station/Speakers; ENERGY STAR savings also includes products with non-attached speakers.</t>
  </si>
  <si>
    <t>%ENERGY STAR - Low</t>
  </si>
  <si>
    <t>% ENERGY STAR - High</t>
  </si>
  <si>
    <t>Total # Models at High Constraint</t>
  </si>
  <si>
    <t>Total # Models at Low Constraint</t>
  </si>
  <si>
    <t># of households with 1+ devices / total # of households</t>
  </si>
  <si>
    <t>total # of devices / total # of households</t>
  </si>
  <si>
    <t>Data from California RASS and CLASS surveys. RASS and CLASS use different methodologies (CLASS data are gathered onsite by a researcher; RASS data are compiled from mail survey responses) and different samples (CLASS includes only individually-metered accounts, RASS also includes master-metered accounts) and may not be directly comparable. In reporting RASS results, master-metered respondents were excluded for HVAC and other potentially building-level systems, and LADWP respondents were excluded. Saturation results are only calculated when RASS/CLASS results indicate the number of devices in the respondents' homes. Both penetration and saturation are calculated based on the number of electric or gas customers in the territory, as applicable based on the device fuel. Thus, there are no electric results for SCG and no gas results for SCE. 
Product-specific notes: Some year-over year changes may result from changes in survey methodology or question wording. See the RASS and CLASS reports for further detail. Some calculations were necessary to align device definitions (for example, aggregating the penetration of several types of HVAC measures to estimate furnace fan penetration.) In a few of these cases, saturation but not penetration could be calculated. RASS/CLASS results for devices with incompatible definitions were excluded from the RSW.</t>
  </si>
  <si>
    <t>2000 California Lighting and Appliance Saturation Study (CLASS)</t>
  </si>
  <si>
    <t>DNV GL (formerly KEMA)</t>
  </si>
  <si>
    <t>The Residential Solutions Workbook (RSW) is a residential energy efficiency program planning tool created to help program managers identify opportunities and manage programs by aggregating and displaying device-level market and energy savings data.</t>
  </si>
  <si>
    <t>kWh</t>
  </si>
  <si>
    <t>Therms</t>
  </si>
  <si>
    <t>kWh
-98 = DK (not tracked by source)
-99 = N/A (no ESTAR spec)</t>
  </si>
  <si>
    <t>Therms
-98 = DK (not tracked by source)
-99 = N/A (no ESTAR spec)</t>
  </si>
  <si>
    <t>Title 20 Unit Savings</t>
  </si>
  <si>
    <t>Sales-weighted average</t>
  </si>
  <si>
    <t>In process</t>
  </si>
  <si>
    <t>Sales-weighted average (combined broadband equipment and local network equipment)</t>
  </si>
  <si>
    <t xml:space="preserve">1) These savings estimates are for replacing like pump types with like pump types, bigger savings should come from replacing 1- or 2-speed pumps with variable speed, 2) The UEC estimates don't reflect any energy savings from replacing a  2-speed pump with a variable speed pump, 3) The Average Actual Pump Demand for qualifying products is the same as for non-qualifying products, </t>
  </si>
  <si>
    <t>Shipment-weighted average</t>
  </si>
  <si>
    <t>Assumed most efficient configuration for savings estimate</t>
  </si>
  <si>
    <t>Defined as Compact audio systems refer to integrated audio systems consisting of an amplifier and speakers with one or more functions including but not limited to a radio tuner, tape player, CD player, and MP3 player. They are also known as a mini, mid, micro, or shelf audio systems.</t>
  </si>
  <si>
    <t>No current CA specification</t>
  </si>
  <si>
    <t>No future CA specification</t>
  </si>
  <si>
    <t>Kwh</t>
  </si>
  <si>
    <t>Estimates assume spa standby power (75% of annual eneryg usage); savings is "1 star up" average standby power</t>
  </si>
  <si>
    <t>Savings estimate assumes improvements to cover, insulation, motor, and controls.</t>
  </si>
  <si>
    <t>Device Fuel - Gas</t>
  </si>
  <si>
    <t>Device Fuel - Electric</t>
  </si>
  <si>
    <t>Savings estimate assumes replacemnt of two-speed models</t>
  </si>
  <si>
    <t>Under Consideration</t>
  </si>
  <si>
    <t>http://www.energy.ca.gov/appliances/2008rulemaking/documents/2008-04-01_workshop/2008-04-04_Pacific_Gas_+_Electric_Televisions_CASE_study.pdf</t>
  </si>
  <si>
    <t>TVs</t>
  </si>
  <si>
    <t>Used LCD baseline and savings estimates.</t>
  </si>
  <si>
    <t>Pools and Spas</t>
  </si>
  <si>
    <t>Energy Solutions and Davis Energy</t>
  </si>
  <si>
    <t>http://www.energy.ca.gov/appliances/2004rulemaking/documents/case_studies/CASE_Portable_Spa.pdf</t>
  </si>
  <si>
    <t xml:space="preserve">Analysis of Standards Proposal for Residential Swimming Pool &amp; Portable Spa Equipment </t>
  </si>
  <si>
    <t>http://www.energy.ca.gov/appliances/2004rulemaking/documents/case_studies/CASE_Consumer_Electronics.pdf</t>
  </si>
  <si>
    <t>http://www.energy.ca.gov/appliances/2004rulemaking/documents/case_studies/CASE_Pool_Pump.pdf</t>
  </si>
  <si>
    <t>Compact Audio</t>
  </si>
  <si>
    <t>http://www.energy.ca.gov/appliances/2013rulemaking/documents/proposals/12-AAER-2A_Consumer_Electronics/California_IOUs_Response_to_the_Invitation_for_Standards_Proposals_for_Set_Top_Boxes_2013-07-29_TN-71759.pdf</t>
  </si>
  <si>
    <t>Set-top Boxes</t>
  </si>
  <si>
    <t>Small Network Equipment</t>
  </si>
  <si>
    <t>Displays</t>
  </si>
  <si>
    <t>http://www.energy.ca.gov/appliances/2013rulemaking/documents/proposals/12-AAER-2A_Consumer_Electronics/California_IOUs_Standards_Proposal_Computers_UPDATED_2013-08-06_TN-71813.pdf</t>
  </si>
  <si>
    <t>Analysis of Standards Options for Electronic Displays</t>
  </si>
  <si>
    <t>http://www.energy.ca.gov/appliances/2013rulemaking/documents/proposals/12-AAER-2A_Consumer_Electronics/California_IOUs_Response_to_the_Invitation_for_Standards_Proposals_for_Electronic_Displays_2013-07-29_TN-71760.pdf</t>
  </si>
  <si>
    <t>Energy Solutions and Ecova</t>
  </si>
  <si>
    <t>Analysis of Standards Options for Computers</t>
  </si>
  <si>
    <t>Computers</t>
  </si>
  <si>
    <t>Energy Solutions, et al.</t>
  </si>
  <si>
    <t>Current Specification</t>
  </si>
  <si>
    <t>Future Specification</t>
  </si>
  <si>
    <t>Title 20 Non-Compliant Baseline UEC</t>
  </si>
  <si>
    <t>Title 20 Compliant Baseline UEC</t>
  </si>
  <si>
    <t>Title 20 Compliance UES</t>
  </si>
  <si>
    <t>Territory-level Technical Potential Savings: New Units</t>
  </si>
  <si>
    <t>UES Savings</t>
  </si>
  <si>
    <t>UES PG&amp;E Savings</t>
  </si>
  <si>
    <t>UES SCE Savings</t>
  </si>
  <si>
    <t>UES SCG Savings</t>
  </si>
  <si>
    <t>UES SDG&amp;E Savings</t>
  </si>
  <si>
    <t>Noncompliance Rate</t>
  </si>
  <si>
    <t>Analysis of Standards Options for Televisions</t>
  </si>
  <si>
    <t>Analysis of Standards Options for Portable Electric Spas</t>
  </si>
  <si>
    <t>Analysis of Standards Options for Residential Pool Pumps, Motors, and Controls</t>
  </si>
  <si>
    <t>Analysis of Standards Options for Consumer Electronics Standby Losses</t>
  </si>
  <si>
    <t>Analysis of Standards Options for Set-Top Boxes</t>
  </si>
  <si>
    <t>Analysis of Standards Options for Small Network Equipment</t>
  </si>
  <si>
    <t>ESTAR Availability Limited at Low Price Point</t>
  </si>
  <si>
    <t>Navigant Savings Estimates</t>
  </si>
  <si>
    <t>Potential Study Savings Estimates</t>
  </si>
  <si>
    <t>Potential Study Noncompliance Rate</t>
  </si>
  <si>
    <t>Technical Potential PG&amp;E savings</t>
  </si>
  <si>
    <t>Technical Potential SCE savings</t>
  </si>
  <si>
    <t>Technical Potential SCG savings</t>
  </si>
  <si>
    <t>Technical Potential SDG&amp;E savings</t>
  </si>
  <si>
    <t>Technical Potential Savings All IOUs</t>
  </si>
  <si>
    <t>UES All IOUs Savings</t>
  </si>
  <si>
    <t>Emerging Tech</t>
  </si>
  <si>
    <t>N</t>
  </si>
  <si>
    <t>2013 California Energy Efficiency Potential and Goals Study</t>
  </si>
  <si>
    <t>Navigant Consulting, Inc.</t>
  </si>
  <si>
    <t>http://www.cpuc.ca.gov/PUC/energy/Energy+Efficiency/Energy+Efficiency+Goals+and+Potential+Studies.htm</t>
  </si>
  <si>
    <t>National UES Estimates</t>
  </si>
  <si>
    <t>UES Estimate</t>
  </si>
  <si>
    <t>Upcoming Title 20 year</t>
  </si>
  <si>
    <t>ET</t>
  </si>
  <si>
    <t>Upcoming Title 20 Year</t>
  </si>
  <si>
    <t xml:space="preserve">Specs shown where California requirements are more stringent than national requirements N/A = No applicable spec Federal = State spec matches federal spec. </t>
  </si>
  <si>
    <t>Technical Potential</t>
  </si>
  <si>
    <t>UES Navigant</t>
  </si>
  <si>
    <t>UES Savings - Best on Market</t>
  </si>
  <si>
    <t>UES Savings - Energy Star</t>
  </si>
  <si>
    <t>UES Savings - Other</t>
  </si>
  <si>
    <t>Average of savings for office and entertainment applications.</t>
  </si>
  <si>
    <t>Calculations from original source inputs noted here.</t>
  </si>
  <si>
    <t>kWh, Annual</t>
  </si>
  <si>
    <t>Therms, Annual</t>
  </si>
  <si>
    <t>UES All IOUs Electric Savings</t>
  </si>
  <si>
    <t>UES All IOUs Gas Savings</t>
  </si>
  <si>
    <t>UES PG&amp;E Electric Savings</t>
  </si>
  <si>
    <t>UES PG&amp;E Gas Savings</t>
  </si>
  <si>
    <t>UES SCE Electric Savings</t>
  </si>
  <si>
    <t>UES SCE Gas Savings</t>
  </si>
  <si>
    <t>UES SCG Electric Savings</t>
  </si>
  <si>
    <t>UES SCG Gas Savings</t>
  </si>
  <si>
    <t>UES SDG&amp;E Electric Savings</t>
  </si>
  <si>
    <t>UES SDG&amp;E Gas Savings</t>
  </si>
  <si>
    <t>Is savings from an emerging technology (near commercial availability, or technology improving)</t>
  </si>
  <si>
    <t>Technical Potential Savings</t>
  </si>
  <si>
    <t>Technical Potential All IOUs Electric Savings</t>
  </si>
  <si>
    <t>Technical Potential All IOUs Gas Savings</t>
  </si>
  <si>
    <t>Technical Potential PG&amp;E Electric Savings</t>
  </si>
  <si>
    <t>Technical Potential PG&amp;E Gas Savings</t>
  </si>
  <si>
    <t>Technical Potential SCE Electric Savings</t>
  </si>
  <si>
    <t>Technical Potential SCE Gas Savings</t>
  </si>
  <si>
    <t>Technical Potential SCG Electric Savings</t>
  </si>
  <si>
    <t>Technical Potential SCG Gas Savings</t>
  </si>
  <si>
    <t>Technical Potential SDG&amp;E Electric Savings</t>
  </si>
  <si>
    <t>Technical Potential SDG&amp;E Gas Savings</t>
  </si>
  <si>
    <t>Technical Potential Savings from 2013 CA Potential Study. Estimated annual savings from replacing all units in territory with efficient technology. (Does not consider factors that affect real-world feasible territory savings, such as cost-effectiveness, lifecycle, market barriers, availability, or consumer adoption.)</t>
  </si>
  <si>
    <t>Annual Unit Energy Savings of efficient product over baseline, from 2013 California Potential Study</t>
  </si>
  <si>
    <t>UES</t>
  </si>
  <si>
    <t>Current Title 20</t>
  </si>
  <si>
    <t>Future Title 20</t>
  </si>
  <si>
    <t>Current Title 20 UES</t>
  </si>
  <si>
    <t>Current Title 20 Noncompliance Rate</t>
  </si>
  <si>
    <t>Future Title 20 UES</t>
  </si>
  <si>
    <t>Future Title 20 Noncompliance Rate</t>
  </si>
  <si>
    <t>Noncompliance</t>
  </si>
  <si>
    <t>California</t>
  </si>
  <si>
    <t>California &amp; National</t>
  </si>
  <si>
    <t>Calculated weighted average of IOUs, kWh, Annual</t>
  </si>
  <si>
    <t>Calculated weighted average of IOUs, Therms, Annual</t>
  </si>
  <si>
    <t>CA</t>
  </si>
  <si>
    <t>ENERGY STAR CA Market Share 2011 (New Sales)</t>
  </si>
  <si>
    <t>Proportion of CA 2011 sales that were ENERGY STAR qualified</t>
  </si>
  <si>
    <t>Proportion of National 2013 sales that were ENERGY STAR qualified</t>
  </si>
  <si>
    <t>ENERGY STAR National Market Share 2013 (New Sales)</t>
  </si>
  <si>
    <t>Proportion of National 2011 sales that were ENERGY STAR qualified</t>
  </si>
  <si>
    <t>ENERGY STAR National Market Share 2011 (New Sales)</t>
  </si>
  <si>
    <r>
      <t xml:space="preserve">STAR </t>
    </r>
    <r>
      <rPr>
        <b/>
        <sz val="12"/>
        <color theme="1"/>
        <rFont val="Calibri"/>
        <family val="2"/>
      </rPr>
      <t>±</t>
    </r>
    <r>
      <rPr>
        <b/>
        <sz val="12"/>
        <color theme="1"/>
        <rFont val="Calibri"/>
        <family val="2"/>
        <scheme val="minor"/>
      </rPr>
      <t>%</t>
    </r>
  </si>
  <si>
    <t>D&amp;R International</t>
  </si>
  <si>
    <t>Purchased data</t>
  </si>
  <si>
    <t>Savings</t>
  </si>
  <si>
    <t>CA ENERGY</t>
  </si>
  <si>
    <t>National Unit Energy Savings</t>
  </si>
  <si>
    <t>2011 ENERGY STAR California Qualified Appliance Market Share and Total Shipments</t>
  </si>
  <si>
    <t>Proportion of 2011 sales that were ENERGY STAR qualified</t>
  </si>
  <si>
    <t>http://www.energystar.gov/ia/partners/downloads/unit_shipment_data/2011_USD_Summary_Report.pdf?5256-63c6</t>
  </si>
  <si>
    <t>ENERGY STAR Unit Shipment and Market Penetration Report Calendar Year 2011 Summary</t>
  </si>
  <si>
    <t>ENERGY STAR Unit Shipment and Market Penetration Report Calendar Year 2013 Summary</t>
  </si>
  <si>
    <t>http://www.energystar.gov/ia/partners/downloads/unit_shipment_data/2013_USD_Summary_Report.pdf?5256-63c6</t>
  </si>
  <si>
    <t>'11</t>
  </si>
  <si>
    <t>'13</t>
  </si>
  <si>
    <t>ENERGY STAR 2011 difference from national market penetration</t>
  </si>
  <si>
    <t>ESTAR CA vs National</t>
  </si>
  <si>
    <t>ESTAR US Market Share</t>
  </si>
  <si>
    <t>CA ESTAR vs 2011 National ESTAR</t>
  </si>
  <si>
    <t>Price Point ENERGY STAR Availability</t>
  </si>
  <si>
    <t>Low</t>
  </si>
  <si>
    <t>High</t>
  </si>
  <si>
    <t>Limited ESTAR Availability?</t>
  </si>
  <si>
    <t>Overall</t>
  </si>
  <si>
    <t>Title 20 Current UES</t>
  </si>
  <si>
    <t>Title 20 Future UES</t>
  </si>
  <si>
    <t>Component audio</t>
  </si>
  <si>
    <t>Includes audio/video receiver.</t>
  </si>
  <si>
    <t>Includes audio/video receiver</t>
  </si>
  <si>
    <t>Best on market assumptions: 312 cycles/year, hot water fuel type and dryer fuel type- electric, 3.1 cubic feet capacity, 6 loads/week; ENERGY STAR values are a mix of electric and gas water heating; gas water heating savings 120 kWh 8.5 therms</t>
  </si>
  <si>
    <t>Data from Energy Solutions MELs report. Some device definitions differ from RSW definitions: Component audio, Compact audio, Set top boxes, and Network equipment. (Definitions on DATA tab and in Device Snapshot on Device View tab.)</t>
  </si>
  <si>
    <t xml:space="preserve"> '13</t>
  </si>
  <si>
    <t>Product Price Range</t>
  </si>
  <si>
    <t>ESTAR Model Penetration by Price</t>
  </si>
  <si>
    <t>Current Specification (from CASE reports)</t>
  </si>
  <si>
    <t>Current Baseline UEC kWh</t>
  </si>
  <si>
    <t>Current Baseline UEC Therms</t>
  </si>
  <si>
    <t>Current Compliant UEC kWh</t>
  </si>
  <si>
    <t>Current Compliant UEC Therms</t>
  </si>
  <si>
    <t>Current Compliant UES kWh</t>
  </si>
  <si>
    <t>Current Compliant UES Therms</t>
  </si>
  <si>
    <t>Future Baseline UEC kWh</t>
  </si>
  <si>
    <t>Future Baseline UEC Therms</t>
  </si>
  <si>
    <t>Future Compliant UEC kWh</t>
  </si>
  <si>
    <t>Future Compliant UEC Therms</t>
  </si>
  <si>
    <t>Future Compliant UES kWh</t>
  </si>
  <si>
    <t>Future Compliant UES Therms</t>
  </si>
  <si>
    <t>Current Noncompliance Rate (%)</t>
  </si>
  <si>
    <t>Future Noncompliance Rate (%)</t>
  </si>
  <si>
    <t xml:space="preserve">kWh, Annual </t>
  </si>
  <si>
    <t>Note: no electric savings for SCG in study.</t>
  </si>
  <si>
    <t>No electric savings for SCG in study</t>
  </si>
  <si>
    <t>Emerging Technology?</t>
  </si>
  <si>
    <t xml:space="preserve">Study includes separate measures for gas and electric water heating. Per author recommendation, electric savings are from electric measure, gas savings are from gas measure. NOTE this likely overestimates per-unit savings. </t>
  </si>
  <si>
    <t>2013 Potential Study Savings</t>
  </si>
  <si>
    <t>UES (Unit Energy Savings)</t>
  </si>
  <si>
    <t>Market Penetration and Saturation</t>
  </si>
  <si>
    <t>Unit Energy Savings</t>
  </si>
  <si>
    <t>Title 20 Savings</t>
  </si>
  <si>
    <t>Estimated savings for replacing all units in territory with efficient units</t>
  </si>
  <si>
    <t>Estimated savings of Title 20 compliant products over Federal baseline (noncompliant) products.</t>
  </si>
  <si>
    <t>UES and Technical Potential</t>
  </si>
  <si>
    <t>ENERGY STAR provided 2014 estimated savings for all qualified products. For the 21 priority products, the research team consulted up to 3 sources to collect a Best-on Market device savings estimate and/or an Other type of savings estimate (for example, Max Tech [estimated maximum feasible technology] or based on currently available efficient components). The team attempted as much as possible to use sources with similar assumptions and device definitions. Savings are shown for primary fuel only. See notes in Device Snapshot and on Data tab and consult savings estimate source for more detail. The team also included savings estimates (both unit-level UES and territory-level technical potential) from the 2013 Technical Potential study. These values are estimates only, and the clothes washer device in particular may be an overestimate in savings due to differences in how the two studies defined this device.</t>
  </si>
  <si>
    <t>No new releases are planned for this workbook until the next program cycle.</t>
  </si>
  <si>
    <t>Please confirm this workbook is up to date before use.</t>
  </si>
  <si>
    <t>2.0</t>
  </si>
  <si>
    <t>RSW V2.0</t>
  </si>
  <si>
    <t>Future Specification (from CASE reports)</t>
  </si>
  <si>
    <t>2013 Potential Study</t>
  </si>
  <si>
    <t>Title 20 Unit Consumption and Savings</t>
  </si>
  <si>
    <t>Procured directly from ENERGY STAR</t>
  </si>
  <si>
    <t>Blank cells = not applicable or data not available (see DATA tab)</t>
  </si>
  <si>
    <t>Blank cells indicate device data not collected in data source or that the device definitions were not compatible.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</si>
</sst>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yy"/>
    <numFmt numFmtId="167" formatCode="m/d/yy;@"/>
    <numFmt numFmtId="168" formatCode="0.0E+00"/>
    <numFmt numFmtId="169" formatCode="\+0%;\-0%"/>
  </numFmts>
  <fonts count="8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0"/>
      <name val="Arial"/>
      <family val="2"/>
    </font>
    <font>
      <sz val="1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sz val="9"/>
      <color indexed="81"/>
      <name val="Tahoma"/>
      <family val="2"/>
    </font>
    <font>
      <b/>
      <sz val="9"/>
      <color indexed="81"/>
      <name val="Tahoma"/>
      <family val="2"/>
    </font>
    <font>
      <b/>
      <sz val="11"/>
      <color theme="0"/>
      <name val="Calibri"/>
      <family val="2"/>
      <scheme val="minor"/>
    </font>
    <font>
      <b/>
      <sz val="16"/>
      <color theme="1"/>
      <name val="Calibri"/>
      <family val="2"/>
      <scheme val="minor"/>
    </font>
    <font>
      <b/>
      <sz val="24"/>
      <color theme="3" tint="0.39997558519241921"/>
      <name val="Calibri"/>
      <family val="2"/>
      <scheme val="minor"/>
    </font>
    <font>
      <b/>
      <sz val="24"/>
      <color theme="0"/>
      <name val="Calibri"/>
      <family val="2"/>
      <scheme val="minor"/>
    </font>
    <font>
      <sz val="16"/>
      <color theme="1"/>
      <name val="Calibri"/>
      <family val="2"/>
      <scheme val="minor"/>
    </font>
    <font>
      <b/>
      <sz val="11"/>
      <color theme="1"/>
      <name val="Calibri"/>
      <family val="2"/>
    </font>
    <font>
      <b/>
      <sz val="11"/>
      <color theme="0"/>
      <name val="Calibri"/>
      <family val="2"/>
    </font>
    <font>
      <sz val="10"/>
      <name val="Arial"/>
      <family val="2"/>
    </font>
    <font>
      <b/>
      <sz val="10"/>
      <name val="Arial"/>
      <family val="2"/>
    </font>
    <font>
      <u/>
      <sz val="11"/>
      <color theme="10"/>
      <name val="Calibri"/>
      <family val="2"/>
      <scheme val="minor"/>
    </font>
    <font>
      <b/>
      <sz val="10"/>
      <color theme="0"/>
      <name val="Calibri"/>
      <family val="2"/>
      <scheme val="minor"/>
    </font>
    <font>
      <sz val="11"/>
      <color theme="0"/>
      <name val="Calibri"/>
      <family val="2"/>
      <scheme val="minor"/>
    </font>
    <font>
      <sz val="9"/>
      <color theme="1"/>
      <name val="Calibri"/>
      <family val="2"/>
      <scheme val="minor"/>
    </font>
    <font>
      <sz val="10"/>
      <color rgb="FFFF0000"/>
      <name val="Calibri"/>
      <family val="2"/>
      <scheme val="minor"/>
    </font>
    <font>
      <b/>
      <sz val="11"/>
      <color theme="9" tint="-0.499984740745262"/>
      <name val="Calibri"/>
      <family val="2"/>
      <scheme val="minor"/>
    </font>
    <font>
      <b/>
      <sz val="16"/>
      <color theme="0"/>
      <name val="Calibri"/>
      <family val="2"/>
      <scheme val="minor"/>
    </font>
    <font>
      <sz val="8"/>
      <color theme="0"/>
      <name val="Calibri"/>
      <family val="2"/>
      <scheme val="minor"/>
    </font>
    <font>
      <b/>
      <sz val="10"/>
      <color theme="1"/>
      <name val="Calibri"/>
      <family val="2"/>
    </font>
    <font>
      <b/>
      <sz val="11"/>
      <color rgb="FFFF3300"/>
      <name val="Calibri"/>
      <family val="2"/>
      <scheme val="minor"/>
    </font>
    <font>
      <b/>
      <sz val="11"/>
      <color theme="8"/>
      <name val="Calibri"/>
      <family val="2"/>
      <scheme val="minor"/>
    </font>
    <font>
      <sz val="10"/>
      <color theme="8"/>
      <name val="Calibri"/>
      <family val="2"/>
      <scheme val="minor"/>
    </font>
    <font>
      <sz val="11"/>
      <color theme="8"/>
      <name val="Calibri"/>
      <family val="2"/>
      <scheme val="minor"/>
    </font>
    <font>
      <sz val="11"/>
      <color theme="1" tint="0.499984740745262"/>
      <name val="Calibri"/>
      <family val="2"/>
      <scheme val="minor"/>
    </font>
    <font>
      <i/>
      <sz val="10"/>
      <color theme="1"/>
      <name val="Calibri"/>
      <family val="2"/>
      <scheme val="minor"/>
    </font>
    <font>
      <sz val="8"/>
      <color theme="0" tint="-0.499984740745262"/>
      <name val="Calibri"/>
      <family val="2"/>
      <scheme val="minor"/>
    </font>
    <font>
      <sz val="10"/>
      <color theme="1"/>
      <name val="Webdings"/>
      <family val="1"/>
      <charset val="2"/>
    </font>
    <font>
      <sz val="6"/>
      <color rgb="FFFFC000"/>
      <name val="Webdings"/>
      <family val="1"/>
      <charset val="2"/>
    </font>
    <font>
      <sz val="6"/>
      <color rgb="FFEEB500"/>
      <name val="Webdings"/>
      <family val="1"/>
      <charset val="2"/>
    </font>
    <font>
      <b/>
      <sz val="10"/>
      <color rgb="FFEEB500"/>
      <name val="Calibri"/>
      <family val="2"/>
      <scheme val="minor"/>
    </font>
    <font>
      <sz val="10"/>
      <color rgb="FF0563C1"/>
      <name val="Calibri"/>
      <family val="2"/>
      <scheme val="minor"/>
    </font>
    <font>
      <i/>
      <sz val="11"/>
      <color theme="1"/>
      <name val="Calibri"/>
      <family val="2"/>
      <scheme val="minor"/>
    </font>
    <font>
      <u/>
      <sz val="10"/>
      <color theme="2" tint="-0.499984740745262"/>
      <name val="Calibri"/>
      <family val="2"/>
      <scheme val="minor"/>
    </font>
    <font>
      <u/>
      <sz val="11"/>
      <color theme="2" tint="-0.499984740745262"/>
      <name val="Calibri"/>
      <family val="2"/>
      <scheme val="minor"/>
    </font>
    <font>
      <b/>
      <sz val="10"/>
      <color theme="2" tint="-0.499984740745262"/>
      <name val="Calibri"/>
      <family val="2"/>
      <scheme val="minor"/>
    </font>
    <font>
      <u/>
      <sz val="11"/>
      <color theme="2" tint="-0.249977111117893"/>
      <name val="Calibri"/>
      <family val="2"/>
      <scheme val="minor"/>
    </font>
    <font>
      <b/>
      <sz val="13"/>
      <color theme="3"/>
      <name val="Calibri"/>
      <family val="2"/>
      <scheme val="minor"/>
    </font>
    <font>
      <i/>
      <sz val="11"/>
      <name val="Calibri"/>
      <family val="2"/>
      <scheme val="minor"/>
    </font>
    <font>
      <b/>
      <sz val="10.5"/>
      <color theme="1"/>
      <name val="Calibri"/>
      <family val="2"/>
      <scheme val="minor"/>
    </font>
    <font>
      <b/>
      <sz val="15"/>
      <color theme="3"/>
      <name val="Calibri"/>
      <family val="2"/>
      <scheme val="minor"/>
    </font>
    <font>
      <b/>
      <sz val="11"/>
      <color theme="3"/>
      <name val="Calibri"/>
      <family val="2"/>
      <scheme val="minor"/>
    </font>
    <font>
      <u/>
      <sz val="11"/>
      <color theme="1" tint="0.499984740745262"/>
      <name val="Calibri"/>
      <family val="2"/>
      <scheme val="minor"/>
    </font>
    <font>
      <b/>
      <sz val="8"/>
      <color theme="1"/>
      <name val="Calibri"/>
      <family val="2"/>
      <scheme val="minor"/>
    </font>
    <font>
      <b/>
      <sz val="8"/>
      <name val="Calibri"/>
      <family val="2"/>
      <scheme val="minor"/>
    </font>
    <font>
      <sz val="8"/>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6"/>
      <color theme="1"/>
      <name val="Calibri"/>
      <family val="2"/>
      <scheme val="minor"/>
    </font>
    <font>
      <b/>
      <sz val="10"/>
      <color theme="0" tint="-0.499984740745262"/>
      <name val="Calibri"/>
      <family val="2"/>
      <scheme val="minor"/>
    </font>
    <font>
      <sz val="7"/>
      <color theme="1"/>
      <name val="Calibri"/>
      <family val="2"/>
      <scheme val="minor"/>
    </font>
    <font>
      <b/>
      <i/>
      <sz val="11"/>
      <color theme="1"/>
      <name val="Calibri"/>
      <family val="2"/>
      <scheme val="minor"/>
    </font>
    <font>
      <sz val="11"/>
      <color rgb="FF0563C1"/>
      <name val="Calibri"/>
      <family val="2"/>
      <scheme val="minor"/>
    </font>
    <font>
      <sz val="11"/>
      <color theme="0" tint="-0.499984740745262"/>
      <name val="Calibri"/>
      <family val="2"/>
      <scheme val="minor"/>
    </font>
    <font>
      <b/>
      <sz val="14"/>
      <color theme="3"/>
      <name val="Calibri"/>
      <family val="2"/>
      <scheme val="minor"/>
    </font>
    <font>
      <u/>
      <sz val="10"/>
      <color theme="1" tint="0.499984740745262"/>
      <name val="Calibri"/>
      <family val="2"/>
      <scheme val="minor"/>
    </font>
    <font>
      <sz val="9"/>
      <name val="Calibri"/>
      <family val="2"/>
      <scheme val="minor"/>
    </font>
    <font>
      <b/>
      <sz val="10"/>
      <name val="Calibri"/>
      <family val="2"/>
      <scheme val="minor"/>
    </font>
    <font>
      <b/>
      <sz val="10"/>
      <name val="Calibri"/>
      <family val="2"/>
    </font>
    <font>
      <sz val="7.5"/>
      <color theme="1"/>
      <name val="Calibri"/>
      <family val="2"/>
      <scheme val="minor"/>
    </font>
    <font>
      <b/>
      <sz val="16"/>
      <color theme="3"/>
      <name val="Calibri"/>
      <family val="2"/>
      <scheme val="minor"/>
    </font>
    <font>
      <b/>
      <sz val="20"/>
      <color theme="3"/>
      <name val="Calibri"/>
      <family val="2"/>
      <scheme val="minor"/>
    </font>
    <font>
      <sz val="9"/>
      <color rgb="FFFF0000"/>
      <name val="Calibri"/>
      <family val="2"/>
      <scheme val="minor"/>
    </font>
    <font>
      <sz val="10"/>
      <color theme="1" tint="0.499984740745262"/>
      <name val="Calibri"/>
      <family val="2"/>
      <scheme val="minor"/>
    </font>
    <font>
      <sz val="10"/>
      <color theme="0"/>
      <name val="Calibri"/>
      <family val="2"/>
      <scheme val="minor"/>
    </font>
    <font>
      <u/>
      <sz val="11"/>
      <color theme="0" tint="-0.499984740745262"/>
      <name val="Calibri"/>
      <family val="2"/>
      <scheme val="minor"/>
    </font>
    <font>
      <sz val="8"/>
      <name val="Calibri"/>
      <family val="2"/>
      <scheme val="minor"/>
    </font>
    <font>
      <b/>
      <sz val="12"/>
      <color theme="1"/>
      <name val="Calibri"/>
      <family val="2"/>
    </font>
  </fonts>
  <fills count="41">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8"/>
        <bgColor indexed="64"/>
      </patternFill>
    </fill>
    <fill>
      <patternFill patternType="solid">
        <fgColor theme="9" tint="0.59999389629810485"/>
        <bgColor indexed="64"/>
      </patternFill>
    </fill>
    <fill>
      <patternFill patternType="solid">
        <fgColor rgb="FFFF3300"/>
        <bgColor indexed="64"/>
      </patternFill>
    </fill>
    <fill>
      <patternFill patternType="solid">
        <fgColor theme="0" tint="-0.499984740745262"/>
        <bgColor indexed="64"/>
      </patternFill>
    </fill>
    <fill>
      <patternFill patternType="solid">
        <fgColor theme="9"/>
        <bgColor indexed="64"/>
      </patternFill>
    </fill>
    <fill>
      <patternFill patternType="solid">
        <fgColor rgb="FF009999"/>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139">
    <border>
      <left/>
      <right/>
      <top/>
      <bottom/>
      <diagonal/>
    </border>
    <border>
      <left/>
      <right/>
      <top/>
      <bottom style="medium">
        <color indexed="64"/>
      </bottom>
      <diagonal/>
    </border>
    <border>
      <left style="medium">
        <color theme="0"/>
      </left>
      <right style="medium">
        <color theme="0"/>
      </right>
      <top/>
      <bottom/>
      <diagonal/>
    </border>
    <border>
      <left style="medium">
        <color theme="0"/>
      </left>
      <right/>
      <top/>
      <bottom/>
      <diagonal/>
    </border>
    <border>
      <left/>
      <right/>
      <top style="medium">
        <color theme="0"/>
      </top>
      <bottom style="medium">
        <color theme="0"/>
      </bottom>
      <diagonal/>
    </border>
    <border>
      <left/>
      <right/>
      <top style="medium">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indexed="64"/>
      </top>
      <bottom/>
      <diagonal/>
    </border>
    <border>
      <left/>
      <right/>
      <top style="thin">
        <color indexed="64"/>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theme="0" tint="-0.14996795556505021"/>
      </left>
      <right style="thin">
        <color theme="0" tint="-0.14996795556505021"/>
      </right>
      <top/>
      <bottom/>
      <diagonal/>
    </border>
    <border>
      <left style="thick">
        <color theme="0"/>
      </left>
      <right/>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style="thin">
        <color theme="0" tint="-0.24994659260841701"/>
      </right>
      <top/>
      <bottom/>
      <diagonal/>
    </border>
    <border>
      <left/>
      <right style="medium">
        <color theme="0"/>
      </right>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auto="1"/>
      </bottom>
      <diagonal/>
    </border>
    <border>
      <left style="thick">
        <color theme="0"/>
      </left>
      <right style="thick">
        <color theme="0"/>
      </right>
      <top/>
      <bottom/>
      <diagonal/>
    </border>
    <border>
      <left/>
      <right/>
      <top style="thin">
        <color theme="0" tint="-0.24994659260841701"/>
      </top>
      <bottom/>
      <diagonal/>
    </border>
    <border>
      <left/>
      <right/>
      <top style="thin">
        <color indexed="64"/>
      </top>
      <bottom style="thin">
        <color theme="0" tint="-0.24994659260841701"/>
      </bottom>
      <diagonal/>
    </border>
    <border>
      <left style="thick">
        <color theme="0"/>
      </left>
      <right style="thin">
        <color theme="0" tint="-0.14996795556505021"/>
      </right>
      <top/>
      <bottom/>
      <diagonal/>
    </border>
    <border>
      <left style="thin">
        <color theme="0" tint="-0.14996795556505021"/>
      </left>
      <right style="thin">
        <color theme="0" tint="-0.14993743705557422"/>
      </right>
      <top/>
      <bottom/>
      <diagonal/>
    </border>
    <border>
      <left/>
      <right style="thick">
        <color theme="0"/>
      </right>
      <top/>
      <bottom/>
      <diagonal/>
    </border>
    <border>
      <left/>
      <right/>
      <top/>
      <bottom style="thick">
        <color theme="4" tint="0.499984740745262"/>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style="thin">
        <color theme="0" tint="-0.24994659260841701"/>
      </left>
      <right/>
      <top/>
      <bottom style="thin">
        <color indexed="64"/>
      </bottom>
      <diagonal/>
    </border>
    <border>
      <left/>
      <right/>
      <top/>
      <bottom style="thick">
        <color theme="4"/>
      </bottom>
      <diagonal/>
    </border>
    <border>
      <left/>
      <right/>
      <top/>
      <bottom style="medium">
        <color theme="4" tint="0.3999755851924192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medium">
        <color theme="4" tint="0.39997558519241921"/>
      </top>
      <bottom style="thin">
        <color theme="2" tint="-0.24994659260841701"/>
      </bottom>
      <diagonal/>
    </border>
    <border>
      <left/>
      <right style="thin">
        <color theme="2" tint="-0.24994659260841701"/>
      </right>
      <top style="medium">
        <color theme="4" tint="0.3999755851924192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top style="thick">
        <color theme="4"/>
      </top>
      <bottom style="thin">
        <color theme="2" tint="-0.24994659260841701"/>
      </bottom>
      <diagonal/>
    </border>
    <border>
      <left/>
      <right/>
      <top style="thick">
        <color theme="4"/>
      </top>
      <bottom style="thin">
        <color theme="2" tint="-0.24994659260841701"/>
      </bottom>
      <diagonal/>
    </border>
    <border>
      <left/>
      <right style="thin">
        <color theme="2" tint="-0.24994659260841701"/>
      </right>
      <top style="thick">
        <color theme="4"/>
      </top>
      <bottom style="thin">
        <color theme="2" tint="-0.24994659260841701"/>
      </bottom>
      <diagonal/>
    </border>
    <border>
      <left style="thin">
        <color theme="0" tint="-0.24994659260841701"/>
      </left>
      <right/>
      <top style="thin">
        <color indexed="64"/>
      </top>
      <bottom/>
      <diagonal/>
    </border>
    <border>
      <left/>
      <right style="thin">
        <color theme="0" tint="-0.2499465926084170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top/>
      <bottom style="thin">
        <color theme="0"/>
      </bottom>
      <diagonal/>
    </border>
    <border>
      <left/>
      <right/>
      <top/>
      <bottom style="thin">
        <color theme="0"/>
      </bottom>
      <diagonal/>
    </border>
    <border>
      <left/>
      <right style="medium">
        <color theme="0"/>
      </right>
      <top/>
      <bottom style="thin">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0"/>
      </left>
      <right style="medium">
        <color theme="0"/>
      </right>
      <top style="thin">
        <color theme="0"/>
      </top>
      <bottom style="thin">
        <color theme="0"/>
      </bottom>
      <diagonal/>
    </border>
    <border>
      <left/>
      <right style="medium">
        <color theme="0"/>
      </right>
      <top style="thin">
        <color theme="0"/>
      </top>
      <bottom style="thin">
        <color theme="0"/>
      </bottom>
      <diagonal/>
    </border>
    <border>
      <left style="medium">
        <color theme="0"/>
      </left>
      <right/>
      <top style="thin">
        <color theme="0"/>
      </top>
      <bottom style="thin">
        <color theme="0"/>
      </bottom>
      <diagonal/>
    </border>
    <border>
      <left style="thin">
        <color theme="0"/>
      </left>
      <right/>
      <top style="thin">
        <color theme="0"/>
      </top>
      <bottom style="medium">
        <color indexed="64"/>
      </bottom>
      <diagonal/>
    </border>
    <border>
      <left style="medium">
        <color theme="0"/>
      </left>
      <right style="medium">
        <color theme="0"/>
      </right>
      <top style="thin">
        <color theme="0"/>
      </top>
      <bottom style="medium">
        <color indexed="64"/>
      </bottom>
      <diagonal/>
    </border>
    <border>
      <left style="medium">
        <color theme="0"/>
      </left>
      <right/>
      <top style="thin">
        <color theme="0"/>
      </top>
      <bottom style="medium">
        <color indexed="64"/>
      </bottom>
      <diagonal/>
    </border>
    <border>
      <left style="thin">
        <color indexed="64"/>
      </left>
      <right style="medium">
        <color theme="0"/>
      </right>
      <top style="thin">
        <color theme="0"/>
      </top>
      <bottom style="medium">
        <color indexed="64"/>
      </bottom>
      <diagonal/>
    </border>
    <border>
      <left style="thin">
        <color theme="0"/>
      </left>
      <right style="medium">
        <color theme="0"/>
      </right>
      <top style="thin">
        <color theme="0"/>
      </top>
      <bottom style="medium">
        <color indexed="64"/>
      </bottom>
      <diagonal/>
    </border>
    <border>
      <left/>
      <right/>
      <top style="thin">
        <color indexed="64"/>
      </top>
      <bottom style="thin">
        <color theme="0"/>
      </bottom>
      <diagonal/>
    </border>
    <border>
      <left style="thin">
        <color indexed="64"/>
      </left>
      <right/>
      <top style="thin">
        <color theme="0"/>
      </top>
      <bottom style="thin">
        <color theme="0"/>
      </bottom>
      <diagonal/>
    </border>
    <border>
      <left/>
      <right style="medium">
        <color theme="0"/>
      </right>
      <top style="thin">
        <color theme="0"/>
      </top>
      <bottom style="medium">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style="medium">
        <color theme="0"/>
      </left>
      <right style="thin">
        <color indexed="64"/>
      </right>
      <top style="thin">
        <color theme="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bottom style="thin">
        <color indexed="64"/>
      </bottom>
      <diagonal/>
    </border>
    <border>
      <left/>
      <right style="thin">
        <color rgb="FFFF0000"/>
      </right>
      <top/>
      <bottom/>
      <diagonal/>
    </border>
    <border>
      <left/>
      <right/>
      <top style="thin">
        <color theme="0"/>
      </top>
      <bottom/>
      <diagonal/>
    </border>
    <border>
      <left/>
      <right/>
      <top style="thin">
        <color theme="0"/>
      </top>
      <bottom style="thin">
        <color theme="0" tint="-0.34998626667073579"/>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right/>
      <top/>
      <bottom style="thin">
        <color theme="0" tint="-4.9989318521683403E-2"/>
      </bottom>
      <diagonal/>
    </border>
    <border>
      <left/>
      <right style="thin">
        <color theme="0" tint="-0.34998626667073579"/>
      </right>
      <top/>
      <bottom style="thin">
        <color theme="0" tint="-4.9989318521683403E-2"/>
      </bottom>
      <diagonal/>
    </border>
    <border>
      <left/>
      <right/>
      <top style="thin">
        <color theme="0" tint="-4.9989318521683403E-2"/>
      </top>
      <bottom style="thin">
        <color theme="0" tint="-4.9989318521683403E-2"/>
      </bottom>
      <diagonal/>
    </border>
    <border>
      <left/>
      <right style="thin">
        <color theme="0" tint="-0.34998626667073579"/>
      </right>
      <top style="thin">
        <color theme="0" tint="-4.9989318521683403E-2"/>
      </top>
      <bottom style="thin">
        <color theme="0" tint="-4.9989318521683403E-2"/>
      </bottom>
      <diagonal/>
    </border>
    <border>
      <left/>
      <right/>
      <top style="thin">
        <color theme="0" tint="-4.9989318521683403E-2"/>
      </top>
      <bottom/>
      <diagonal/>
    </border>
    <border>
      <left/>
      <right style="thin">
        <color theme="0" tint="-0.34998626667073579"/>
      </right>
      <top style="thin">
        <color theme="0" tint="-4.9989318521683403E-2"/>
      </top>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tint="-0.34998626667073579"/>
      </bottom>
      <diagonal/>
    </border>
    <border>
      <left/>
      <right style="thin">
        <color theme="0" tint="-0.34998626667073579"/>
      </right>
      <top/>
      <bottom style="thin">
        <color indexed="64"/>
      </bottom>
      <diagonal/>
    </border>
    <border>
      <left/>
      <right style="thin">
        <color theme="0"/>
      </right>
      <top/>
      <bottom style="thin">
        <color indexed="64"/>
      </bottom>
      <diagonal/>
    </border>
    <border>
      <left style="thin">
        <color theme="0" tint="-0.34998626667073579"/>
      </left>
      <right/>
      <top/>
      <bottom style="thin">
        <color theme="0"/>
      </bottom>
      <diagonal/>
    </border>
    <border>
      <left/>
      <right/>
      <top style="thick">
        <color theme="4"/>
      </top>
      <bottom style="medium">
        <color theme="4" tint="0.39997558519241921"/>
      </bottom>
      <diagonal/>
    </border>
    <border>
      <left/>
      <right/>
      <top style="thin">
        <color theme="2" tint="-0.24994659260841701"/>
      </top>
      <bottom style="medium">
        <color theme="4" tint="0.39997558519241921"/>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right/>
      <top style="thin">
        <color theme="0"/>
      </top>
      <bottom style="medium">
        <color indexed="64"/>
      </bottom>
      <diagonal/>
    </border>
    <border>
      <left/>
      <right style="thin">
        <color indexed="64"/>
      </right>
      <top/>
      <bottom style="thin">
        <color theme="0"/>
      </bottom>
      <diagonal/>
    </border>
    <border>
      <left/>
      <right/>
      <top style="medium">
        <color theme="4" tint="0.39997558519241921"/>
      </top>
      <bottom style="thin">
        <color theme="2" tint="-0.24994659260841701"/>
      </bottom>
      <diagonal/>
    </border>
    <border>
      <left/>
      <right style="thin">
        <color indexed="64"/>
      </right>
      <top style="thin">
        <color theme="0"/>
      </top>
      <bottom style="medium">
        <color indexed="64"/>
      </bottom>
      <diagonal/>
    </border>
    <border>
      <left/>
      <right/>
      <top/>
      <bottom style="thick">
        <color theme="8"/>
      </bottom>
      <diagonal/>
    </border>
    <border>
      <left/>
      <right style="thin">
        <color theme="0" tint="-0.14993743705557422"/>
      </right>
      <top/>
      <bottom/>
      <diagonal/>
    </border>
    <border>
      <left style="thin">
        <color theme="0" tint="-0.14993743705557422"/>
      </left>
      <right style="thin">
        <color theme="0" tint="-0.14996795556505021"/>
      </right>
      <top/>
      <bottom/>
      <diagonal/>
    </border>
    <border>
      <left/>
      <right style="thin">
        <color theme="0"/>
      </right>
      <top style="thin">
        <color theme="0"/>
      </top>
      <bottom style="thin">
        <color theme="0"/>
      </bottom>
      <diagonal/>
    </border>
    <border>
      <left/>
      <right style="thin">
        <color indexed="64"/>
      </right>
      <top style="medium">
        <color indexed="64"/>
      </top>
      <bottom/>
      <diagonal/>
    </border>
    <border>
      <left style="medium">
        <color theme="0"/>
      </left>
      <right/>
      <top/>
      <bottom style="thin">
        <color theme="0"/>
      </bottom>
      <diagonal/>
    </border>
    <border>
      <left/>
      <right style="thin">
        <color indexed="64"/>
      </right>
      <top style="thin">
        <color theme="0" tint="-0.24994659260841701"/>
      </top>
      <bottom/>
      <diagonal/>
    </border>
    <border>
      <left style="thin">
        <color theme="0" tint="-0.24994659260841701"/>
      </left>
      <right/>
      <top style="thin">
        <color theme="0" tint="-0.24994659260841701"/>
      </top>
      <bottom/>
      <diagonal/>
    </border>
    <border>
      <left style="thin">
        <color indexed="64"/>
      </left>
      <right/>
      <top style="thin">
        <color theme="0" tint="-0.24994659260841701"/>
      </top>
      <bottom/>
      <diagonal/>
    </border>
    <border>
      <left style="thin">
        <color indexed="64"/>
      </left>
      <right/>
      <top/>
      <bottom style="thin">
        <color theme="0" tint="-0.24994659260841701"/>
      </bottom>
      <diagonal/>
    </border>
    <border>
      <left/>
      <right style="thin">
        <color theme="0" tint="-0.34998626667073579"/>
      </right>
      <top style="thin">
        <color theme="0"/>
      </top>
      <bottom style="thin">
        <color theme="0"/>
      </bottom>
      <diagonal/>
    </border>
    <border>
      <left/>
      <right style="thin">
        <color theme="0"/>
      </right>
      <top style="thin">
        <color theme="0"/>
      </top>
      <bottom style="medium">
        <color indexed="64"/>
      </bottom>
      <diagonal/>
    </border>
    <border>
      <left/>
      <right style="thin">
        <color theme="0"/>
      </right>
      <top style="thin">
        <color theme="0"/>
      </top>
      <bottom/>
      <diagonal/>
    </border>
    <border>
      <left style="thin">
        <color indexed="64"/>
      </left>
      <right/>
      <top style="thin">
        <color indexed="64"/>
      </top>
      <bottom style="thin">
        <color theme="0"/>
      </bottom>
      <diagonal/>
    </border>
    <border>
      <left/>
      <right style="thin">
        <color indexed="64"/>
      </right>
      <top/>
      <bottom style="thin">
        <color indexed="64"/>
      </bottom>
      <diagonal/>
    </border>
  </borders>
  <cellStyleXfs count="20">
    <xf numFmtId="0" fontId="0" fillId="0" borderId="0"/>
    <xf numFmtId="43" fontId="3"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1" fillId="0" borderId="0"/>
    <xf numFmtId="0" fontId="23" fillId="0" borderId="0" applyNumberFormat="0" applyFill="0" applyBorder="0" applyAlignment="0" applyProtection="0"/>
    <xf numFmtId="43" fontId="1" fillId="0" borderId="0" applyFont="0" applyFill="0" applyBorder="0" applyAlignment="0" applyProtection="0"/>
    <xf numFmtId="0" fontId="49" fillId="0" borderId="39" applyNumberFormat="0" applyFill="0" applyAlignment="0" applyProtection="0"/>
    <xf numFmtId="0" fontId="52" fillId="0" borderId="47" applyNumberFormat="0" applyFill="0" applyAlignment="0" applyProtection="0"/>
    <xf numFmtId="0" fontId="53" fillId="0" borderId="48" applyNumberFormat="0" applyFill="0" applyAlignment="0" applyProtection="0"/>
    <xf numFmtId="0" fontId="53" fillId="0" borderId="0" applyNumberFormat="0" applyFill="0" applyBorder="0" applyAlignment="0" applyProtection="0"/>
    <xf numFmtId="0" fontId="4" fillId="0" borderId="0"/>
  </cellStyleXfs>
  <cellXfs count="1062">
    <xf numFmtId="0" fontId="0" fillId="0" borderId="0" xfId="0"/>
    <xf numFmtId="0" fontId="0" fillId="0" borderId="0" xfId="0" applyAlignment="1">
      <alignment wrapText="1"/>
    </xf>
    <xf numFmtId="0" fontId="0" fillId="0" borderId="0" xfId="0" applyAlignment="1"/>
    <xf numFmtId="0" fontId="7" fillId="0" borderId="0" xfId="0" applyFont="1" applyAlignment="1">
      <alignment wrapText="1"/>
    </xf>
    <xf numFmtId="0" fontId="5" fillId="0" borderId="0" xfId="0" applyFont="1"/>
    <xf numFmtId="0" fontId="5" fillId="0" borderId="0" xfId="0" applyFont="1" applyBorder="1"/>
    <xf numFmtId="9" fontId="0" fillId="0" borderId="0" xfId="11" applyFont="1"/>
    <xf numFmtId="0" fontId="5" fillId="3" borderId="0" xfId="0" applyFont="1" applyFill="1"/>
    <xf numFmtId="0" fontId="0" fillId="0" borderId="0" xfId="0" applyFont="1" applyAlignment="1"/>
    <xf numFmtId="0" fontId="0" fillId="0" borderId="0" xfId="0" applyFont="1"/>
    <xf numFmtId="0" fontId="0" fillId="0" borderId="0" xfId="0" applyFont="1" applyFill="1"/>
    <xf numFmtId="0" fontId="0" fillId="3" borderId="0" xfId="0" applyFont="1" applyFill="1" applyAlignment="1"/>
    <xf numFmtId="0" fontId="5" fillId="0" borderId="0" xfId="0" applyFont="1" applyBorder="1" applyAlignment="1">
      <alignment vertical="center" wrapText="1"/>
    </xf>
    <xf numFmtId="0" fontId="0" fillId="0" borderId="0" xfId="0" applyFont="1" applyBorder="1" applyAlignment="1"/>
    <xf numFmtId="0" fontId="0" fillId="0" borderId="0" xfId="0" applyFont="1" applyFill="1" applyBorder="1" applyAlignment="1"/>
    <xf numFmtId="0" fontId="0" fillId="0" borderId="0" xfId="0" applyAlignment="1">
      <alignment horizontal="left" wrapText="1"/>
    </xf>
    <xf numFmtId="0" fontId="5" fillId="0" borderId="0" xfId="0" applyFont="1" applyFill="1" applyAlignment="1"/>
    <xf numFmtId="0" fontId="5" fillId="3" borderId="0" xfId="0" applyFont="1" applyFill="1" applyAlignment="1"/>
    <xf numFmtId="0" fontId="5" fillId="0" borderId="0" xfId="0" applyFont="1" applyFill="1" applyBorder="1" applyAlignment="1">
      <alignment vertical="center" wrapText="1"/>
    </xf>
    <xf numFmtId="0" fontId="5" fillId="0" borderId="0" xfId="0" applyFont="1" applyFill="1"/>
    <xf numFmtId="0" fontId="7" fillId="8" borderId="0" xfId="0" applyFont="1" applyFill="1" applyAlignment="1">
      <alignment wrapText="1"/>
    </xf>
    <xf numFmtId="0" fontId="0" fillId="0" borderId="0" xfId="0" applyAlignment="1">
      <alignment horizontal="left" vertical="top" wrapText="1"/>
    </xf>
    <xf numFmtId="14" fontId="0" fillId="0" borderId="0" xfId="0" applyNumberFormat="1"/>
    <xf numFmtId="0" fontId="0" fillId="9" borderId="0" xfId="0" applyFill="1"/>
    <xf numFmtId="0" fontId="0" fillId="9" borderId="0" xfId="0" applyFill="1" applyBorder="1"/>
    <xf numFmtId="0" fontId="15" fillId="11" borderId="9" xfId="0" applyFont="1" applyFill="1" applyBorder="1" applyAlignment="1">
      <alignment vertical="center"/>
    </xf>
    <xf numFmtId="0" fontId="16" fillId="10" borderId="0" xfId="0" applyFont="1" applyFill="1" applyAlignment="1">
      <alignment vertical="center"/>
    </xf>
    <xf numFmtId="0" fontId="11" fillId="9" borderId="0" xfId="0" applyFont="1" applyFill="1" applyAlignment="1">
      <alignment vertical="center"/>
    </xf>
    <xf numFmtId="0" fontId="5" fillId="9" borderId="0" xfId="0" applyFont="1" applyFill="1" applyAlignment="1">
      <alignment vertical="center"/>
    </xf>
    <xf numFmtId="0" fontId="2" fillId="9" borderId="0" xfId="0" applyFont="1" applyFill="1" applyAlignment="1">
      <alignment vertical="center"/>
    </xf>
    <xf numFmtId="0" fontId="0" fillId="9" borderId="0" xfId="0" applyFill="1" applyAlignment="1">
      <alignment vertical="center"/>
    </xf>
    <xf numFmtId="0" fontId="0" fillId="9" borderId="0" xfId="0" applyFill="1" applyBorder="1" applyAlignment="1">
      <alignment vertical="center"/>
    </xf>
    <xf numFmtId="0" fontId="0" fillId="10" borderId="0" xfId="0" applyFill="1" applyAlignment="1">
      <alignment vertical="center"/>
    </xf>
    <xf numFmtId="0" fontId="15" fillId="9" borderId="0" xfId="0" applyFont="1" applyFill="1" applyAlignment="1">
      <alignment vertical="center"/>
    </xf>
    <xf numFmtId="0" fontId="18" fillId="11" borderId="9" xfId="0" applyFont="1" applyFill="1" applyBorder="1" applyAlignment="1">
      <alignment vertical="center"/>
    </xf>
    <xf numFmtId="0" fontId="0" fillId="9" borderId="11" xfId="0" applyFill="1" applyBorder="1" applyAlignment="1">
      <alignment vertical="center"/>
    </xf>
    <xf numFmtId="0" fontId="0" fillId="9" borderId="10" xfId="0" applyFill="1" applyBorder="1" applyAlignment="1">
      <alignment vertical="center"/>
    </xf>
    <xf numFmtId="0" fontId="14" fillId="10" borderId="0" xfId="0" applyFont="1" applyFill="1" applyAlignment="1">
      <alignment vertical="center"/>
    </xf>
    <xf numFmtId="0" fontId="2" fillId="9" borderId="0" xfId="0" applyFont="1" applyFill="1" applyBorder="1" applyAlignment="1">
      <alignment vertical="center"/>
    </xf>
    <xf numFmtId="0" fontId="15" fillId="9" borderId="0" xfId="0" applyFont="1" applyFill="1" applyBorder="1" applyAlignment="1">
      <alignment vertical="center"/>
    </xf>
    <xf numFmtId="0" fontId="2" fillId="7" borderId="13" xfId="0" applyFont="1" applyFill="1" applyBorder="1" applyAlignment="1">
      <alignment vertical="center"/>
    </xf>
    <xf numFmtId="0" fontId="0" fillId="7" borderId="13" xfId="0" applyFill="1" applyBorder="1" applyAlignment="1">
      <alignment vertical="center"/>
    </xf>
    <xf numFmtId="0" fontId="2" fillId="7" borderId="0" xfId="0" applyFont="1" applyFill="1" applyAlignment="1">
      <alignment vertical="center"/>
    </xf>
    <xf numFmtId="0" fontId="0" fillId="9" borderId="10" xfId="0" applyFill="1" applyBorder="1" applyAlignment="1">
      <alignment horizontal="left" vertical="center"/>
    </xf>
    <xf numFmtId="0" fontId="0" fillId="9" borderId="0" xfId="0" applyFill="1" applyBorder="1" applyAlignment="1">
      <alignment horizontal="left" vertical="center"/>
    </xf>
    <xf numFmtId="0" fontId="0" fillId="9" borderId="11" xfId="0" applyFill="1" applyBorder="1" applyAlignment="1">
      <alignment horizontal="left" vertical="center"/>
    </xf>
    <xf numFmtId="0" fontId="0" fillId="9" borderId="14" xfId="0" applyFill="1" applyBorder="1" applyAlignment="1">
      <alignment vertical="center"/>
    </xf>
    <xf numFmtId="0" fontId="0" fillId="9" borderId="15" xfId="0" applyFill="1" applyBorder="1" applyAlignment="1">
      <alignment vertical="center"/>
    </xf>
    <xf numFmtId="0" fontId="0" fillId="9" borderId="16" xfId="0" applyFill="1" applyBorder="1" applyAlignment="1">
      <alignment vertical="center"/>
    </xf>
    <xf numFmtId="0" fontId="0" fillId="0" borderId="0" xfId="0" applyAlignment="1">
      <alignment vertical="center"/>
    </xf>
    <xf numFmtId="0" fontId="15" fillId="11" borderId="0" xfId="0" applyFont="1" applyFill="1" applyBorder="1" applyAlignment="1">
      <alignment vertical="center"/>
    </xf>
    <xf numFmtId="0" fontId="0" fillId="11" borderId="0" xfId="0" applyFill="1" applyBorder="1" applyAlignment="1">
      <alignment vertical="center"/>
    </xf>
    <xf numFmtId="0" fontId="2" fillId="7" borderId="0" xfId="0" applyFont="1" applyFill="1" applyBorder="1" applyAlignment="1">
      <alignment vertical="center"/>
    </xf>
    <xf numFmtId="0" fontId="10" fillId="9" borderId="0" xfId="0" applyFont="1" applyFill="1" applyBorder="1" applyAlignment="1">
      <alignment vertical="center"/>
    </xf>
    <xf numFmtId="0" fontId="0" fillId="9" borderId="0" xfId="0" applyFill="1" applyBorder="1" applyAlignment="1">
      <alignment horizontal="left" vertical="center"/>
    </xf>
    <xf numFmtId="0" fontId="0" fillId="9" borderId="0" xfId="0" applyFont="1" applyFill="1" applyAlignment="1">
      <alignment vertical="center"/>
    </xf>
    <xf numFmtId="0" fontId="14" fillId="9" borderId="0" xfId="0" applyFont="1" applyFill="1" applyAlignment="1">
      <alignment vertical="center"/>
    </xf>
    <xf numFmtId="0" fontId="0" fillId="13" borderId="0" xfId="0" applyFill="1" applyAlignment="1">
      <alignment vertical="center"/>
    </xf>
    <xf numFmtId="0" fontId="2" fillId="9" borderId="0" xfId="0" quotePrefix="1" applyFont="1" applyFill="1" applyBorder="1" applyAlignment="1">
      <alignment vertical="center"/>
    </xf>
    <xf numFmtId="0" fontId="2" fillId="7" borderId="0" xfId="0" applyFont="1" applyFill="1"/>
    <xf numFmtId="0" fontId="0" fillId="7" borderId="0" xfId="0" applyFill="1"/>
    <xf numFmtId="0" fontId="2" fillId="9" borderId="0" xfId="0" applyFont="1" applyFill="1"/>
    <xf numFmtId="0" fontId="5" fillId="14" borderId="0" xfId="0" applyFont="1" applyFill="1" applyAlignment="1">
      <alignment vertical="center"/>
    </xf>
    <xf numFmtId="0" fontId="0" fillId="14" borderId="0" xfId="0" applyFill="1" applyAlignment="1">
      <alignment vertical="center"/>
    </xf>
    <xf numFmtId="0" fontId="7" fillId="2" borderId="2" xfId="0" applyFont="1" applyFill="1" applyBorder="1" applyAlignment="1">
      <alignment wrapText="1"/>
    </xf>
    <xf numFmtId="17" fontId="0" fillId="0" borderId="0" xfId="0" applyNumberFormat="1"/>
    <xf numFmtId="0" fontId="0" fillId="0" borderId="0" xfId="0" applyFill="1"/>
    <xf numFmtId="0" fontId="21" fillId="0" borderId="0" xfId="12"/>
    <xf numFmtId="0" fontId="22" fillId="0" borderId="0" xfId="12" applyFont="1" applyAlignment="1">
      <alignment horizontal="center"/>
    </xf>
    <xf numFmtId="0" fontId="22" fillId="0" borderId="0" xfId="12" applyFont="1"/>
    <xf numFmtId="2" fontId="21" fillId="0" borderId="0" xfId="12" applyNumberFormat="1"/>
    <xf numFmtId="0" fontId="22" fillId="0" borderId="0" xfId="12" applyFont="1" applyAlignment="1">
      <alignment wrapText="1"/>
    </xf>
    <xf numFmtId="0" fontId="21" fillId="0" borderId="0" xfId="12" applyAlignment="1">
      <alignment wrapText="1"/>
    </xf>
    <xf numFmtId="9" fontId="21" fillId="0" borderId="0" xfId="11" applyFont="1"/>
    <xf numFmtId="0" fontId="22" fillId="0" borderId="0" xfId="12" applyFont="1" applyAlignment="1">
      <alignment vertical="center"/>
    </xf>
    <xf numFmtId="1" fontId="0" fillId="0" borderId="0" xfId="0" applyNumberFormat="1" applyFont="1" applyBorder="1" applyAlignment="1"/>
    <xf numFmtId="0" fontId="23" fillId="0" borderId="0" xfId="13"/>
    <xf numFmtId="9" fontId="0" fillId="0" borderId="0" xfId="0" applyNumberFormat="1"/>
    <xf numFmtId="0" fontId="0" fillId="0" borderId="0" xfId="0" applyAlignment="1">
      <alignment horizontal="left"/>
    </xf>
    <xf numFmtId="165" fontId="0" fillId="0" borderId="0" xfId="0" applyNumberFormat="1"/>
    <xf numFmtId="165" fontId="0" fillId="0" borderId="0" xfId="14" applyNumberFormat="1" applyFont="1"/>
    <xf numFmtId="6" fontId="0" fillId="0" borderId="0" xfId="0" applyNumberFormat="1" applyAlignment="1">
      <alignment horizontal="left"/>
    </xf>
    <xf numFmtId="165" fontId="0" fillId="0" borderId="0" xfId="11" applyNumberFormat="1" applyFont="1"/>
    <xf numFmtId="0" fontId="0" fillId="0" borderId="0" xfId="0" applyAlignment="1">
      <alignment vertical="top"/>
    </xf>
    <xf numFmtId="0" fontId="7" fillId="7" borderId="2" xfId="0" applyFont="1" applyFill="1" applyBorder="1" applyAlignment="1">
      <alignment wrapText="1"/>
    </xf>
    <xf numFmtId="0" fontId="7" fillId="9" borderId="2" xfId="0" applyFont="1" applyFill="1" applyBorder="1" applyAlignment="1">
      <alignment wrapText="1"/>
    </xf>
    <xf numFmtId="0" fontId="7" fillId="0" borderId="0" xfId="0" applyFont="1"/>
    <xf numFmtId="0" fontId="7" fillId="0" borderId="0" xfId="0" applyFont="1" applyAlignment="1"/>
    <xf numFmtId="0" fontId="6" fillId="0" borderId="0" xfId="0" applyFont="1"/>
    <xf numFmtId="0" fontId="6" fillId="0" borderId="0" xfId="0" applyFont="1" applyFill="1" applyBorder="1"/>
    <xf numFmtId="0" fontId="7" fillId="7" borderId="0" xfId="0" applyFont="1" applyFill="1"/>
    <xf numFmtId="0" fontId="8" fillId="0" borderId="0" xfId="0" applyFont="1" applyAlignment="1"/>
    <xf numFmtId="0" fontId="7" fillId="0" borderId="0" xfId="0" applyFont="1" applyBorder="1"/>
    <xf numFmtId="0" fontId="7" fillId="0" borderId="0" xfId="0" applyFont="1" applyFill="1"/>
    <xf numFmtId="3" fontId="7" fillId="0" borderId="0" xfId="0" applyNumberFormat="1" applyFont="1" applyFill="1" applyBorder="1"/>
    <xf numFmtId="0" fontId="8" fillId="0" borderId="0" xfId="0" applyFont="1" applyFill="1" applyBorder="1" applyAlignment="1">
      <alignment vertical="center"/>
    </xf>
    <xf numFmtId="0" fontId="8" fillId="0" borderId="0" xfId="0" applyFont="1" applyFill="1" applyAlignment="1"/>
    <xf numFmtId="0" fontId="8" fillId="0" borderId="0" xfId="0" applyFont="1" applyBorder="1" applyAlignment="1"/>
    <xf numFmtId="0" fontId="6" fillId="0" borderId="0" xfId="0" applyFont="1" applyAlignment="1"/>
    <xf numFmtId="2" fontId="7" fillId="7" borderId="0" xfId="0" applyNumberFormat="1" applyFont="1" applyFill="1"/>
    <xf numFmtId="0" fontId="7" fillId="7" borderId="0" xfId="0" applyFont="1" applyFill="1" applyAlignment="1">
      <alignment wrapText="1"/>
    </xf>
    <xf numFmtId="0" fontId="0" fillId="14" borderId="20" xfId="0" applyFill="1" applyBorder="1"/>
    <xf numFmtId="0" fontId="0" fillId="14" borderId="2" xfId="0" applyFill="1" applyBorder="1"/>
    <xf numFmtId="0" fontId="0" fillId="14" borderId="21" xfId="0" applyFill="1" applyBorder="1"/>
    <xf numFmtId="0" fontId="0" fillId="0" borderId="0" xfId="0" applyNumberFormat="1"/>
    <xf numFmtId="0" fontId="22" fillId="0" borderId="0" xfId="12" applyFont="1" applyAlignment="1">
      <alignment horizontal="center"/>
    </xf>
    <xf numFmtId="0" fontId="7" fillId="9" borderId="0" xfId="0" applyFont="1" applyFill="1"/>
    <xf numFmtId="0" fontId="7" fillId="15" borderId="0" xfId="0" applyFont="1" applyFill="1"/>
    <xf numFmtId="9" fontId="7" fillId="0" borderId="0" xfId="11" applyFont="1"/>
    <xf numFmtId="0" fontId="7" fillId="9" borderId="0" xfId="0" applyFont="1" applyFill="1" applyAlignment="1">
      <alignment vertical="top"/>
    </xf>
    <xf numFmtId="9" fontId="7" fillId="9" borderId="0" xfId="11" applyFont="1" applyFill="1" applyBorder="1" applyAlignment="1">
      <alignment vertical="center"/>
    </xf>
    <xf numFmtId="9" fontId="7" fillId="9" borderId="0" xfId="11" applyFont="1" applyFill="1" applyAlignment="1">
      <alignment vertical="center"/>
    </xf>
    <xf numFmtId="0" fontId="7" fillId="7" borderId="0" xfId="0" quotePrefix="1" applyFont="1" applyFill="1"/>
    <xf numFmtId="14" fontId="7" fillId="7" borderId="0" xfId="11" quotePrefix="1" applyNumberFormat="1" applyFont="1" applyFill="1"/>
    <xf numFmtId="14" fontId="7" fillId="7" borderId="0" xfId="0" applyNumberFormat="1" applyFont="1" applyFill="1"/>
    <xf numFmtId="0" fontId="2" fillId="9" borderId="0" xfId="0" applyFont="1" applyFill="1" applyBorder="1"/>
    <xf numFmtId="0" fontId="6" fillId="9" borderId="0" xfId="0" applyFont="1" applyFill="1" applyBorder="1" applyAlignment="1">
      <alignment vertical="center"/>
    </xf>
    <xf numFmtId="0" fontId="7" fillId="9" borderId="0" xfId="0" applyFont="1" applyFill="1" applyAlignment="1">
      <alignment vertical="center"/>
    </xf>
    <xf numFmtId="0" fontId="6" fillId="9" borderId="0" xfId="0" applyFont="1" applyFill="1" applyAlignment="1">
      <alignment vertical="center"/>
    </xf>
    <xf numFmtId="0" fontId="7" fillId="0" borderId="0" xfId="0" quotePrefix="1" applyFont="1" applyFill="1"/>
    <xf numFmtId="0" fontId="7" fillId="9" borderId="0" xfId="0" applyFont="1" applyFill="1" applyBorder="1"/>
    <xf numFmtId="0" fontId="7" fillId="9" borderId="0" xfId="0" applyFont="1" applyFill="1" applyBorder="1" applyAlignment="1"/>
    <xf numFmtId="0" fontId="23" fillId="9" borderId="0" xfId="13" applyFill="1" applyAlignment="1">
      <alignment vertical="center"/>
    </xf>
    <xf numFmtId="0" fontId="22" fillId="0" borderId="0" xfId="12" applyFont="1" applyAlignment="1">
      <alignment horizontal="center"/>
    </xf>
    <xf numFmtId="0" fontId="27" fillId="7" borderId="0" xfId="0" applyFont="1" applyFill="1"/>
    <xf numFmtId="1" fontId="7" fillId="7" borderId="0" xfId="0" applyNumberFormat="1" applyFont="1" applyFill="1"/>
    <xf numFmtId="0" fontId="0" fillId="14" borderId="0" xfId="0" applyFill="1"/>
    <xf numFmtId="0" fontId="14" fillId="14" borderId="0" xfId="0" applyFont="1" applyFill="1"/>
    <xf numFmtId="0" fontId="21" fillId="9" borderId="0" xfId="12" applyFill="1"/>
    <xf numFmtId="0" fontId="21" fillId="9" borderId="0" xfId="12" applyFill="1" applyAlignment="1">
      <alignment wrapText="1"/>
    </xf>
    <xf numFmtId="0" fontId="7" fillId="9" borderId="0" xfId="0" applyFont="1" applyFill="1" applyBorder="1" applyAlignment="1">
      <alignment vertical="center"/>
    </xf>
    <xf numFmtId="0" fontId="28" fillId="7" borderId="0" xfId="0" applyFont="1" applyFill="1" applyAlignment="1">
      <alignment vertical="center"/>
    </xf>
    <xf numFmtId="2" fontId="7" fillId="9" borderId="0" xfId="0" applyNumberFormat="1" applyFont="1" applyFill="1" applyBorder="1" applyAlignment="1">
      <alignment vertical="center"/>
    </xf>
    <xf numFmtId="9" fontId="7" fillId="9" borderId="0" xfId="0" applyNumberFormat="1" applyFont="1" applyFill="1" applyBorder="1" applyAlignment="1">
      <alignment horizontal="center"/>
    </xf>
    <xf numFmtId="0" fontId="2" fillId="9" borderId="0" xfId="0" applyFont="1" applyFill="1" applyBorder="1" applyAlignment="1"/>
    <xf numFmtId="0" fontId="6" fillId="9" borderId="0" xfId="0" applyFont="1" applyFill="1" applyBorder="1"/>
    <xf numFmtId="0" fontId="6" fillId="9" borderId="0" xfId="0" applyFont="1" applyFill="1" applyBorder="1" applyAlignment="1"/>
    <xf numFmtId="0" fontId="2" fillId="9" borderId="0" xfId="0" applyFont="1" applyFill="1" applyBorder="1" applyAlignment="1">
      <alignment horizontal="right"/>
    </xf>
    <xf numFmtId="0" fontId="0" fillId="7" borderId="0" xfId="0" applyFill="1" applyBorder="1"/>
    <xf numFmtId="0" fontId="29" fillId="10" borderId="0" xfId="0" applyFont="1" applyFill="1" applyAlignment="1">
      <alignment horizontal="left" vertical="center"/>
    </xf>
    <xf numFmtId="0" fontId="14" fillId="10" borderId="0" xfId="0" applyFont="1" applyFill="1"/>
    <xf numFmtId="0" fontId="25" fillId="10" borderId="0" xfId="0" applyFont="1" applyFill="1"/>
    <xf numFmtId="9" fontId="7" fillId="0" borderId="0" xfId="0" applyNumberFormat="1" applyFont="1"/>
    <xf numFmtId="0" fontId="0" fillId="0" borderId="0" xfId="0"/>
    <xf numFmtId="0" fontId="7" fillId="0" borderId="0" xfId="0" applyFont="1" applyAlignment="1">
      <alignment wrapText="1"/>
    </xf>
    <xf numFmtId="0" fontId="7" fillId="9" borderId="25" xfId="0" applyFont="1" applyFill="1" applyBorder="1" applyAlignment="1">
      <alignment vertical="center" wrapText="1"/>
    </xf>
    <xf numFmtId="0" fontId="7" fillId="9" borderId="24" xfId="0" applyFont="1" applyFill="1" applyBorder="1" applyAlignment="1">
      <alignment vertical="center" wrapText="1"/>
    </xf>
    <xf numFmtId="0" fontId="25" fillId="9" borderId="0" xfId="0" applyFont="1" applyFill="1"/>
    <xf numFmtId="0" fontId="0" fillId="9" borderId="27" xfId="0" applyFill="1" applyBorder="1" applyAlignment="1">
      <alignment vertical="center"/>
    </xf>
    <xf numFmtId="0" fontId="0" fillId="9" borderId="27" xfId="0" applyFill="1" applyBorder="1"/>
    <xf numFmtId="0" fontId="7" fillId="9" borderId="27" xfId="0" applyFont="1" applyFill="1" applyBorder="1" applyAlignment="1">
      <alignment vertical="center"/>
    </xf>
    <xf numFmtId="0" fontId="19" fillId="14" borderId="0" xfId="0" applyFont="1" applyFill="1" applyAlignment="1">
      <alignment vertical="center"/>
    </xf>
    <xf numFmtId="0" fontId="14" fillId="14" borderId="0" xfId="0" applyFont="1" applyFill="1" applyAlignment="1">
      <alignment vertical="center"/>
    </xf>
    <xf numFmtId="0" fontId="0" fillId="14" borderId="0" xfId="0" applyFont="1" applyFill="1" applyAlignment="1">
      <alignment vertical="center"/>
    </xf>
    <xf numFmtId="0" fontId="0" fillId="14" borderId="0" xfId="0" applyFill="1" applyBorder="1"/>
    <xf numFmtId="166" fontId="26" fillId="7" borderId="0" xfId="0" quotePrefix="1" applyNumberFormat="1" applyFont="1" applyFill="1" applyAlignment="1">
      <alignment horizontal="center" vertical="center" textRotation="90"/>
    </xf>
    <xf numFmtId="0" fontId="7" fillId="11" borderId="0" xfId="0" applyFont="1" applyFill="1"/>
    <xf numFmtId="0" fontId="7" fillId="9" borderId="0" xfId="0" applyFont="1" applyFill="1" applyBorder="1" applyAlignment="1">
      <alignment vertical="center"/>
    </xf>
    <xf numFmtId="0" fontId="9" fillId="7" borderId="0" xfId="0" applyFont="1" applyFill="1" applyAlignment="1">
      <alignment horizontal="right"/>
    </xf>
    <xf numFmtId="0" fontId="7" fillId="9" borderId="0" xfId="0" applyFont="1" applyFill="1" applyAlignment="1">
      <alignment vertical="center"/>
    </xf>
    <xf numFmtId="0" fontId="33" fillId="9" borderId="0" xfId="0" quotePrefix="1" applyFont="1" applyFill="1" applyBorder="1" applyAlignment="1">
      <alignment vertical="center"/>
    </xf>
    <xf numFmtId="9" fontId="34" fillId="9" borderId="0" xfId="11" applyFont="1" applyFill="1" applyAlignment="1">
      <alignment vertical="center"/>
    </xf>
    <xf numFmtId="0" fontId="35" fillId="9" borderId="0" xfId="0" applyFont="1" applyFill="1" applyBorder="1" applyAlignment="1">
      <alignment vertical="center"/>
    </xf>
    <xf numFmtId="2" fontId="34" fillId="9" borderId="0" xfId="0" applyNumberFormat="1" applyFont="1" applyFill="1" applyBorder="1" applyAlignment="1">
      <alignment vertical="center"/>
    </xf>
    <xf numFmtId="0" fontId="0" fillId="7" borderId="0" xfId="0" applyFont="1" applyFill="1" applyAlignment="1">
      <alignment vertical="center"/>
    </xf>
    <xf numFmtId="0" fontId="2" fillId="9" borderId="0" xfId="0" applyFont="1" applyFill="1" applyAlignment="1">
      <alignment horizontal="center" vertical="center"/>
    </xf>
    <xf numFmtId="0" fontId="11" fillId="14" borderId="0" xfId="0" applyFont="1" applyFill="1" applyAlignment="1">
      <alignment horizontal="right" vertical="center"/>
    </xf>
    <xf numFmtId="0" fontId="14" fillId="9" borderId="0" xfId="0" applyFont="1" applyFill="1"/>
    <xf numFmtId="0" fontId="2" fillId="9" borderId="0" xfId="0" applyFont="1" applyFill="1" applyBorder="1" applyAlignment="1">
      <alignment vertical="center"/>
    </xf>
    <xf numFmtId="0" fontId="24" fillId="15" borderId="0" xfId="0" applyFont="1" applyFill="1" applyAlignment="1">
      <alignment horizontal="center"/>
    </xf>
    <xf numFmtId="0" fontId="7" fillId="0" borderId="2" xfId="0" applyFont="1" applyFill="1" applyBorder="1" applyAlignment="1">
      <alignment wrapText="1"/>
    </xf>
    <xf numFmtId="14" fontId="7" fillId="7" borderId="0" xfId="0" quotePrefix="1" applyNumberFormat="1" applyFont="1" applyFill="1"/>
    <xf numFmtId="0" fontId="39" fillId="0" borderId="0" xfId="0" applyFont="1"/>
    <xf numFmtId="0" fontId="25" fillId="12" borderId="0" xfId="0" applyFont="1" applyFill="1" applyAlignment="1">
      <alignment vertical="center"/>
    </xf>
    <xf numFmtId="0" fontId="25" fillId="17" borderId="0" xfId="0" applyFont="1" applyFill="1" applyAlignment="1">
      <alignment vertical="center"/>
    </xf>
    <xf numFmtId="0" fontId="25" fillId="16" borderId="0" xfId="0" applyFont="1" applyFill="1" applyAlignment="1">
      <alignment vertical="center"/>
    </xf>
    <xf numFmtId="0" fontId="40" fillId="9" borderId="36" xfId="0" applyFont="1" applyFill="1" applyBorder="1" applyAlignment="1">
      <alignment horizontal="center" vertical="center"/>
    </xf>
    <xf numFmtId="0" fontId="40" fillId="9" borderId="37" xfId="0" applyFont="1" applyFill="1" applyBorder="1" applyAlignment="1">
      <alignment horizontal="center" vertical="center"/>
    </xf>
    <xf numFmtId="0" fontId="40" fillId="9" borderId="0" xfId="0" applyFont="1" applyFill="1" applyBorder="1" applyAlignment="1">
      <alignment horizontal="center" vertical="center"/>
    </xf>
    <xf numFmtId="0" fontId="40" fillId="9" borderId="22" xfId="0" applyFont="1" applyFill="1" applyBorder="1" applyAlignment="1">
      <alignment horizontal="center" vertical="center"/>
    </xf>
    <xf numFmtId="0" fontId="11" fillId="13" borderId="0" xfId="0" applyFont="1" applyFill="1" applyAlignment="1">
      <alignment vertical="center"/>
    </xf>
    <xf numFmtId="0" fontId="2" fillId="13" borderId="0" xfId="0" applyFont="1" applyFill="1" applyAlignment="1">
      <alignment vertical="center"/>
    </xf>
    <xf numFmtId="0" fontId="2" fillId="11" borderId="0" xfId="0" applyFont="1" applyFill="1" applyAlignment="1">
      <alignment vertical="center"/>
    </xf>
    <xf numFmtId="0" fontId="11" fillId="11" borderId="0" xfId="0" applyFont="1" applyFill="1" applyAlignment="1">
      <alignment vertical="center"/>
    </xf>
    <xf numFmtId="0" fontId="15" fillId="13" borderId="0" xfId="0" applyFont="1" applyFill="1" applyBorder="1" applyAlignment="1">
      <alignment vertical="center"/>
    </xf>
    <xf numFmtId="0" fontId="15" fillId="13" borderId="9" xfId="0" applyFont="1" applyFill="1" applyBorder="1" applyAlignment="1">
      <alignment vertical="center"/>
    </xf>
    <xf numFmtId="0" fontId="18" fillId="13" borderId="9" xfId="0" applyFont="1" applyFill="1" applyBorder="1" applyAlignment="1">
      <alignment vertical="center"/>
    </xf>
    <xf numFmtId="0" fontId="2" fillId="9" borderId="0" xfId="0" applyFont="1" applyFill="1" applyAlignment="1">
      <alignment horizontal="right" vertical="center"/>
    </xf>
    <xf numFmtId="0" fontId="11" fillId="13" borderId="0" xfId="0" applyFont="1" applyFill="1" applyBorder="1" applyAlignment="1">
      <alignment vertical="center"/>
    </xf>
    <xf numFmtId="0" fontId="25" fillId="10" borderId="0" xfId="0" applyFont="1" applyFill="1" applyAlignment="1">
      <alignment vertical="center"/>
    </xf>
    <xf numFmtId="0" fontId="2" fillId="7" borderId="10" xfId="0" quotePrefix="1" applyFont="1" applyFill="1" applyBorder="1" applyAlignment="1">
      <alignment vertical="center"/>
    </xf>
    <xf numFmtId="0" fontId="44" fillId="0" borderId="0" xfId="0" applyFont="1" applyAlignment="1">
      <alignment horizontal="left"/>
    </xf>
    <xf numFmtId="0" fontId="7" fillId="9" borderId="3" xfId="0" applyFont="1" applyFill="1" applyBorder="1" applyAlignment="1">
      <alignment vertical="center"/>
    </xf>
    <xf numFmtId="0" fontId="7" fillId="9" borderId="0" xfId="0" applyFont="1" applyFill="1" applyAlignment="1">
      <alignment vertical="center"/>
    </xf>
    <xf numFmtId="1" fontId="45" fillId="9" borderId="38" xfId="11" applyNumberFormat="1" applyFont="1" applyFill="1" applyBorder="1" applyAlignment="1">
      <alignment horizontal="left" vertical="center"/>
    </xf>
    <xf numFmtId="0" fontId="47" fillId="7" borderId="0" xfId="0" applyFont="1" applyFill="1"/>
    <xf numFmtId="0" fontId="8" fillId="7" borderId="0" xfId="0" applyFont="1" applyFill="1" applyAlignment="1">
      <alignment horizontal="left"/>
    </xf>
    <xf numFmtId="0" fontId="23" fillId="0" borderId="0" xfId="13" applyFill="1" applyAlignment="1">
      <alignment vertical="center"/>
    </xf>
    <xf numFmtId="0" fontId="47" fillId="7" borderId="0" xfId="0" applyFont="1" applyFill="1" applyAlignment="1">
      <alignment horizontal="right"/>
    </xf>
    <xf numFmtId="0" fontId="49" fillId="0" borderId="39" xfId="15"/>
    <xf numFmtId="0" fontId="49" fillId="0" borderId="39" xfId="15" applyAlignment="1"/>
    <xf numFmtId="0" fontId="49" fillId="0" borderId="39" xfId="15" applyNumberFormat="1"/>
    <xf numFmtId="14" fontId="49" fillId="0" borderId="39" xfId="15" applyNumberFormat="1"/>
    <xf numFmtId="17" fontId="49" fillId="0" borderId="39" xfId="15" applyNumberFormat="1"/>
    <xf numFmtId="0" fontId="0" fillId="9" borderId="9" xfId="0" applyFill="1" applyBorder="1"/>
    <xf numFmtId="1" fontId="7" fillId="9" borderId="0" xfId="0" applyNumberFormat="1" applyFont="1" applyFill="1" applyBorder="1" applyAlignment="1">
      <alignment horizontal="left" vertical="center"/>
    </xf>
    <xf numFmtId="0" fontId="7" fillId="9" borderId="0" xfId="0" applyFont="1" applyFill="1" applyBorder="1" applyAlignment="1">
      <alignment vertical="center"/>
    </xf>
    <xf numFmtId="0" fontId="7" fillId="7" borderId="0" xfId="0" applyFont="1" applyFill="1" applyBorder="1"/>
    <xf numFmtId="0" fontId="7" fillId="9" borderId="0" xfId="0" applyFont="1" applyFill="1" applyBorder="1" applyAlignment="1">
      <alignment vertical="top" wrapText="1"/>
    </xf>
    <xf numFmtId="0" fontId="5" fillId="14" borderId="0" xfId="0" applyFont="1" applyFill="1"/>
    <xf numFmtId="0" fontId="50" fillId="0" borderId="0" xfId="0" applyFont="1"/>
    <xf numFmtId="0" fontId="50" fillId="0" borderId="0" xfId="0" applyFont="1" applyFill="1"/>
    <xf numFmtId="0" fontId="50" fillId="0" borderId="0" xfId="0" applyFont="1" applyBorder="1"/>
    <xf numFmtId="0" fontId="44" fillId="0" borderId="0" xfId="0" applyFont="1"/>
    <xf numFmtId="0" fontId="50" fillId="0" borderId="0" xfId="0" applyFont="1" applyAlignment="1"/>
    <xf numFmtId="0" fontId="50" fillId="0" borderId="0" xfId="0" applyFont="1" applyBorder="1" applyAlignment="1"/>
    <xf numFmtId="0" fontId="50" fillId="0" borderId="0" xfId="0" applyFont="1" applyFill="1" applyBorder="1" applyAlignment="1">
      <alignment vertical="center"/>
    </xf>
    <xf numFmtId="0" fontId="50" fillId="0" borderId="0" xfId="0" applyFont="1" applyFill="1" applyAlignment="1"/>
    <xf numFmtId="1" fontId="43" fillId="9" borderId="0" xfId="11" applyNumberFormat="1" applyFont="1" applyFill="1" applyBorder="1" applyAlignment="1">
      <alignment horizontal="left" vertical="center"/>
    </xf>
    <xf numFmtId="1" fontId="7" fillId="9" borderId="0" xfId="11" applyNumberFormat="1" applyFont="1" applyFill="1" applyBorder="1" applyAlignment="1">
      <alignment vertical="center"/>
    </xf>
    <xf numFmtId="0" fontId="51" fillId="11" borderId="0" xfId="0" applyFont="1" applyFill="1" applyAlignment="1">
      <alignment vertical="center"/>
    </xf>
    <xf numFmtId="0" fontId="52" fillId="0" borderId="47" xfId="16" applyAlignment="1"/>
    <xf numFmtId="0" fontId="52" fillId="0" borderId="47" xfId="16" applyAlignment="1">
      <alignment wrapText="1"/>
    </xf>
    <xf numFmtId="0" fontId="0" fillId="0" borderId="56" xfId="0" applyBorder="1" applyAlignment="1"/>
    <xf numFmtId="0" fontId="0" fillId="0" borderId="53" xfId="0" applyBorder="1" applyAlignment="1"/>
    <xf numFmtId="0" fontId="25" fillId="14" borderId="0" xfId="0" applyFont="1" applyFill="1"/>
    <xf numFmtId="0" fontId="25" fillId="14" borderId="0" xfId="0" applyFont="1" applyFill="1" applyBorder="1"/>
    <xf numFmtId="0" fontId="25" fillId="9" borderId="0" xfId="0" applyFont="1" applyFill="1" applyBorder="1"/>
    <xf numFmtId="0" fontId="29" fillId="10" borderId="62" xfId="0" applyFont="1" applyFill="1" applyBorder="1" applyAlignment="1">
      <alignment horizontal="left" vertical="center"/>
    </xf>
    <xf numFmtId="0" fontId="25" fillId="10" borderId="63" xfId="0" applyFont="1" applyFill="1" applyBorder="1"/>
    <xf numFmtId="0" fontId="0" fillId="10" borderId="63" xfId="0" applyFill="1" applyBorder="1"/>
    <xf numFmtId="14" fontId="0" fillId="0" borderId="0" xfId="0" applyNumberFormat="1" applyFont="1"/>
    <xf numFmtId="0" fontId="53" fillId="0" borderId="0" xfId="18" applyBorder="1" applyAlignment="1">
      <alignment wrapText="1"/>
    </xf>
    <xf numFmtId="0" fontId="0" fillId="0" borderId="0" xfId="0" applyBorder="1" applyAlignment="1">
      <alignment wrapText="1"/>
    </xf>
    <xf numFmtId="0" fontId="26" fillId="9" borderId="0" xfId="0" applyFont="1" applyFill="1" applyBorder="1" applyAlignment="1">
      <alignment vertical="top" wrapText="1"/>
    </xf>
    <xf numFmtId="0" fontId="6" fillId="7" borderId="64" xfId="0" applyFont="1" applyFill="1" applyBorder="1" applyAlignment="1">
      <alignment vertical="center" wrapText="1"/>
    </xf>
    <xf numFmtId="0" fontId="6" fillId="6" borderId="64" xfId="0" applyFont="1" applyFill="1" applyBorder="1" applyAlignment="1">
      <alignment vertical="center" wrapText="1"/>
    </xf>
    <xf numFmtId="0" fontId="56" fillId="7" borderId="64" xfId="0" applyFont="1" applyFill="1" applyBorder="1" applyAlignment="1">
      <alignment vertical="center" wrapText="1"/>
    </xf>
    <xf numFmtId="0" fontId="57" fillId="8" borderId="0" xfId="0" applyFont="1" applyFill="1" applyAlignment="1">
      <alignment wrapText="1"/>
    </xf>
    <xf numFmtId="0" fontId="60" fillId="0" borderId="0" xfId="0" applyFont="1" applyAlignment="1">
      <alignment vertical="center" wrapText="1"/>
    </xf>
    <xf numFmtId="0" fontId="55" fillId="7" borderId="64" xfId="0" applyFont="1" applyFill="1" applyBorder="1" applyAlignment="1">
      <alignment horizontal="center" vertical="center" wrapText="1"/>
    </xf>
    <xf numFmtId="0" fontId="55" fillId="11" borderId="64" xfId="0" applyFont="1" applyFill="1" applyBorder="1" applyAlignment="1">
      <alignment horizontal="left" vertical="center" wrapText="1"/>
    </xf>
    <xf numFmtId="0" fontId="55" fillId="7" borderId="72" xfId="0" applyFont="1" applyFill="1" applyBorder="1" applyAlignment="1">
      <alignment horizontal="center" vertical="center" wrapText="1"/>
    </xf>
    <xf numFmtId="9" fontId="57" fillId="7" borderId="64" xfId="9" applyFont="1" applyFill="1" applyBorder="1" applyAlignment="1">
      <alignment horizontal="center" vertical="center" wrapText="1"/>
    </xf>
    <xf numFmtId="0" fontId="57" fillId="28" borderId="73" xfId="0" applyFont="1" applyFill="1" applyBorder="1" applyAlignment="1">
      <alignment horizontal="center" vertical="center" wrapText="1"/>
    </xf>
    <xf numFmtId="0" fontId="57" fillId="28" borderId="74" xfId="0" applyFont="1" applyFill="1" applyBorder="1" applyAlignment="1">
      <alignment horizontal="center" vertical="center" wrapText="1"/>
    </xf>
    <xf numFmtId="0" fontId="6" fillId="11" borderId="64" xfId="0" applyFont="1" applyFill="1" applyBorder="1" applyAlignment="1">
      <alignment horizontal="left" vertical="center" wrapText="1"/>
    </xf>
    <xf numFmtId="0" fontId="56" fillId="11" borderId="64" xfId="0" applyFont="1" applyFill="1" applyBorder="1" applyAlignment="1">
      <alignment horizontal="left" vertical="center" wrapText="1"/>
    </xf>
    <xf numFmtId="0" fontId="55" fillId="11" borderId="72" xfId="0" applyFont="1" applyFill="1" applyBorder="1" applyAlignment="1">
      <alignment horizontal="left" vertical="center" wrapText="1"/>
    </xf>
    <xf numFmtId="0" fontId="57" fillId="24" borderId="73" xfId="0" quotePrefix="1" applyFont="1" applyFill="1" applyBorder="1" applyAlignment="1">
      <alignment horizontal="left" vertical="center" wrapText="1"/>
    </xf>
    <xf numFmtId="0" fontId="57" fillId="24" borderId="74" xfId="0" quotePrefix="1" applyFont="1" applyFill="1" applyBorder="1" applyAlignment="1">
      <alignment horizontal="left" vertical="center" wrapText="1"/>
    </xf>
    <xf numFmtId="0" fontId="57" fillId="0" borderId="0" xfId="0" applyFont="1" applyAlignment="1">
      <alignment horizontal="left" wrapText="1"/>
    </xf>
    <xf numFmtId="0" fontId="57" fillId="18" borderId="74" xfId="0" quotePrefix="1" applyFont="1" applyFill="1" applyBorder="1" applyAlignment="1">
      <alignment horizontal="left" wrapText="1"/>
    </xf>
    <xf numFmtId="0" fontId="57" fillId="18" borderId="73" xfId="0" quotePrefix="1" applyFont="1" applyFill="1" applyBorder="1" applyAlignment="1">
      <alignment horizontal="left" wrapText="1"/>
    </xf>
    <xf numFmtId="0" fontId="57" fillId="30" borderId="64" xfId="0" applyFont="1" applyFill="1" applyBorder="1" applyAlignment="1">
      <alignment horizontal="left" wrapText="1"/>
    </xf>
    <xf numFmtId="0" fontId="57" fillId="34" borderId="74" xfId="0" applyFont="1" applyFill="1" applyBorder="1" applyAlignment="1">
      <alignment vertical="center" wrapText="1"/>
    </xf>
    <xf numFmtId="0" fontId="61" fillId="34" borderId="73" xfId="0" applyFont="1" applyFill="1" applyBorder="1" applyAlignment="1">
      <alignment vertical="center" wrapText="1"/>
    </xf>
    <xf numFmtId="1" fontId="0" fillId="9" borderId="0" xfId="0" applyNumberFormat="1" applyFont="1" applyFill="1" applyBorder="1" applyAlignment="1"/>
    <xf numFmtId="0" fontId="57" fillId="30" borderId="72" xfId="0" applyFont="1" applyFill="1" applyBorder="1" applyAlignment="1">
      <alignment horizontal="left" wrapText="1"/>
    </xf>
    <xf numFmtId="0" fontId="57" fillId="19" borderId="75" xfId="0" quotePrefix="1" applyFont="1" applyFill="1" applyBorder="1" applyAlignment="1">
      <alignment horizontal="left" vertical="center" wrapText="1"/>
    </xf>
    <xf numFmtId="0" fontId="57" fillId="19" borderId="74" xfId="0" quotePrefix="1" applyFont="1" applyFill="1" applyBorder="1" applyAlignment="1">
      <alignment horizontal="left" vertical="center" wrapText="1"/>
    </xf>
    <xf numFmtId="0" fontId="61" fillId="19" borderId="74" xfId="0" quotePrefix="1" applyFont="1" applyFill="1" applyBorder="1" applyAlignment="1">
      <alignment horizontal="left" vertical="center" wrapText="1"/>
    </xf>
    <xf numFmtId="0" fontId="61" fillId="19" borderId="74" xfId="0" applyFont="1" applyFill="1" applyBorder="1" applyAlignment="1">
      <alignment horizontal="left" vertical="center" wrapText="1"/>
    </xf>
    <xf numFmtId="0" fontId="57" fillId="24" borderId="74" xfId="0" applyFont="1" applyFill="1" applyBorder="1" applyAlignment="1">
      <alignment horizontal="left" wrapText="1"/>
    </xf>
    <xf numFmtId="0" fontId="57" fillId="28" borderId="73" xfId="0" applyFont="1" applyFill="1" applyBorder="1" applyAlignment="1">
      <alignment horizontal="center" vertical="center" wrapText="1"/>
    </xf>
    <xf numFmtId="0" fontId="37" fillId="11" borderId="9" xfId="0" applyFont="1" applyFill="1" applyBorder="1" applyAlignment="1">
      <alignment vertical="center"/>
    </xf>
    <xf numFmtId="0" fontId="7" fillId="7" borderId="23" xfId="0" applyFont="1" applyFill="1" applyBorder="1"/>
    <xf numFmtId="0" fontId="41" fillId="9" borderId="0" xfId="0" applyFont="1" applyFill="1"/>
    <xf numFmtId="0" fontId="42" fillId="9" borderId="0" xfId="0" applyFont="1" applyFill="1" applyAlignment="1">
      <alignment vertical="center"/>
    </xf>
    <xf numFmtId="0" fontId="42" fillId="9" borderId="0" xfId="0" applyFont="1" applyFill="1" applyAlignment="1">
      <alignment horizontal="right"/>
    </xf>
    <xf numFmtId="0" fontId="2" fillId="3" borderId="0" xfId="0" applyFont="1" applyFill="1" applyAlignment="1">
      <alignment vertical="center"/>
    </xf>
    <xf numFmtId="0" fontId="0" fillId="9" borderId="92" xfId="0" applyFill="1" applyBorder="1"/>
    <xf numFmtId="0" fontId="0" fillId="9" borderId="10" xfId="0" applyFill="1" applyBorder="1"/>
    <xf numFmtId="0" fontId="0" fillId="9" borderId="11" xfId="0" applyFill="1" applyBorder="1"/>
    <xf numFmtId="0" fontId="27" fillId="9" borderId="10" xfId="0" applyFont="1" applyFill="1" applyBorder="1"/>
    <xf numFmtId="0" fontId="2" fillId="9" borderId="10" xfId="0" applyFont="1" applyFill="1" applyBorder="1"/>
    <xf numFmtId="0" fontId="0" fillId="0" borderId="0" xfId="0" applyBorder="1"/>
    <xf numFmtId="0" fontId="7" fillId="9" borderId="10" xfId="0" applyFont="1" applyFill="1" applyBorder="1"/>
    <xf numFmtId="0" fontId="0" fillId="9" borderId="14" xfId="0" applyFill="1" applyBorder="1"/>
    <xf numFmtId="0" fontId="2" fillId="9" borderId="15" xfId="0" applyFont="1" applyFill="1" applyBorder="1" applyAlignment="1">
      <alignment horizontal="right"/>
    </xf>
    <xf numFmtId="0" fontId="48" fillId="10" borderId="63" xfId="13" applyFont="1" applyFill="1" applyBorder="1" applyAlignment="1">
      <alignment horizontal="right" vertical="center"/>
    </xf>
    <xf numFmtId="0" fontId="7" fillId="7" borderId="67" xfId="0" applyFont="1" applyFill="1" applyBorder="1"/>
    <xf numFmtId="0" fontId="7" fillId="7" borderId="67" xfId="0" applyFont="1" applyFill="1" applyBorder="1" applyAlignment="1"/>
    <xf numFmtId="0" fontId="45" fillId="7" borderId="67" xfId="0" applyFont="1" applyFill="1" applyBorder="1" applyAlignment="1"/>
    <xf numFmtId="0" fontId="7" fillId="7" borderId="73" xfId="0" applyFont="1" applyFill="1" applyBorder="1"/>
    <xf numFmtId="0" fontId="0" fillId="7" borderId="73" xfId="0" applyFill="1" applyBorder="1"/>
    <xf numFmtId="0" fontId="45" fillId="7" borderId="73" xfId="0" applyFont="1" applyFill="1" applyBorder="1" applyAlignment="1"/>
    <xf numFmtId="0" fontId="7" fillId="7" borderId="73" xfId="0" applyFont="1" applyFill="1" applyBorder="1" applyAlignment="1"/>
    <xf numFmtId="0" fontId="0" fillId="0" borderId="67" xfId="0" applyBorder="1"/>
    <xf numFmtId="0" fontId="7" fillId="9" borderId="67" xfId="0" applyFont="1" applyFill="1" applyBorder="1"/>
    <xf numFmtId="0" fontId="0" fillId="0" borderId="73" xfId="0" applyBorder="1"/>
    <xf numFmtId="0" fontId="7" fillId="9" borderId="73" xfId="0" applyFont="1" applyFill="1" applyBorder="1"/>
    <xf numFmtId="0" fontId="0" fillId="0" borderId="94" xfId="0" applyBorder="1"/>
    <xf numFmtId="0" fontId="7" fillId="9" borderId="94" xfId="0" applyFont="1" applyFill="1" applyBorder="1"/>
    <xf numFmtId="0" fontId="7" fillId="7" borderId="12" xfId="0" applyFont="1" applyFill="1" applyBorder="1"/>
    <xf numFmtId="0" fontId="6" fillId="7" borderId="0" xfId="0" applyFont="1" applyFill="1" applyBorder="1" applyAlignment="1">
      <alignment vertical="center" wrapText="1"/>
    </xf>
    <xf numFmtId="0" fontId="0" fillId="7" borderId="10" xfId="0" applyFill="1" applyBorder="1" applyAlignment="1">
      <alignment vertical="center"/>
    </xf>
    <xf numFmtId="0" fontId="0" fillId="7" borderId="92" xfId="0" applyFill="1" applyBorder="1"/>
    <xf numFmtId="0" fontId="57" fillId="7" borderId="46" xfId="0" applyFont="1" applyFill="1" applyBorder="1" applyAlignment="1">
      <alignment horizontal="left" vertical="center"/>
    </xf>
    <xf numFmtId="0" fontId="7" fillId="7" borderId="9" xfId="0" applyFont="1" applyFill="1" applyBorder="1" applyAlignment="1">
      <alignment vertical="center" wrapText="1"/>
    </xf>
    <xf numFmtId="0" fontId="57" fillId="7" borderId="9" xfId="0" applyFont="1" applyFill="1" applyBorder="1" applyAlignment="1">
      <alignment vertical="center"/>
    </xf>
    <xf numFmtId="0" fontId="57" fillId="7" borderId="32" xfId="0" applyFont="1" applyFill="1" applyBorder="1" applyAlignment="1">
      <alignment horizontal="right" vertical="center"/>
    </xf>
    <xf numFmtId="0" fontId="57" fillId="7" borderId="46" xfId="0" applyFont="1" applyFill="1" applyBorder="1" applyAlignment="1">
      <alignment vertical="center"/>
    </xf>
    <xf numFmtId="0" fontId="57" fillId="7" borderId="9" xfId="0" applyFont="1" applyFill="1" applyBorder="1" applyAlignment="1">
      <alignment vertical="center" wrapText="1"/>
    </xf>
    <xf numFmtId="0" fontId="57" fillId="7" borderId="9" xfId="0" applyFont="1" applyFill="1" applyBorder="1"/>
    <xf numFmtId="0" fontId="57" fillId="7" borderId="9" xfId="0" applyFont="1" applyFill="1" applyBorder="1" applyAlignment="1">
      <alignment horizontal="right" vertical="center"/>
    </xf>
    <xf numFmtId="0" fontId="57" fillId="7" borderId="32" xfId="0" applyFont="1" applyFill="1" applyBorder="1" applyAlignment="1">
      <alignment horizontal="right"/>
    </xf>
    <xf numFmtId="0" fontId="7" fillId="7" borderId="105" xfId="0" applyFont="1" applyFill="1" applyBorder="1" applyAlignment="1"/>
    <xf numFmtId="0" fontId="7" fillId="7" borderId="105" xfId="0" applyFont="1" applyFill="1" applyBorder="1" applyAlignment="1">
      <alignment vertical="top" wrapText="1"/>
    </xf>
    <xf numFmtId="0" fontId="0" fillId="7" borderId="105" xfId="0" applyFill="1" applyBorder="1"/>
    <xf numFmtId="0" fontId="7" fillId="7" borderId="107" xfId="0" applyFont="1" applyFill="1" applyBorder="1"/>
    <xf numFmtId="0" fontId="0" fillId="7" borderId="107" xfId="0" applyFill="1" applyBorder="1"/>
    <xf numFmtId="0" fontId="7" fillId="7" borderId="109" xfId="0" applyFont="1" applyFill="1" applyBorder="1"/>
    <xf numFmtId="0" fontId="0" fillId="7" borderId="109" xfId="0" applyFill="1" applyBorder="1"/>
    <xf numFmtId="0" fontId="0" fillId="7" borderId="67" xfId="0" applyFill="1" applyBorder="1"/>
    <xf numFmtId="0" fontId="7" fillId="7" borderId="95" xfId="0" applyFont="1" applyFill="1" applyBorder="1"/>
    <xf numFmtId="0" fontId="0" fillId="7" borderId="95" xfId="0" applyFill="1" applyBorder="1"/>
    <xf numFmtId="0" fontId="2" fillId="9" borderId="92" xfId="0" applyFont="1" applyFill="1" applyBorder="1"/>
    <xf numFmtId="0" fontId="2" fillId="0" borderId="9" xfId="0" applyFont="1" applyBorder="1"/>
    <xf numFmtId="0" fontId="2" fillId="9" borderId="9" xfId="0" applyFont="1" applyFill="1" applyBorder="1" applyAlignment="1"/>
    <xf numFmtId="0" fontId="7" fillId="9" borderId="9" xfId="0" applyFont="1" applyFill="1" applyBorder="1"/>
    <xf numFmtId="0" fontId="7" fillId="9" borderId="9" xfId="0" applyFont="1" applyFill="1" applyBorder="1" applyAlignment="1"/>
    <xf numFmtId="0" fontId="0" fillId="0" borderId="9" xfId="0" applyBorder="1"/>
    <xf numFmtId="0" fontId="2" fillId="9" borderId="9" xfId="0" applyFont="1" applyFill="1" applyBorder="1"/>
    <xf numFmtId="0" fontId="6" fillId="9" borderId="9" xfId="0" applyFont="1" applyFill="1" applyBorder="1" applyAlignment="1"/>
    <xf numFmtId="0" fontId="0" fillId="9" borderId="9" xfId="0" applyFill="1" applyBorder="1" applyAlignment="1"/>
    <xf numFmtId="0" fontId="7" fillId="9" borderId="9" xfId="0" applyFont="1" applyFill="1" applyBorder="1" applyAlignment="1">
      <alignment vertical="top" wrapText="1"/>
    </xf>
    <xf numFmtId="0" fontId="2" fillId="9" borderId="9" xfId="0" applyFont="1" applyFill="1" applyBorder="1" applyAlignment="1">
      <alignment horizontal="right"/>
    </xf>
    <xf numFmtId="0" fontId="7" fillId="0" borderId="9" xfId="0" applyFont="1" applyBorder="1" applyAlignment="1">
      <alignment horizontal="left"/>
    </xf>
    <xf numFmtId="0" fontId="62" fillId="9" borderId="113" xfId="0" applyFont="1" applyFill="1" applyBorder="1" applyAlignment="1">
      <alignment horizontal="right"/>
    </xf>
    <xf numFmtId="0" fontId="62" fillId="9" borderId="114" xfId="0" applyFont="1" applyFill="1" applyBorder="1" applyAlignment="1">
      <alignment horizontal="right"/>
    </xf>
    <xf numFmtId="9" fontId="7" fillId="9" borderId="0" xfId="11" applyFont="1" applyFill="1" applyBorder="1"/>
    <xf numFmtId="0" fontId="45" fillId="9" borderId="0" xfId="0" applyFont="1" applyFill="1" applyBorder="1" applyAlignment="1"/>
    <xf numFmtId="2" fontId="7" fillId="7" borderId="0" xfId="11" applyNumberFormat="1" applyFont="1" applyFill="1" applyBorder="1" applyAlignment="1">
      <alignment horizontal="right"/>
    </xf>
    <xf numFmtId="9" fontId="7" fillId="7" borderId="94" xfId="11" applyFont="1" applyFill="1" applyBorder="1"/>
    <xf numFmtId="0" fontId="0" fillId="9" borderId="115" xfId="0" applyFill="1" applyBorder="1"/>
    <xf numFmtId="0" fontId="0" fillId="9" borderId="67" xfId="0" applyFill="1" applyBorder="1"/>
    <xf numFmtId="167" fontId="0" fillId="9" borderId="9" xfId="0" applyNumberFormat="1" applyFont="1" applyFill="1" applyBorder="1"/>
    <xf numFmtId="167" fontId="2" fillId="9" borderId="9" xfId="0" applyNumberFormat="1" applyFont="1" applyFill="1" applyBorder="1" applyAlignment="1">
      <alignment horizontal="right"/>
    </xf>
    <xf numFmtId="0" fontId="62" fillId="9" borderId="9" xfId="0" applyFont="1" applyFill="1" applyBorder="1"/>
    <xf numFmtId="0" fontId="0" fillId="9" borderId="9" xfId="0" applyFill="1" applyBorder="1" applyAlignment="1">
      <alignment horizontal="left"/>
    </xf>
    <xf numFmtId="9" fontId="34" fillId="7" borderId="67" xfId="11" applyFont="1" applyFill="1" applyBorder="1" applyAlignment="1">
      <alignment horizontal="right"/>
    </xf>
    <xf numFmtId="9" fontId="7" fillId="7" borderId="67" xfId="11" applyFont="1" applyFill="1" applyBorder="1" applyAlignment="1">
      <alignment horizontal="right"/>
    </xf>
    <xf numFmtId="9" fontId="7" fillId="7" borderId="67" xfId="0" applyNumberFormat="1" applyFont="1" applyFill="1" applyBorder="1" applyAlignment="1">
      <alignment horizontal="right"/>
    </xf>
    <xf numFmtId="9" fontId="34" fillId="7" borderId="67" xfId="0" applyNumberFormat="1" applyFont="1" applyFill="1" applyBorder="1" applyAlignment="1">
      <alignment horizontal="right"/>
    </xf>
    <xf numFmtId="2" fontId="34" fillId="7" borderId="0" xfId="11" applyNumberFormat="1" applyFont="1" applyFill="1" applyBorder="1" applyAlignment="1">
      <alignment horizontal="right"/>
    </xf>
    <xf numFmtId="0" fontId="33" fillId="0" borderId="9" xfId="0" quotePrefix="1" applyFont="1" applyBorder="1" applyAlignment="1">
      <alignment horizontal="right"/>
    </xf>
    <xf numFmtId="0" fontId="2" fillId="9" borderId="9" xfId="0" quotePrefix="1" applyFont="1" applyFill="1" applyBorder="1" applyAlignment="1">
      <alignment horizontal="right"/>
    </xf>
    <xf numFmtId="0" fontId="33" fillId="9" borderId="9" xfId="0" quotePrefix="1" applyFont="1" applyFill="1" applyBorder="1" applyAlignment="1">
      <alignment horizontal="right"/>
    </xf>
    <xf numFmtId="0" fontId="0" fillId="9" borderId="9" xfId="0" applyFont="1" applyFill="1" applyBorder="1" applyAlignment="1">
      <alignment horizontal="right"/>
    </xf>
    <xf numFmtId="0" fontId="22" fillId="9" borderId="0" xfId="12" applyFont="1" applyFill="1"/>
    <xf numFmtId="0" fontId="22" fillId="9" borderId="13" xfId="12" applyFont="1" applyFill="1" applyBorder="1"/>
    <xf numFmtId="0" fontId="21" fillId="9" borderId="0" xfId="12" applyFill="1" applyBorder="1"/>
    <xf numFmtId="9" fontId="21" fillId="9" borderId="0" xfId="11" applyFont="1" applyFill="1" applyBorder="1"/>
    <xf numFmtId="2" fontId="22" fillId="9" borderId="13" xfId="12" applyNumberFormat="1" applyFont="1" applyFill="1" applyBorder="1"/>
    <xf numFmtId="9" fontId="22" fillId="9" borderId="13" xfId="11" applyFont="1" applyFill="1" applyBorder="1"/>
    <xf numFmtId="0" fontId="60" fillId="9" borderId="0" xfId="0" applyFont="1" applyFill="1" applyAlignment="1">
      <alignment vertical="center" wrapText="1"/>
    </xf>
    <xf numFmtId="0" fontId="57" fillId="9" borderId="0" xfId="0" applyFont="1" applyFill="1" applyAlignment="1">
      <alignment wrapText="1"/>
    </xf>
    <xf numFmtId="0" fontId="57" fillId="9" borderId="0" xfId="0" applyFont="1" applyFill="1" applyAlignment="1">
      <alignment horizontal="left" wrapText="1"/>
    </xf>
    <xf numFmtId="0" fontId="0" fillId="9" borderId="0" xfId="0" applyFont="1" applyFill="1" applyAlignment="1"/>
    <xf numFmtId="0" fontId="0" fillId="9" borderId="0" xfId="0" applyFont="1" applyFill="1" applyBorder="1" applyAlignment="1"/>
    <xf numFmtId="0" fontId="5" fillId="9" borderId="0" xfId="0" applyFont="1" applyFill="1"/>
    <xf numFmtId="0" fontId="0" fillId="9" borderId="0" xfId="0" applyFont="1" applyFill="1"/>
    <xf numFmtId="9" fontId="0" fillId="9" borderId="0" xfId="0" applyNumberFormat="1" applyFill="1"/>
    <xf numFmtId="0" fontId="2" fillId="7" borderId="0" xfId="0" applyFont="1" applyFill="1" applyAlignment="1">
      <alignment horizontal="center"/>
    </xf>
    <xf numFmtId="0" fontId="0" fillId="7" borderId="0" xfId="0" applyFill="1" applyAlignment="1">
      <alignment horizontal="left"/>
    </xf>
    <xf numFmtId="0" fontId="0" fillId="0" borderId="0" xfId="0" applyAlignment="1">
      <alignment horizontal="left" vertical="center"/>
    </xf>
    <xf numFmtId="0" fontId="2" fillId="7" borderId="0" xfId="0" applyFont="1" applyFill="1" applyAlignment="1">
      <alignment horizontal="right"/>
    </xf>
    <xf numFmtId="9" fontId="2" fillId="7" borderId="0" xfId="11" applyFont="1" applyFill="1" applyAlignment="1">
      <alignment horizontal="right"/>
    </xf>
    <xf numFmtId="0" fontId="0" fillId="0" borderId="0" xfId="0" applyAlignment="1">
      <alignment horizontal="right"/>
    </xf>
    <xf numFmtId="1" fontId="0" fillId="0" borderId="0" xfId="11" applyNumberFormat="1" applyFont="1" applyAlignment="1">
      <alignment horizontal="right"/>
    </xf>
    <xf numFmtId="0" fontId="0" fillId="0" borderId="9" xfId="0" applyBorder="1" applyAlignment="1">
      <alignment horizontal="left"/>
    </xf>
    <xf numFmtId="9" fontId="0" fillId="0" borderId="9" xfId="11" applyFont="1" applyBorder="1"/>
    <xf numFmtId="165" fontId="0" fillId="0" borderId="9" xfId="0" applyNumberFormat="1" applyBorder="1"/>
    <xf numFmtId="0" fontId="0" fillId="0" borderId="9" xfId="0" applyBorder="1" applyAlignment="1">
      <alignment wrapText="1"/>
    </xf>
    <xf numFmtId="0" fontId="2" fillId="3" borderId="9" xfId="0" applyFont="1" applyFill="1" applyBorder="1" applyAlignment="1">
      <alignment wrapText="1"/>
    </xf>
    <xf numFmtId="0" fontId="2" fillId="3" borderId="9" xfId="0" applyFont="1" applyFill="1" applyBorder="1" applyAlignment="1">
      <alignment horizontal="left" wrapText="1"/>
    </xf>
    <xf numFmtId="0" fontId="0" fillId="9" borderId="9" xfId="0" applyFill="1" applyBorder="1" applyAlignment="1">
      <alignment wrapText="1"/>
    </xf>
    <xf numFmtId="6" fontId="0" fillId="0" borderId="9" xfId="0" applyNumberFormat="1" applyBorder="1" applyAlignment="1">
      <alignment horizontal="left"/>
    </xf>
    <xf numFmtId="165" fontId="0" fillId="0" borderId="9" xfId="14" applyNumberFormat="1" applyFont="1" applyBorder="1"/>
    <xf numFmtId="165" fontId="0" fillId="0" borderId="9" xfId="11" applyNumberFormat="1" applyFont="1" applyBorder="1"/>
    <xf numFmtId="0" fontId="0" fillId="0" borderId="9" xfId="0" applyBorder="1" applyAlignment="1">
      <alignment horizontal="right"/>
    </xf>
    <xf numFmtId="0" fontId="0" fillId="0" borderId="9" xfId="0" applyBorder="1" applyAlignment="1">
      <alignment horizontal="left" vertical="center"/>
    </xf>
    <xf numFmtId="1" fontId="0" fillId="0" borderId="9" xfId="11" applyNumberFormat="1" applyFont="1" applyBorder="1" applyAlignment="1">
      <alignment horizontal="right"/>
    </xf>
    <xf numFmtId="0" fontId="0" fillId="0" borderId="63" xfId="0" applyBorder="1"/>
    <xf numFmtId="0" fontId="0" fillId="0" borderId="63" xfId="0" applyBorder="1" applyAlignment="1">
      <alignment horizontal="left"/>
    </xf>
    <xf numFmtId="0" fontId="0" fillId="9" borderId="63" xfId="0" applyFill="1" applyBorder="1"/>
    <xf numFmtId="0" fontId="66" fillId="9" borderId="0" xfId="0" applyFont="1" applyFill="1"/>
    <xf numFmtId="0" fontId="66" fillId="9" borderId="0" xfId="0" applyFont="1" applyFill="1" applyAlignment="1">
      <alignment vertical="top"/>
    </xf>
    <xf numFmtId="0" fontId="66" fillId="9" borderId="0" xfId="0" applyFont="1" applyFill="1" applyAlignment="1">
      <alignment horizontal="left"/>
    </xf>
    <xf numFmtId="0" fontId="66" fillId="9" borderId="0" xfId="0" applyFont="1" applyFill="1" applyAlignment="1">
      <alignment wrapText="1"/>
    </xf>
    <xf numFmtId="0" fontId="66" fillId="9" borderId="0" xfId="0" applyFont="1" applyFill="1" applyBorder="1" applyAlignment="1">
      <alignment vertical="top"/>
    </xf>
    <xf numFmtId="0" fontId="66" fillId="9" borderId="0" xfId="0" applyFont="1" applyFill="1" applyBorder="1"/>
    <xf numFmtId="0" fontId="66" fillId="9" borderId="0" xfId="0" applyFont="1" applyFill="1" applyBorder="1" applyAlignment="1">
      <alignment horizontal="left"/>
    </xf>
    <xf numFmtId="0" fontId="66" fillId="9" borderId="0" xfId="0" applyFont="1" applyFill="1" applyBorder="1" applyAlignment="1">
      <alignment wrapText="1"/>
    </xf>
    <xf numFmtId="0" fontId="0" fillId="0" borderId="63" xfId="0" applyBorder="1" applyAlignment="1">
      <alignment vertical="center"/>
    </xf>
    <xf numFmtId="0" fontId="5" fillId="0" borderId="63" xfId="0" applyFont="1" applyBorder="1" applyAlignment="1">
      <alignment vertical="center"/>
    </xf>
    <xf numFmtId="0" fontId="5" fillId="0" borderId="63" xfId="0" applyFont="1" applyFill="1" applyBorder="1" applyAlignment="1">
      <alignment vertical="center"/>
    </xf>
    <xf numFmtId="0" fontId="0" fillId="0" borderId="63" xfId="0" applyBorder="1" applyAlignment="1">
      <alignment horizontal="left" vertical="center"/>
    </xf>
    <xf numFmtId="0" fontId="66" fillId="9" borderId="0" xfId="0" applyFont="1" applyFill="1" applyAlignment="1">
      <alignment horizontal="left" wrapText="1"/>
    </xf>
    <xf numFmtId="0" fontId="66" fillId="9" borderId="0" xfId="0" applyFont="1" applyFill="1" applyBorder="1" applyAlignment="1">
      <alignment horizontal="left" wrapText="1"/>
    </xf>
    <xf numFmtId="0" fontId="2" fillId="9" borderId="0" xfId="0" applyFont="1" applyFill="1" applyAlignment="1">
      <alignment horizontal="left"/>
    </xf>
    <xf numFmtId="165" fontId="0" fillId="9" borderId="0" xfId="0" applyNumberFormat="1" applyFill="1" applyAlignment="1">
      <alignment horizontal="left"/>
    </xf>
    <xf numFmtId="165" fontId="0" fillId="9" borderId="9" xfId="0" applyNumberFormat="1" applyFill="1" applyBorder="1" applyAlignment="1">
      <alignment horizontal="left"/>
    </xf>
    <xf numFmtId="9" fontId="2" fillId="9" borderId="0" xfId="11" applyFont="1" applyFill="1" applyAlignment="1">
      <alignment horizontal="left"/>
    </xf>
    <xf numFmtId="165" fontId="0" fillId="9" borderId="0" xfId="11" applyNumberFormat="1" applyFont="1" applyFill="1" applyAlignment="1">
      <alignment horizontal="left"/>
    </xf>
    <xf numFmtId="165" fontId="0" fillId="9" borderId="9" xfId="11" applyNumberFormat="1" applyFont="1" applyFill="1" applyBorder="1" applyAlignment="1">
      <alignment horizontal="left"/>
    </xf>
    <xf numFmtId="0" fontId="0" fillId="9" borderId="0" xfId="0" applyFill="1" applyAlignment="1">
      <alignment horizontal="left"/>
    </xf>
    <xf numFmtId="1" fontId="2" fillId="9" borderId="0" xfId="11" applyNumberFormat="1" applyFont="1" applyFill="1" applyAlignment="1">
      <alignment horizontal="left"/>
    </xf>
    <xf numFmtId="1" fontId="0" fillId="9" borderId="0" xfId="11" applyNumberFormat="1" applyFont="1" applyFill="1" applyAlignment="1">
      <alignment horizontal="left"/>
    </xf>
    <xf numFmtId="1" fontId="0" fillId="9" borderId="9" xfId="11" applyNumberFormat="1" applyFont="1" applyFill="1" applyBorder="1" applyAlignment="1">
      <alignment horizontal="left"/>
    </xf>
    <xf numFmtId="9" fontId="2" fillId="9" borderId="12" xfId="0" applyNumberFormat="1" applyFont="1" applyFill="1" applyBorder="1" applyAlignment="1">
      <alignment horizontal="left"/>
    </xf>
    <xf numFmtId="0" fontId="2" fillId="9" borderId="10" xfId="0" applyFont="1" applyFill="1" applyBorder="1" applyAlignment="1">
      <alignment horizontal="left"/>
    </xf>
    <xf numFmtId="165" fontId="0" fillId="9" borderId="10" xfId="0" applyNumberFormat="1" applyFill="1" applyBorder="1" applyAlignment="1">
      <alignment horizontal="left"/>
    </xf>
    <xf numFmtId="165" fontId="0" fillId="9" borderId="92" xfId="0" applyNumberFormat="1" applyFill="1" applyBorder="1" applyAlignment="1">
      <alignment horizontal="left"/>
    </xf>
    <xf numFmtId="9" fontId="2" fillId="9" borderId="10" xfId="11" applyFont="1" applyFill="1" applyBorder="1" applyAlignment="1">
      <alignment horizontal="left"/>
    </xf>
    <xf numFmtId="165" fontId="0" fillId="9" borderId="10" xfId="11" applyNumberFormat="1" applyFont="1" applyFill="1" applyBorder="1" applyAlignment="1">
      <alignment horizontal="left"/>
    </xf>
    <xf numFmtId="165" fontId="0" fillId="9" borderId="92" xfId="11" applyNumberFormat="1" applyFont="1" applyFill="1" applyBorder="1" applyAlignment="1">
      <alignment horizontal="left"/>
    </xf>
    <xf numFmtId="9" fontId="2" fillId="9" borderId="10" xfId="0" applyNumberFormat="1" applyFont="1" applyFill="1" applyBorder="1" applyAlignment="1">
      <alignment horizontal="left"/>
    </xf>
    <xf numFmtId="0" fontId="0" fillId="9" borderId="10" xfId="0" applyFill="1" applyBorder="1" applyAlignment="1">
      <alignment horizontal="left"/>
    </xf>
    <xf numFmtId="0" fontId="0" fillId="9" borderId="92" xfId="0" applyFill="1" applyBorder="1" applyAlignment="1">
      <alignment horizontal="left"/>
    </xf>
    <xf numFmtId="1" fontId="2" fillId="9" borderId="10" xfId="11" applyNumberFormat="1" applyFont="1" applyFill="1" applyBorder="1" applyAlignment="1">
      <alignment horizontal="left"/>
    </xf>
    <xf numFmtId="1" fontId="0" fillId="9" borderId="10" xfId="11" applyNumberFormat="1" applyFont="1" applyFill="1" applyBorder="1" applyAlignment="1">
      <alignment horizontal="left"/>
    </xf>
    <xf numFmtId="1" fontId="0" fillId="9" borderId="92" xfId="11" applyNumberFormat="1" applyFont="1" applyFill="1" applyBorder="1" applyAlignment="1">
      <alignment horizontal="left"/>
    </xf>
    <xf numFmtId="0" fontId="0" fillId="0" borderId="91" xfId="0" applyBorder="1" applyAlignment="1">
      <alignment horizontal="left" vertical="center"/>
    </xf>
    <xf numFmtId="165" fontId="2" fillId="9" borderId="12" xfId="0" applyNumberFormat="1" applyFont="1" applyFill="1" applyBorder="1" applyAlignment="1">
      <alignment horizontal="left"/>
    </xf>
    <xf numFmtId="165" fontId="2" fillId="9" borderId="10" xfId="0" applyNumberFormat="1" applyFont="1" applyFill="1" applyBorder="1" applyAlignment="1">
      <alignment horizontal="left"/>
    </xf>
    <xf numFmtId="165" fontId="2" fillId="9" borderId="10" xfId="11" applyNumberFormat="1" applyFont="1" applyFill="1" applyBorder="1" applyAlignment="1">
      <alignment horizontal="left"/>
    </xf>
    <xf numFmtId="0" fontId="2" fillId="9" borderId="12" xfId="0" applyFont="1" applyFill="1" applyBorder="1" applyAlignment="1">
      <alignment horizontal="left"/>
    </xf>
    <xf numFmtId="0" fontId="2" fillId="9" borderId="12" xfId="0" applyFont="1" applyFill="1" applyBorder="1" applyAlignment="1">
      <alignment horizontal="left" wrapText="1"/>
    </xf>
    <xf numFmtId="0" fontId="2" fillId="9" borderId="10" xfId="0" applyFont="1" applyFill="1" applyBorder="1" applyAlignment="1">
      <alignment horizontal="left" wrapText="1"/>
    </xf>
    <xf numFmtId="165" fontId="0" fillId="9" borderId="10" xfId="0" applyNumberFormat="1" applyFill="1" applyBorder="1" applyAlignment="1">
      <alignment horizontal="left" wrapText="1"/>
    </xf>
    <xf numFmtId="165" fontId="0" fillId="9" borderId="92" xfId="0" applyNumberFormat="1" applyFill="1" applyBorder="1" applyAlignment="1">
      <alignment horizontal="left" wrapText="1"/>
    </xf>
    <xf numFmtId="9" fontId="2" fillId="9" borderId="10" xfId="11" applyFont="1" applyFill="1" applyBorder="1" applyAlignment="1">
      <alignment horizontal="left" wrapText="1"/>
    </xf>
    <xf numFmtId="165" fontId="0" fillId="9" borderId="10" xfId="11" applyNumberFormat="1" applyFont="1" applyFill="1" applyBorder="1" applyAlignment="1">
      <alignment horizontal="left" wrapText="1"/>
    </xf>
    <xf numFmtId="165" fontId="0" fillId="9" borderId="92" xfId="11" applyNumberFormat="1" applyFont="1" applyFill="1" applyBorder="1" applyAlignment="1">
      <alignment horizontal="left" wrapText="1"/>
    </xf>
    <xf numFmtId="0" fontId="0" fillId="9" borderId="10" xfId="0" applyFill="1" applyBorder="1" applyAlignment="1">
      <alignment horizontal="left" wrapText="1"/>
    </xf>
    <xf numFmtId="0" fontId="0" fillId="9" borderId="92" xfId="0" applyFill="1" applyBorder="1" applyAlignment="1">
      <alignment horizontal="left" wrapText="1"/>
    </xf>
    <xf numFmtId="1" fontId="2" fillId="9" borderId="10" xfId="11" applyNumberFormat="1" applyFont="1" applyFill="1" applyBorder="1" applyAlignment="1">
      <alignment horizontal="left" wrapText="1"/>
    </xf>
    <xf numFmtId="1" fontId="0" fillId="9" borderId="10" xfId="11" applyNumberFormat="1" applyFont="1" applyFill="1" applyBorder="1" applyAlignment="1">
      <alignment horizontal="left" wrapText="1"/>
    </xf>
    <xf numFmtId="1" fontId="0" fillId="9" borderId="92" xfId="11" applyNumberFormat="1" applyFont="1" applyFill="1" applyBorder="1" applyAlignment="1">
      <alignment horizontal="left" wrapText="1"/>
    </xf>
    <xf numFmtId="0" fontId="0" fillId="0" borderId="91" xfId="0" applyBorder="1" applyAlignment="1">
      <alignment horizontal="left" vertical="center" wrapText="1"/>
    </xf>
    <xf numFmtId="9" fontId="0" fillId="9" borderId="12" xfId="11" applyFont="1" applyFill="1" applyBorder="1" applyAlignment="1"/>
    <xf numFmtId="9" fontId="0" fillId="9" borderId="10" xfId="11" applyFont="1" applyFill="1" applyBorder="1" applyAlignment="1"/>
    <xf numFmtId="9" fontId="0" fillId="9" borderId="10" xfId="11" applyFont="1" applyFill="1" applyBorder="1" applyAlignment="1">
      <alignment vertical="top"/>
    </xf>
    <xf numFmtId="165" fontId="0" fillId="9" borderId="12" xfId="11" applyNumberFormat="1" applyFont="1" applyFill="1" applyBorder="1" applyAlignment="1"/>
    <xf numFmtId="165" fontId="0" fillId="9" borderId="10" xfId="11" applyNumberFormat="1" applyFont="1" applyFill="1" applyBorder="1" applyAlignment="1"/>
    <xf numFmtId="165" fontId="0" fillId="9" borderId="10" xfId="11" applyNumberFormat="1" applyFont="1" applyFill="1" applyBorder="1" applyAlignment="1">
      <alignment vertical="top"/>
    </xf>
    <xf numFmtId="0" fontId="0" fillId="9" borderId="10" xfId="11" applyNumberFormat="1" applyFont="1" applyFill="1" applyBorder="1" applyAlignment="1"/>
    <xf numFmtId="0" fontId="2" fillId="9" borderId="10" xfId="0" applyNumberFormat="1" applyFont="1" applyFill="1" applyBorder="1" applyAlignment="1">
      <alignment horizontal="left"/>
    </xf>
    <xf numFmtId="0" fontId="0" fillId="9" borderId="10" xfId="0" applyNumberFormat="1" applyFill="1" applyBorder="1" applyAlignment="1">
      <alignment horizontal="left"/>
    </xf>
    <xf numFmtId="0" fontId="0" fillId="9" borderId="92" xfId="0" applyNumberFormat="1" applyFill="1" applyBorder="1" applyAlignment="1">
      <alignment horizontal="left"/>
    </xf>
    <xf numFmtId="0" fontId="2" fillId="9" borderId="10" xfId="11" applyNumberFormat="1" applyFont="1" applyFill="1" applyBorder="1" applyAlignment="1">
      <alignment horizontal="left"/>
    </xf>
    <xf numFmtId="0" fontId="0" fillId="9" borderId="10" xfId="11" applyNumberFormat="1" applyFont="1" applyFill="1" applyBorder="1" applyAlignment="1">
      <alignment horizontal="left"/>
    </xf>
    <xf numFmtId="0" fontId="0" fillId="9" borderId="92" xfId="11" applyNumberFormat="1" applyFont="1" applyFill="1" applyBorder="1" applyAlignment="1">
      <alignment horizontal="left"/>
    </xf>
    <xf numFmtId="0" fontId="0" fillId="9" borderId="12" xfId="0" applyFill="1" applyBorder="1" applyAlignment="1">
      <alignment wrapText="1"/>
    </xf>
    <xf numFmtId="0" fontId="2" fillId="9" borderId="10" xfId="0" applyFont="1" applyFill="1" applyBorder="1" applyAlignment="1">
      <alignment wrapText="1"/>
    </xf>
    <xf numFmtId="0" fontId="0" fillId="9" borderId="10" xfId="0" applyFill="1" applyBorder="1" applyAlignment="1">
      <alignment wrapText="1"/>
    </xf>
    <xf numFmtId="0" fontId="0" fillId="9" borderId="92" xfId="0" applyFill="1" applyBorder="1" applyAlignment="1">
      <alignment wrapText="1"/>
    </xf>
    <xf numFmtId="0" fontId="0" fillId="9" borderId="10" xfId="0" applyFont="1" applyFill="1" applyBorder="1" applyAlignment="1">
      <alignment wrapText="1"/>
    </xf>
    <xf numFmtId="9" fontId="0" fillId="9" borderId="10" xfId="11" applyFont="1" applyFill="1" applyBorder="1" applyAlignment="1">
      <alignment wrapText="1"/>
    </xf>
    <xf numFmtId="0" fontId="0" fillId="0" borderId="91" xfId="0" applyBorder="1" applyAlignment="1">
      <alignment wrapText="1"/>
    </xf>
    <xf numFmtId="9" fontId="2" fillId="9" borderId="12" xfId="0" applyNumberFormat="1" applyFont="1" applyFill="1" applyBorder="1" applyAlignment="1"/>
    <xf numFmtId="9" fontId="2" fillId="9" borderId="10" xfId="0" applyNumberFormat="1" applyFont="1" applyFill="1" applyBorder="1" applyAlignment="1"/>
    <xf numFmtId="0" fontId="0" fillId="9" borderId="91" xfId="0" applyFill="1" applyBorder="1"/>
    <xf numFmtId="0" fontId="0" fillId="0" borderId="0" xfId="0" applyAlignment="1">
      <alignment horizontal="left" vertical="center" wrapText="1"/>
    </xf>
    <xf numFmtId="0" fontId="53" fillId="0" borderId="49" xfId="18" applyBorder="1" applyAlignment="1">
      <alignment horizontal="left" vertical="center" wrapText="1"/>
    </xf>
    <xf numFmtId="0" fontId="0" fillId="0" borderId="49" xfId="0" applyBorder="1" applyAlignment="1">
      <alignment horizontal="left" vertical="center" wrapText="1"/>
    </xf>
    <xf numFmtId="0" fontId="0" fillId="18" borderId="49" xfId="0" applyFill="1" applyBorder="1" applyAlignment="1">
      <alignment horizontal="center" vertical="center" wrapText="1"/>
    </xf>
    <xf numFmtId="0" fontId="0" fillId="19" borderId="49" xfId="0" applyFill="1" applyBorder="1" applyAlignment="1">
      <alignment horizontal="center" vertical="center" wrapText="1"/>
    </xf>
    <xf numFmtId="0" fontId="0" fillId="20" borderId="49" xfId="0" applyFill="1" applyBorder="1" applyAlignment="1">
      <alignment horizontal="center" vertical="center" wrapText="1"/>
    </xf>
    <xf numFmtId="0" fontId="0" fillId="21" borderId="49" xfId="0" applyFill="1" applyBorder="1" applyAlignment="1">
      <alignment horizontal="center" vertical="center" wrapText="1"/>
    </xf>
    <xf numFmtId="0" fontId="52" fillId="0" borderId="0" xfId="16" applyBorder="1"/>
    <xf numFmtId="0" fontId="53" fillId="0" borderId="49" xfId="18" applyBorder="1" applyAlignment="1">
      <alignment horizontal="left" vertical="center"/>
    </xf>
    <xf numFmtId="0" fontId="7" fillId="24" borderId="2" xfId="0" applyFont="1" applyFill="1" applyBorder="1" applyAlignment="1">
      <alignment wrapText="1"/>
    </xf>
    <xf numFmtId="0" fontId="7" fillId="28" borderId="6" xfId="0" applyFont="1" applyFill="1" applyBorder="1" applyAlignment="1">
      <alignment wrapText="1"/>
    </xf>
    <xf numFmtId="0" fontId="7" fillId="18" borderId="2" xfId="0" applyFont="1" applyFill="1" applyBorder="1" applyAlignment="1">
      <alignment wrapText="1"/>
    </xf>
    <xf numFmtId="0" fontId="7" fillId="18" borderId="3" xfId="0" applyFont="1" applyFill="1" applyBorder="1" applyAlignment="1">
      <alignment wrapText="1"/>
    </xf>
    <xf numFmtId="0" fontId="7" fillId="19" borderId="2" xfId="0" applyFont="1" applyFill="1" applyBorder="1" applyAlignment="1">
      <alignment wrapText="1"/>
    </xf>
    <xf numFmtId="0" fontId="7" fillId="26" borderId="118" xfId="0" applyFont="1" applyFill="1" applyBorder="1" applyAlignment="1">
      <alignment vertical="top" wrapText="1"/>
    </xf>
    <xf numFmtId="0" fontId="7" fillId="19" borderId="27" xfId="0" applyFont="1" applyFill="1" applyBorder="1" applyAlignment="1">
      <alignment wrapText="1"/>
    </xf>
    <xf numFmtId="0" fontId="7" fillId="24" borderId="3" xfId="0" applyFont="1" applyFill="1" applyBorder="1" applyAlignment="1">
      <alignment wrapText="1"/>
    </xf>
    <xf numFmtId="0" fontId="32" fillId="14" borderId="0" xfId="0" applyFont="1" applyFill="1" applyBorder="1" applyAlignment="1" applyProtection="1">
      <alignment vertical="center" wrapText="1"/>
    </xf>
    <xf numFmtId="0" fontId="32" fillId="14" borderId="93" xfId="0" applyFont="1" applyFill="1" applyBorder="1" applyAlignment="1" applyProtection="1">
      <alignment horizontal="right" vertical="center"/>
    </xf>
    <xf numFmtId="0" fontId="69" fillId="7" borderId="0" xfId="0" applyFont="1" applyFill="1" applyBorder="1" applyAlignment="1">
      <alignment vertical="center"/>
    </xf>
    <xf numFmtId="0" fontId="57" fillId="6" borderId="73" xfId="0" applyFont="1" applyFill="1" applyBorder="1" applyAlignment="1">
      <alignment horizontal="left" wrapText="1"/>
    </xf>
    <xf numFmtId="0" fontId="57" fillId="0" borderId="0" xfId="0" applyFont="1" applyFill="1" applyAlignment="1">
      <alignment wrapText="1"/>
    </xf>
    <xf numFmtId="0" fontId="57" fillId="13" borderId="76" xfId="0" applyFont="1" applyFill="1" applyBorder="1" applyAlignment="1">
      <alignment vertical="center" wrapText="1"/>
    </xf>
    <xf numFmtId="0" fontId="6" fillId="3" borderId="65" xfId="0" applyFont="1" applyFill="1" applyBorder="1" applyAlignment="1">
      <alignment vertical="top" wrapText="1"/>
    </xf>
    <xf numFmtId="0" fontId="11" fillId="3" borderId="65" xfId="0" applyFont="1" applyFill="1" applyBorder="1" applyAlignment="1">
      <alignment vertical="top" wrapText="1"/>
    </xf>
    <xf numFmtId="0" fontId="2" fillId="3" borderId="65" xfId="0" applyFont="1" applyFill="1" applyBorder="1" applyAlignment="1">
      <alignment horizontal="left" vertical="top" wrapText="1"/>
    </xf>
    <xf numFmtId="0" fontId="2" fillId="3" borderId="65" xfId="0" applyFont="1" applyFill="1" applyBorder="1" applyAlignment="1">
      <alignment vertical="top" wrapText="1"/>
    </xf>
    <xf numFmtId="0" fontId="2" fillId="3" borderId="77" xfId="0" applyFont="1" applyFill="1" applyBorder="1" applyAlignment="1">
      <alignment vertical="top" wrapText="1"/>
    </xf>
    <xf numFmtId="0" fontId="7" fillId="23" borderId="81" xfId="0" applyFont="1" applyFill="1" applyBorder="1" applyAlignment="1">
      <alignment vertical="top" wrapText="1"/>
    </xf>
    <xf numFmtId="0" fontId="7" fillId="23" borderId="78" xfId="0" applyFont="1" applyFill="1" applyBorder="1" applyAlignment="1">
      <alignment vertical="top" wrapText="1"/>
    </xf>
    <xf numFmtId="0" fontId="7" fillId="31" borderId="78" xfId="0" applyFont="1" applyFill="1" applyBorder="1" applyAlignment="1">
      <alignment vertical="top" wrapText="1"/>
    </xf>
    <xf numFmtId="0" fontId="7" fillId="35" borderId="78" xfId="0" applyFont="1" applyFill="1" applyBorder="1" applyAlignment="1">
      <alignment vertical="top" wrapText="1"/>
    </xf>
    <xf numFmtId="0" fontId="7" fillId="6" borderId="80" xfId="0" applyFont="1" applyFill="1" applyBorder="1" applyAlignment="1">
      <alignment vertical="top" wrapText="1"/>
    </xf>
    <xf numFmtId="1" fontId="7" fillId="6" borderId="78" xfId="0" applyNumberFormat="1" applyFont="1" applyFill="1" applyBorder="1" applyAlignment="1">
      <alignment vertical="top" wrapText="1"/>
    </xf>
    <xf numFmtId="1" fontId="7" fillId="6" borderId="87" xfId="0" applyNumberFormat="1" applyFont="1" applyFill="1" applyBorder="1" applyAlignment="1">
      <alignment vertical="top" wrapText="1"/>
    </xf>
    <xf numFmtId="0" fontId="7" fillId="36" borderId="84" xfId="0" applyFont="1" applyFill="1" applyBorder="1" applyAlignment="1">
      <alignment vertical="top" wrapText="1"/>
    </xf>
    <xf numFmtId="0" fontId="7" fillId="36" borderId="78" xfId="0" applyFont="1" applyFill="1" applyBorder="1" applyAlignment="1">
      <alignment vertical="top" wrapText="1"/>
    </xf>
    <xf numFmtId="0" fontId="7" fillId="23" borderId="79" xfId="0" applyFont="1" applyFill="1" applyBorder="1" applyAlignment="1">
      <alignment vertical="top" wrapText="1"/>
    </xf>
    <xf numFmtId="0" fontId="7" fillId="0" borderId="1" xfId="0" applyFont="1" applyBorder="1" applyAlignment="1">
      <alignment vertical="top" wrapText="1"/>
    </xf>
    <xf numFmtId="0" fontId="7" fillId="9" borderId="1" xfId="0" applyFont="1" applyFill="1" applyBorder="1" applyAlignment="1">
      <alignment vertical="top" wrapText="1"/>
    </xf>
    <xf numFmtId="0" fontId="70" fillId="6" borderId="64" xfId="0" applyFont="1" applyFill="1" applyBorder="1" applyAlignment="1">
      <alignment vertical="center" wrapText="1"/>
    </xf>
    <xf numFmtId="0" fontId="70" fillId="7" borderId="64" xfId="0" applyFont="1" applyFill="1" applyBorder="1" applyAlignment="1">
      <alignment vertical="center" wrapText="1"/>
    </xf>
    <xf numFmtId="0" fontId="70" fillId="11" borderId="64" xfId="0" applyFont="1" applyFill="1" applyBorder="1" applyAlignment="1">
      <alignment horizontal="left" vertical="center" wrapText="1"/>
    </xf>
    <xf numFmtId="0" fontId="70" fillId="3" borderId="65" xfId="0" applyFont="1" applyFill="1" applyBorder="1" applyAlignment="1">
      <alignment vertical="top" wrapText="1"/>
    </xf>
    <xf numFmtId="0" fontId="7" fillId="23" borderId="119" xfId="0" applyFont="1" applyFill="1" applyBorder="1" applyAlignment="1">
      <alignment vertical="top" wrapText="1"/>
    </xf>
    <xf numFmtId="9" fontId="0" fillId="9" borderId="10" xfId="11" applyFont="1" applyFill="1" applyBorder="1" applyAlignment="1">
      <alignment horizontal="left" wrapText="1"/>
    </xf>
    <xf numFmtId="0" fontId="0" fillId="0" borderId="0" xfId="0" applyFont="1" applyFill="1" applyAlignment="1">
      <alignment horizontal="right"/>
    </xf>
    <xf numFmtId="0" fontId="0" fillId="0" borderId="0" xfId="0" applyNumberFormat="1" applyFill="1"/>
    <xf numFmtId="2" fontId="57" fillId="28" borderId="74" xfId="0" applyNumberFormat="1" applyFont="1" applyFill="1" applyBorder="1" applyAlignment="1">
      <alignment horizontal="center" vertical="center" wrapText="1"/>
    </xf>
    <xf numFmtId="2" fontId="57" fillId="24" borderId="74" xfId="0" quotePrefix="1" applyNumberFormat="1" applyFont="1" applyFill="1" applyBorder="1" applyAlignment="1">
      <alignment horizontal="left" vertical="center" wrapText="1"/>
    </xf>
    <xf numFmtId="2" fontId="7" fillId="23" borderId="78" xfId="0" applyNumberFormat="1" applyFont="1" applyFill="1" applyBorder="1" applyAlignment="1">
      <alignment vertical="top" wrapText="1"/>
    </xf>
    <xf numFmtId="2" fontId="0" fillId="0" borderId="0" xfId="0" applyNumberFormat="1" applyFont="1" applyAlignment="1"/>
    <xf numFmtId="2" fontId="0" fillId="9" borderId="0" xfId="0" applyNumberFormat="1" applyFont="1" applyFill="1" applyAlignment="1"/>
    <xf numFmtId="0" fontId="57" fillId="30" borderId="64" xfId="0" quotePrefix="1" applyFont="1" applyFill="1" applyBorder="1" applyAlignment="1">
      <alignment horizontal="left" wrapText="1"/>
    </xf>
    <xf numFmtId="9" fontId="34" fillId="9" borderId="0" xfId="11" applyFont="1" applyFill="1" applyBorder="1" applyAlignment="1">
      <alignment vertical="center"/>
    </xf>
    <xf numFmtId="9" fontId="7" fillId="9" borderId="27" xfId="11" applyFont="1" applyFill="1" applyBorder="1" applyAlignment="1">
      <alignment vertical="center"/>
    </xf>
    <xf numFmtId="9" fontId="7" fillId="9" borderId="27" xfId="11" applyFont="1" applyFill="1" applyBorder="1"/>
    <xf numFmtId="0" fontId="23" fillId="0" borderId="0" xfId="13" applyAlignment="1">
      <alignment horizontal="left" vertical="center"/>
    </xf>
    <xf numFmtId="0" fontId="0" fillId="0" borderId="0" xfId="0" quotePrefix="1" applyAlignment="1">
      <alignment horizontal="left" vertical="center"/>
    </xf>
    <xf numFmtId="0" fontId="0" fillId="0" borderId="50" xfId="0" applyFont="1" applyBorder="1" applyAlignment="1">
      <alignment vertical="center"/>
    </xf>
    <xf numFmtId="0" fontId="0" fillId="0" borderId="52" xfId="0" applyFont="1" applyBorder="1" applyAlignment="1">
      <alignment vertical="center"/>
    </xf>
    <xf numFmtId="0" fontId="5" fillId="0" borderId="0" xfId="0" applyFont="1" applyFill="1" applyBorder="1"/>
    <xf numFmtId="0" fontId="57" fillId="6" borderId="86" xfId="0" applyFont="1" applyFill="1" applyBorder="1" applyAlignment="1">
      <alignment horizontal="left" wrapText="1"/>
    </xf>
    <xf numFmtId="0" fontId="5" fillId="3" borderId="0" xfId="0" applyFont="1" applyFill="1" applyBorder="1"/>
    <xf numFmtId="0" fontId="34" fillId="9" borderId="0" xfId="0" applyFont="1" applyFill="1" applyBorder="1" applyAlignment="1">
      <alignment vertical="center"/>
    </xf>
    <xf numFmtId="0" fontId="70" fillId="7" borderId="0" xfId="0" quotePrefix="1" applyFont="1" applyFill="1" applyAlignment="1">
      <alignment horizontal="left"/>
    </xf>
    <xf numFmtId="0" fontId="53" fillId="0" borderId="0" xfId="18" applyBorder="1" applyAlignment="1">
      <alignment horizontal="left" vertical="center"/>
    </xf>
    <xf numFmtId="0" fontId="0" fillId="0" borderId="0" xfId="0" applyBorder="1" applyAlignment="1">
      <alignment horizontal="left" vertical="center"/>
    </xf>
    <xf numFmtId="0" fontId="40" fillId="9" borderId="125" xfId="0" applyFont="1" applyFill="1" applyBorder="1" applyAlignment="1">
      <alignment horizontal="center" vertical="center"/>
    </xf>
    <xf numFmtId="0" fontId="40" fillId="9" borderId="126" xfId="0" applyFont="1" applyFill="1" applyBorder="1" applyAlignment="1">
      <alignment horizontal="center" vertical="center"/>
    </xf>
    <xf numFmtId="166" fontId="75" fillId="7" borderId="0" xfId="0" quotePrefix="1" applyNumberFormat="1" applyFont="1" applyFill="1" applyAlignment="1">
      <alignment horizontal="center" vertical="center" textRotation="90"/>
    </xf>
    <xf numFmtId="0" fontId="76" fillId="0" borderId="9" xfId="0" applyFont="1" applyBorder="1" applyAlignment="1">
      <alignment horizontal="center"/>
    </xf>
    <xf numFmtId="0" fontId="46" fillId="7" borderId="13" xfId="13" applyFont="1" applyFill="1" applyBorder="1" applyAlignment="1">
      <alignment horizontal="right" vertical="center"/>
    </xf>
    <xf numFmtId="0" fontId="2" fillId="18" borderId="0" xfId="0" applyFont="1" applyFill="1" applyBorder="1"/>
    <xf numFmtId="9" fontId="0" fillId="0" borderId="0" xfId="11" applyFont="1" applyProtection="1">
      <protection locked="0"/>
    </xf>
    <xf numFmtId="2" fontId="0" fillId="0" borderId="0" xfId="0" applyNumberFormat="1" applyProtection="1">
      <protection locked="0"/>
    </xf>
    <xf numFmtId="2" fontId="0" fillId="0" borderId="0" xfId="11" applyNumberFormat="1" applyFont="1" applyProtection="1">
      <protection locked="0"/>
    </xf>
    <xf numFmtId="9" fontId="5" fillId="0" borderId="0" xfId="0" applyNumberFormat="1" applyFont="1" applyFill="1" applyAlignment="1" applyProtection="1">
      <protection locked="0"/>
    </xf>
    <xf numFmtId="0" fontId="0" fillId="0" borderId="0" xfId="0" applyFont="1" applyFill="1" applyAlignment="1" applyProtection="1">
      <protection locked="0"/>
    </xf>
    <xf numFmtId="0" fontId="0" fillId="0" borderId="0" xfId="0" applyFill="1" applyAlignment="1" applyProtection="1">
      <protection locked="0"/>
    </xf>
    <xf numFmtId="1" fontId="5" fillId="0" borderId="0" xfId="0" applyNumberFormat="1" applyFont="1" applyFill="1" applyAlignment="1" applyProtection="1">
      <protection locked="0"/>
    </xf>
    <xf numFmtId="0" fontId="25" fillId="0" borderId="0" xfId="0" applyFont="1" applyFill="1" applyAlignment="1" applyProtection="1">
      <protection locked="0"/>
    </xf>
    <xf numFmtId="1" fontId="0" fillId="3" borderId="17" xfId="0" applyNumberFormat="1" applyFont="1" applyFill="1" applyBorder="1" applyAlignment="1" applyProtection="1">
      <protection locked="0"/>
    </xf>
    <xf numFmtId="1" fontId="0" fillId="3" borderId="18" xfId="0" applyNumberFormat="1" applyFont="1" applyFill="1" applyBorder="1" applyAlignment="1" applyProtection="1">
      <protection locked="0"/>
    </xf>
    <xf numFmtId="1" fontId="0" fillId="3" borderId="0" xfId="0" applyNumberFormat="1" applyFont="1" applyFill="1" applyBorder="1" applyAlignment="1" applyProtection="1">
      <protection locked="0"/>
    </xf>
    <xf numFmtId="0" fontId="0" fillId="0" borderId="0" xfId="0" applyFont="1" applyAlignment="1" applyProtection="1">
      <protection locked="0"/>
    </xf>
    <xf numFmtId="9" fontId="0" fillId="0" borderId="0" xfId="11" applyFont="1" applyAlignment="1" applyProtection="1">
      <protection locked="0"/>
    </xf>
    <xf numFmtId="14" fontId="0" fillId="0" borderId="0" xfId="0" applyNumberFormat="1" applyFont="1" applyFill="1" applyAlignment="1" applyProtection="1">
      <protection locked="0"/>
    </xf>
    <xf numFmtId="0" fontId="5" fillId="0" borderId="0" xfId="0" applyFont="1" applyFill="1" applyAlignment="1" applyProtection="1">
      <protection locked="0"/>
    </xf>
    <xf numFmtId="1" fontId="0" fillId="0" borderId="0" xfId="0" applyNumberFormat="1" applyFont="1" applyFill="1" applyAlignment="1" applyProtection="1">
      <protection locked="0"/>
    </xf>
    <xf numFmtId="164" fontId="0" fillId="0" borderId="0" xfId="0" applyNumberFormat="1" applyFill="1" applyAlignment="1" applyProtection="1">
      <protection locked="0"/>
    </xf>
    <xf numFmtId="0" fontId="0" fillId="0" borderId="0" xfId="0" applyProtection="1">
      <protection locked="0"/>
    </xf>
    <xf numFmtId="9" fontId="5" fillId="0" borderId="0" xfId="0" applyNumberFormat="1" applyFont="1" applyFill="1" applyBorder="1" applyAlignment="1" applyProtection="1">
      <protection locked="0"/>
    </xf>
    <xf numFmtId="0" fontId="0" fillId="0" borderId="0" xfId="0" applyFill="1" applyBorder="1" applyAlignment="1" applyProtection="1">
      <protection locked="0"/>
    </xf>
    <xf numFmtId="0" fontId="5" fillId="0" borderId="0" xfId="0" applyFont="1" applyFill="1" applyBorder="1" applyAlignment="1" applyProtection="1">
      <protection locked="0"/>
    </xf>
    <xf numFmtId="0" fontId="0" fillId="0" borderId="0" xfId="0" applyFont="1" applyFill="1" applyBorder="1" applyAlignment="1" applyProtection="1">
      <protection locked="0"/>
    </xf>
    <xf numFmtId="2" fontId="0" fillId="0" borderId="0" xfId="0" applyNumberFormat="1" applyFont="1" applyFill="1" applyAlignment="1" applyProtection="1">
      <protection locked="0"/>
    </xf>
    <xf numFmtId="14" fontId="0" fillId="0" borderId="0" xfId="0" applyNumberFormat="1" applyFont="1" applyFill="1" applyBorder="1" applyAlignment="1" applyProtection="1">
      <protection locked="0"/>
    </xf>
    <xf numFmtId="0" fontId="25" fillId="0" borderId="0" xfId="0" applyFont="1" applyFill="1" applyBorder="1" applyAlignment="1" applyProtection="1">
      <protection locked="0"/>
    </xf>
    <xf numFmtId="9" fontId="0" fillId="0" borderId="0" xfId="11" applyFont="1" applyFill="1" applyAlignment="1" applyProtection="1">
      <protection locked="0"/>
    </xf>
    <xf numFmtId="0" fontId="0" fillId="0" borderId="0" xfId="11" applyNumberFormat="1" applyFont="1" applyAlignment="1" applyProtection="1">
      <protection locked="0"/>
    </xf>
    <xf numFmtId="1" fontId="0" fillId="0" borderId="0" xfId="0" applyNumberFormat="1" applyFill="1" applyAlignment="1" applyProtection="1">
      <protection locked="0"/>
    </xf>
    <xf numFmtId="0" fontId="0" fillId="0" borderId="0" xfId="0" applyFill="1" applyProtection="1">
      <protection locked="0"/>
    </xf>
    <xf numFmtId="1" fontId="5" fillId="0" borderId="0" xfId="0" applyNumberFormat="1" applyFont="1" applyFill="1" applyBorder="1" applyAlignment="1" applyProtection="1">
      <protection locked="0"/>
    </xf>
    <xf numFmtId="9" fontId="5" fillId="0" borderId="0" xfId="0" applyNumberFormat="1" applyFont="1" applyFill="1" applyBorder="1" applyAlignment="1" applyProtection="1">
      <alignment vertical="center"/>
      <protection locked="0"/>
    </xf>
    <xf numFmtId="0" fontId="0" fillId="0" borderId="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25" fillId="0" borderId="0" xfId="0" applyFont="1" applyFill="1" applyBorder="1" applyAlignment="1" applyProtection="1">
      <alignment vertical="top"/>
      <protection locked="0"/>
    </xf>
    <xf numFmtId="0" fontId="0" fillId="0" borderId="0" xfId="0" applyFill="1" applyBorder="1" applyAlignment="1" applyProtection="1">
      <alignment vertical="top"/>
      <protection locked="0"/>
    </xf>
    <xf numFmtId="9" fontId="0" fillId="0" borderId="0" xfId="11" applyFont="1" applyFill="1" applyBorder="1" applyAlignment="1" applyProtection="1">
      <alignment vertical="top"/>
      <protection locked="0"/>
    </xf>
    <xf numFmtId="14" fontId="0" fillId="0" borderId="0" xfId="0" applyNumberFormat="1" applyFont="1" applyFill="1" applyBorder="1" applyAlignment="1" applyProtection="1">
      <alignment vertical="top"/>
      <protection locked="0"/>
    </xf>
    <xf numFmtId="0" fontId="0" fillId="3" borderId="0" xfId="0" applyFont="1" applyFill="1" applyBorder="1" applyAlignment="1" applyProtection="1">
      <alignment vertical="top"/>
      <protection locked="0"/>
    </xf>
    <xf numFmtId="0" fontId="0" fillId="3" borderId="0" xfId="0" applyFont="1" applyFill="1" applyBorder="1" applyAlignment="1" applyProtection="1">
      <protection locked="0"/>
    </xf>
    <xf numFmtId="0" fontId="5" fillId="0" borderId="0" xfId="0" applyNumberFormat="1" applyFont="1" applyFill="1" applyBorder="1" applyAlignment="1" applyProtection="1">
      <protection locked="0"/>
    </xf>
    <xf numFmtId="9" fontId="0" fillId="3" borderId="0" xfId="11" applyFont="1" applyFill="1" applyProtection="1">
      <protection locked="0"/>
    </xf>
    <xf numFmtId="2" fontId="0" fillId="3" borderId="0" xfId="0" applyNumberFormat="1" applyFill="1" applyProtection="1">
      <protection locked="0"/>
    </xf>
    <xf numFmtId="2" fontId="0" fillId="3" borderId="0" xfId="11" applyNumberFormat="1" applyFont="1" applyFill="1" applyProtection="1">
      <protection locked="0"/>
    </xf>
    <xf numFmtId="0" fontId="5" fillId="3" borderId="0" xfId="0" applyFont="1" applyFill="1" applyAlignment="1" applyProtection="1">
      <protection locked="0"/>
    </xf>
    <xf numFmtId="1" fontId="5" fillId="3" borderId="0" xfId="0" applyNumberFormat="1" applyFont="1" applyFill="1" applyAlignment="1" applyProtection="1">
      <protection locked="0"/>
    </xf>
    <xf numFmtId="0" fontId="5" fillId="0" borderId="0" xfId="0" applyNumberFormat="1" applyFont="1" applyFill="1" applyAlignment="1" applyProtection="1">
      <protection locked="0"/>
    </xf>
    <xf numFmtId="1" fontId="0" fillId="3" borderId="19" xfId="0" applyNumberFormat="1" applyFont="1" applyFill="1" applyBorder="1" applyAlignment="1" applyProtection="1">
      <protection locked="0"/>
    </xf>
    <xf numFmtId="1" fontId="0" fillId="3" borderId="9" xfId="0" applyNumberFormat="1" applyFont="1" applyFill="1" applyBorder="1" applyAlignment="1" applyProtection="1">
      <protection locked="0"/>
    </xf>
    <xf numFmtId="0" fontId="0" fillId="0" borderId="0" xfId="0" applyAlignment="1" applyProtection="1">
      <protection locked="0"/>
    </xf>
    <xf numFmtId="0" fontId="0" fillId="3" borderId="0" xfId="0" applyFill="1" applyProtection="1">
      <protection locked="0"/>
    </xf>
    <xf numFmtId="0" fontId="8" fillId="0" borderId="0" xfId="0" applyFont="1" applyFill="1" applyBorder="1" applyAlignment="1" applyProtection="1">
      <alignment vertical="center"/>
      <protection locked="0"/>
    </xf>
    <xf numFmtId="0" fontId="7" fillId="3" borderId="0" xfId="0" applyFont="1" applyFill="1"/>
    <xf numFmtId="0" fontId="7" fillId="3" borderId="0" xfId="0" applyFont="1" applyFill="1" applyAlignment="1"/>
    <xf numFmtId="0" fontId="77" fillId="3" borderId="0" xfId="0" applyFont="1" applyFill="1"/>
    <xf numFmtId="0" fontId="7" fillId="0" borderId="0" xfId="0" applyFont="1" applyFill="1" applyAlignment="1">
      <alignment wrapText="1"/>
    </xf>
    <xf numFmtId="0" fontId="77" fillId="26" borderId="78" xfId="0" applyFont="1" applyFill="1" applyBorder="1" applyAlignment="1">
      <alignment vertical="top" wrapText="1"/>
    </xf>
    <xf numFmtId="0" fontId="57" fillId="6" borderId="73" xfId="0" applyFont="1" applyFill="1" applyBorder="1" applyAlignment="1">
      <alignment vertical="center" wrapText="1"/>
    </xf>
    <xf numFmtId="0" fontId="57" fillId="6" borderId="86" xfId="0" applyFont="1" applyFill="1" applyBorder="1" applyAlignment="1">
      <alignment vertical="center" wrapText="1"/>
    </xf>
    <xf numFmtId="1" fontId="0" fillId="0" borderId="18" xfId="0" applyNumberFormat="1" applyFont="1" applyFill="1" applyBorder="1" applyAlignment="1" applyProtection="1">
      <protection locked="0"/>
    </xf>
    <xf numFmtId="0" fontId="77" fillId="26" borderId="118" xfId="0" applyFont="1" applyFill="1" applyBorder="1" applyAlignment="1">
      <alignment vertical="top" wrapText="1"/>
    </xf>
    <xf numFmtId="0" fontId="7" fillId="30" borderId="5" xfId="0" applyFont="1" applyFill="1" applyBorder="1" applyAlignment="1">
      <alignment wrapText="1"/>
    </xf>
    <xf numFmtId="0" fontId="57" fillId="20" borderId="74" xfId="0" quotePrefix="1" applyFont="1" applyFill="1" applyBorder="1" applyAlignment="1">
      <alignment horizontal="left" vertical="center" wrapText="1"/>
    </xf>
    <xf numFmtId="0" fontId="0" fillId="0" borderId="0" xfId="0" applyFill="1" applyAlignment="1" applyProtection="1">
      <protection locked="0"/>
    </xf>
    <xf numFmtId="0" fontId="0" fillId="3" borderId="0" xfId="0" applyFont="1" applyFill="1" applyBorder="1" applyAlignment="1" applyProtection="1">
      <alignment vertical="top"/>
      <protection locked="0"/>
    </xf>
    <xf numFmtId="0" fontId="0" fillId="3" borderId="0" xfId="0" applyFont="1" applyFill="1" applyBorder="1" applyAlignment="1" applyProtection="1">
      <protection locked="0"/>
    </xf>
    <xf numFmtId="0" fontId="57" fillId="30" borderId="64" xfId="0" applyFont="1" applyFill="1" applyBorder="1" applyAlignment="1">
      <alignment horizontal="left" wrapText="1"/>
    </xf>
    <xf numFmtId="0" fontId="57" fillId="30" borderId="64" xfId="0" quotePrefix="1" applyFont="1" applyFill="1" applyBorder="1" applyAlignment="1">
      <alignment horizontal="left" wrapText="1"/>
    </xf>
    <xf numFmtId="0" fontId="0" fillId="3" borderId="0" xfId="0" applyFont="1" applyFill="1" applyBorder="1" applyAlignment="1" applyProtection="1">
      <alignment vertical="top"/>
      <protection locked="0"/>
    </xf>
    <xf numFmtId="0" fontId="0" fillId="3" borderId="0" xfId="0" applyFont="1" applyFill="1" applyBorder="1" applyAlignment="1" applyProtection="1">
      <protection locked="0"/>
    </xf>
    <xf numFmtId="0" fontId="57" fillId="30" borderId="64" xfId="0" applyFont="1" applyFill="1" applyBorder="1" applyAlignment="1">
      <alignment horizontal="left" wrapText="1"/>
    </xf>
    <xf numFmtId="0" fontId="0" fillId="0" borderId="0" xfId="0" applyFont="1" applyFill="1" applyAlignment="1" applyProtection="1">
      <protection locked="0"/>
    </xf>
    <xf numFmtId="0" fontId="0" fillId="0" borderId="0" xfId="0" applyFill="1" applyAlignment="1" applyProtection="1">
      <protection locked="0"/>
    </xf>
    <xf numFmtId="0" fontId="25" fillId="0" borderId="0" xfId="0" applyFont="1" applyFill="1" applyAlignment="1" applyProtection="1">
      <protection locked="0"/>
    </xf>
    <xf numFmtId="0" fontId="5" fillId="0" borderId="0" xfId="0" applyFont="1" applyFill="1" applyAlignment="1" applyProtection="1">
      <protection locked="0"/>
    </xf>
    <xf numFmtId="0" fontId="0" fillId="0" borderId="0" xfId="0" applyFill="1" applyBorder="1" applyAlignment="1" applyProtection="1">
      <protection locked="0"/>
    </xf>
    <xf numFmtId="0" fontId="5" fillId="0" borderId="0" xfId="0" applyFont="1" applyFill="1" applyBorder="1" applyAlignment="1" applyProtection="1">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25" fillId="0" borderId="0" xfId="0" applyFont="1" applyFill="1" applyBorder="1" applyAlignment="1" applyProtection="1">
      <alignment vertical="top"/>
      <protection locked="0"/>
    </xf>
    <xf numFmtId="0" fontId="5" fillId="3" borderId="0" xfId="0" applyFont="1" applyFill="1" applyAlignment="1" applyProtection="1">
      <protection locked="0"/>
    </xf>
    <xf numFmtId="0" fontId="77" fillId="26" borderId="78" xfId="0" applyFont="1" applyFill="1" applyBorder="1" applyAlignment="1">
      <alignment vertical="top" wrapText="1"/>
    </xf>
    <xf numFmtId="0" fontId="77" fillId="26" borderId="79" xfId="0" applyFont="1" applyFill="1" applyBorder="1" applyAlignment="1">
      <alignment vertical="top" wrapText="1"/>
    </xf>
    <xf numFmtId="0" fontId="0" fillId="0" borderId="0" xfId="0" applyFont="1" applyFill="1" applyAlignment="1" applyProtection="1">
      <protection locked="0"/>
    </xf>
    <xf numFmtId="0" fontId="0" fillId="0" borderId="0" xfId="0" applyFill="1" applyAlignment="1" applyProtection="1">
      <protection locked="0"/>
    </xf>
    <xf numFmtId="0" fontId="0" fillId="0" borderId="0" xfId="0" applyFill="1" applyBorder="1" applyAlignment="1" applyProtection="1">
      <protection locked="0"/>
    </xf>
    <xf numFmtId="1" fontId="45" fillId="9" borderId="38" xfId="11" applyNumberFormat="1" applyFont="1" applyFill="1" applyBorder="1" applyAlignment="1">
      <alignment horizontal="left" vertical="center"/>
    </xf>
    <xf numFmtId="0" fontId="59" fillId="6" borderId="67" xfId="0" applyFont="1" applyFill="1" applyBorder="1" applyAlignment="1">
      <alignment horizontal="center" vertical="center" wrapText="1"/>
    </xf>
    <xf numFmtId="0" fontId="58" fillId="6" borderId="67" xfId="0" applyFont="1" applyFill="1" applyBorder="1" applyAlignment="1">
      <alignment horizontal="center" vertical="center" wrapText="1"/>
    </xf>
    <xf numFmtId="0" fontId="55" fillId="7" borderId="73" xfId="0" applyFont="1" applyFill="1" applyBorder="1" applyAlignment="1">
      <alignment horizontal="center" vertical="center" wrapText="1"/>
    </xf>
    <xf numFmtId="0" fontId="55" fillId="11" borderId="73" xfId="0" applyFont="1" applyFill="1" applyBorder="1" applyAlignment="1">
      <alignment horizontal="left" vertical="center" wrapText="1"/>
    </xf>
    <xf numFmtId="0" fontId="23" fillId="0" borderId="0" xfId="13" applyAlignment="1"/>
    <xf numFmtId="0" fontId="77" fillId="26" borderId="120" xfId="0" applyFont="1" applyFill="1" applyBorder="1" applyAlignment="1">
      <alignment vertical="top" wrapText="1"/>
    </xf>
    <xf numFmtId="0" fontId="77" fillId="26" borderId="1" xfId="0" applyFont="1" applyFill="1" applyBorder="1" applyAlignment="1">
      <alignment vertical="top" wrapText="1"/>
    </xf>
    <xf numFmtId="0" fontId="0" fillId="0" borderId="0" xfId="0"/>
    <xf numFmtId="0" fontId="0" fillId="0" borderId="0" xfId="0" applyAlignment="1">
      <alignment vertical="center"/>
    </xf>
    <xf numFmtId="0" fontId="0" fillId="9" borderId="0" xfId="0" applyFont="1" applyFill="1" applyBorder="1" applyAlignment="1"/>
    <xf numFmtId="0" fontId="0" fillId="0" borderId="0" xfId="0" applyFont="1" applyFill="1" applyAlignment="1" applyProtection="1">
      <protection locked="0"/>
    </xf>
    <xf numFmtId="1" fontId="0" fillId="0" borderId="0" xfId="0" applyNumberFormat="1" applyFont="1" applyFill="1" applyAlignment="1" applyProtection="1">
      <protection locked="0"/>
    </xf>
    <xf numFmtId="0" fontId="0" fillId="0" borderId="0" xfId="0" applyFont="1" applyFill="1" applyBorder="1" applyAlignment="1" applyProtection="1">
      <protection locked="0"/>
    </xf>
    <xf numFmtId="1" fontId="5" fillId="0" borderId="0" xfId="0" applyNumberFormat="1" applyFont="1" applyFill="1" applyBorder="1" applyAlignment="1" applyProtection="1">
      <protection locked="0"/>
    </xf>
    <xf numFmtId="0" fontId="0" fillId="0" borderId="0" xfId="0" applyFont="1" applyFill="1" applyBorder="1" applyAlignment="1" applyProtection="1">
      <alignment vertical="top"/>
      <protection locked="0"/>
    </xf>
    <xf numFmtId="0" fontId="0" fillId="3" borderId="0" xfId="0" applyFont="1" applyFill="1" applyBorder="1" applyAlignment="1" applyProtection="1">
      <alignment vertical="top"/>
      <protection locked="0"/>
    </xf>
    <xf numFmtId="1" fontId="0" fillId="0" borderId="0" xfId="0" applyNumberFormat="1" applyFont="1" applyFill="1" applyBorder="1" applyAlignment="1" applyProtection="1">
      <protection locked="0"/>
    </xf>
    <xf numFmtId="0" fontId="0" fillId="7" borderId="0" xfId="0" applyFill="1" applyAlignment="1" applyProtection="1">
      <protection locked="0"/>
    </xf>
    <xf numFmtId="0" fontId="0" fillId="0" borderId="0" xfId="0" applyFill="1" applyAlignment="1">
      <alignment vertical="center"/>
    </xf>
    <xf numFmtId="0" fontId="0" fillId="0" borderId="0" xfId="0" applyFill="1" applyAlignment="1"/>
    <xf numFmtId="0" fontId="58" fillId="33" borderId="67" xfId="0" applyFont="1" applyFill="1" applyBorder="1" applyAlignment="1">
      <alignment horizontal="center" vertical="center"/>
    </xf>
    <xf numFmtId="164" fontId="0" fillId="14" borderId="0" xfId="0" applyNumberFormat="1" applyFont="1" applyFill="1" applyBorder="1" applyAlignment="1" applyProtection="1">
      <protection locked="0"/>
    </xf>
    <xf numFmtId="2" fontId="0" fillId="0" borderId="0" xfId="0" applyNumberFormat="1" applyFont="1" applyFill="1" applyBorder="1" applyAlignment="1" applyProtection="1">
      <protection locked="0"/>
    </xf>
    <xf numFmtId="164" fontId="0" fillId="14" borderId="0" xfId="0" applyNumberFormat="1" applyFill="1" applyBorder="1"/>
    <xf numFmtId="1" fontId="7" fillId="6" borderId="79" xfId="0" applyNumberFormat="1" applyFont="1" applyFill="1" applyBorder="1" applyAlignment="1">
      <alignment vertical="top" wrapText="1"/>
    </xf>
    <xf numFmtId="1" fontId="7" fillId="6" borderId="123" xfId="0" applyNumberFormat="1" applyFont="1" applyFill="1" applyBorder="1" applyAlignment="1">
      <alignment vertical="top" wrapText="1"/>
    </xf>
    <xf numFmtId="1" fontId="7" fillId="6" borderId="1" xfId="0" applyNumberFormat="1" applyFont="1" applyFill="1" applyBorder="1" applyAlignment="1">
      <alignment vertical="top" wrapText="1"/>
    </xf>
    <xf numFmtId="0" fontId="57" fillId="30" borderId="73" xfId="0" applyFont="1" applyFill="1" applyBorder="1" applyAlignment="1">
      <alignment wrapText="1"/>
    </xf>
    <xf numFmtId="2" fontId="0" fillId="0" borderId="18" xfId="0" applyNumberFormat="1" applyFont="1" applyFill="1" applyBorder="1" applyAlignment="1" applyProtection="1">
      <protection locked="0"/>
    </xf>
    <xf numFmtId="2" fontId="0" fillId="2" borderId="0" xfId="0" applyNumberFormat="1" applyFont="1" applyFill="1" applyBorder="1" applyAlignment="1" applyProtection="1">
      <protection locked="0"/>
    </xf>
    <xf numFmtId="1" fontId="0" fillId="2" borderId="18" xfId="0" applyNumberFormat="1" applyFont="1" applyFill="1" applyBorder="1" applyAlignment="1" applyProtection="1">
      <protection locked="0"/>
    </xf>
    <xf numFmtId="164" fontId="0" fillId="2" borderId="0" xfId="0" applyNumberFormat="1" applyFont="1" applyFill="1" applyBorder="1" applyAlignment="1" applyProtection="1">
      <protection locked="0"/>
    </xf>
    <xf numFmtId="164" fontId="0" fillId="2" borderId="18" xfId="0" applyNumberFormat="1" applyFont="1" applyFill="1" applyBorder="1" applyAlignment="1" applyProtection="1">
      <protection locked="0"/>
    </xf>
    <xf numFmtId="165" fontId="0" fillId="0" borderId="0" xfId="14" applyNumberFormat="1" applyFont="1" applyFill="1" applyBorder="1" applyAlignment="1" applyProtection="1">
      <protection locked="0"/>
    </xf>
    <xf numFmtId="165" fontId="0" fillId="0" borderId="18" xfId="14" applyNumberFormat="1" applyFont="1" applyFill="1" applyBorder="1" applyAlignment="1" applyProtection="1">
      <protection locked="0"/>
    </xf>
    <xf numFmtId="165" fontId="0" fillId="3" borderId="17" xfId="14" applyNumberFormat="1" applyFont="1" applyFill="1" applyBorder="1" applyAlignment="1" applyProtection="1">
      <protection locked="0"/>
    </xf>
    <xf numFmtId="165" fontId="0" fillId="3" borderId="0" xfId="14" applyNumberFormat="1" applyFont="1" applyFill="1" applyBorder="1" applyAlignment="1" applyProtection="1">
      <protection locked="0"/>
    </xf>
    <xf numFmtId="0" fontId="7" fillId="9" borderId="3" xfId="0" applyFont="1" applyFill="1" applyBorder="1" applyAlignment="1">
      <alignment vertical="center"/>
    </xf>
    <xf numFmtId="0" fontId="7" fillId="9" borderId="0" xfId="0" applyFont="1" applyFill="1" applyAlignment="1">
      <alignment vertical="center"/>
    </xf>
    <xf numFmtId="9" fontId="0" fillId="0" borderId="0" xfId="11" applyFont="1" applyFill="1" applyAlignment="1"/>
    <xf numFmtId="1" fontId="7" fillId="6" borderId="0" xfId="0" applyNumberFormat="1" applyFont="1" applyFill="1" applyBorder="1" applyAlignment="1">
      <alignment vertical="top" wrapText="1"/>
    </xf>
    <xf numFmtId="0" fontId="8" fillId="7" borderId="0" xfId="0" applyFont="1" applyFill="1"/>
    <xf numFmtId="0" fontId="7" fillId="3" borderId="0" xfId="0" applyFont="1" applyFill="1" applyAlignment="1">
      <alignment wrapText="1"/>
    </xf>
    <xf numFmtId="0" fontId="5" fillId="13" borderId="0" xfId="0" applyFont="1" applyFill="1" applyBorder="1" applyAlignment="1">
      <alignment horizontal="left" vertical="center"/>
    </xf>
    <xf numFmtId="0" fontId="25" fillId="10" borderId="9" xfId="0" applyFont="1" applyFill="1" applyBorder="1"/>
    <xf numFmtId="0" fontId="14" fillId="10" borderId="9" xfId="0" applyFont="1" applyFill="1" applyBorder="1" applyAlignment="1">
      <alignment vertical="center"/>
    </xf>
    <xf numFmtId="0" fontId="0" fillId="10" borderId="9" xfId="0" applyFill="1" applyBorder="1"/>
    <xf numFmtId="0" fontId="48" fillId="10" borderId="9" xfId="13" applyFont="1" applyFill="1" applyBorder="1" applyAlignment="1"/>
    <xf numFmtId="0" fontId="17" fillId="10" borderId="0" xfId="0" applyFont="1" applyFill="1" applyAlignment="1">
      <alignment vertical="center"/>
    </xf>
    <xf numFmtId="168" fontId="7" fillId="9" borderId="0" xfId="11" applyNumberFormat="1" applyFont="1" applyFill="1" applyBorder="1" applyAlignment="1">
      <alignment vertical="center"/>
    </xf>
    <xf numFmtId="0" fontId="0" fillId="0" borderId="0" xfId="0" applyFill="1" applyBorder="1"/>
    <xf numFmtId="0" fontId="0" fillId="14" borderId="23" xfId="0" applyFill="1" applyBorder="1"/>
    <xf numFmtId="0" fontId="0" fillId="9" borderId="33" xfId="0" applyFill="1" applyBorder="1" applyAlignment="1">
      <alignment vertical="center"/>
    </xf>
    <xf numFmtId="1" fontId="7" fillId="9" borderId="33" xfId="11" applyNumberFormat="1" applyFont="1" applyFill="1" applyBorder="1" applyAlignment="1">
      <alignment vertical="center"/>
    </xf>
    <xf numFmtId="0" fontId="7" fillId="7" borderId="0" xfId="11" quotePrefix="1" applyNumberFormat="1" applyFont="1" applyFill="1"/>
    <xf numFmtId="9" fontId="7" fillId="7" borderId="0" xfId="11" quotePrefix="1" applyFont="1" applyFill="1"/>
    <xf numFmtId="0" fontId="7" fillId="7" borderId="0" xfId="0" applyNumberFormat="1" applyFont="1" applyFill="1"/>
    <xf numFmtId="0" fontId="0" fillId="10" borderId="0" xfId="0" applyFill="1"/>
    <xf numFmtId="0" fontId="8" fillId="7" borderId="0" xfId="0" applyFont="1" applyFill="1" applyBorder="1" applyAlignment="1">
      <alignment horizontal="left"/>
    </xf>
    <xf numFmtId="0" fontId="0" fillId="7" borderId="38" xfId="0" applyFill="1" applyBorder="1"/>
    <xf numFmtId="0" fontId="8" fillId="7" borderId="23" xfId="0" applyFont="1" applyFill="1" applyBorder="1" applyAlignment="1">
      <alignment horizontal="left"/>
    </xf>
    <xf numFmtId="0" fontId="0" fillId="9" borderId="0" xfId="0" applyFill="1" applyAlignment="1"/>
    <xf numFmtId="0" fontId="2" fillId="0" borderId="0" xfId="0" applyFont="1" applyFill="1" applyAlignment="1"/>
    <xf numFmtId="0" fontId="7" fillId="9" borderId="33" xfId="0" applyFont="1" applyFill="1" applyBorder="1" applyAlignment="1">
      <alignment vertical="center"/>
    </xf>
    <xf numFmtId="9" fontId="0" fillId="0" borderId="0" xfId="0" applyNumberFormat="1" applyFont="1" applyFill="1" applyAlignment="1" applyProtection="1">
      <protection locked="0"/>
    </xf>
    <xf numFmtId="0" fontId="2" fillId="9" borderId="0" xfId="0" applyFont="1" applyFill="1" applyBorder="1" applyAlignment="1">
      <alignment vertical="center"/>
    </xf>
    <xf numFmtId="0" fontId="45" fillId="9" borderId="0" xfId="13" applyFont="1" applyFill="1" applyBorder="1" applyAlignment="1">
      <alignment horizontal="right" vertical="center"/>
    </xf>
    <xf numFmtId="0" fontId="7" fillId="9" borderId="0" xfId="0" applyFont="1" applyFill="1" applyBorder="1" applyAlignment="1">
      <alignment vertical="center"/>
    </xf>
    <xf numFmtId="0" fontId="79" fillId="13" borderId="76" xfId="0" applyFont="1" applyFill="1" applyBorder="1" applyAlignment="1">
      <alignment vertical="center" wrapText="1"/>
    </xf>
    <xf numFmtId="0" fontId="79" fillId="20" borderId="74" xfId="0" quotePrefix="1" applyFont="1" applyFill="1" applyBorder="1" applyAlignment="1">
      <alignment horizontal="left" vertical="center" wrapText="1"/>
    </xf>
    <xf numFmtId="0" fontId="8" fillId="31" borderId="78" xfId="0" applyFont="1" applyFill="1" applyBorder="1" applyAlignment="1">
      <alignment vertical="top" wrapText="1"/>
    </xf>
    <xf numFmtId="9" fontId="7" fillId="7" borderId="0" xfId="11" applyFont="1" applyFill="1"/>
    <xf numFmtId="0" fontId="7" fillId="21" borderId="2" xfId="0" applyFont="1" applyFill="1" applyBorder="1" applyAlignment="1">
      <alignment wrapText="1"/>
    </xf>
    <xf numFmtId="0" fontId="7" fillId="21" borderId="0" xfId="0" applyFont="1" applyFill="1"/>
    <xf numFmtId="0" fontId="7" fillId="0" borderId="67" xfId="0" applyFont="1" applyFill="1" applyBorder="1" applyAlignment="1">
      <alignment vertical="center"/>
    </xf>
    <xf numFmtId="0" fontId="7" fillId="0" borderId="73" xfId="0" applyFont="1" applyFill="1" applyBorder="1" applyAlignment="1">
      <alignment vertical="center"/>
    </xf>
    <xf numFmtId="0" fontId="0" fillId="0" borderId="15" xfId="0" applyBorder="1"/>
    <xf numFmtId="0" fontId="7" fillId="9" borderId="15" xfId="0" applyFont="1" applyFill="1" applyBorder="1" applyAlignment="1">
      <alignment vertical="center"/>
    </xf>
    <xf numFmtId="0" fontId="7" fillId="0" borderId="15" xfId="0" applyFont="1" applyFill="1" applyBorder="1" applyAlignment="1">
      <alignment vertical="center"/>
    </xf>
    <xf numFmtId="166" fontId="69" fillId="7" borderId="0" xfId="0" quotePrefix="1" applyNumberFormat="1" applyFont="1" applyFill="1" applyAlignment="1">
      <alignment horizontal="center" vertical="center" textRotation="90"/>
    </xf>
    <xf numFmtId="165" fontId="0" fillId="3" borderId="19" xfId="14" applyNumberFormat="1" applyFont="1" applyFill="1" applyBorder="1" applyAlignment="1" applyProtection="1">
      <protection locked="0"/>
    </xf>
    <xf numFmtId="165" fontId="0" fillId="3" borderId="9" xfId="14" applyNumberFormat="1" applyFont="1" applyFill="1" applyBorder="1" applyAlignment="1" applyProtection="1">
      <protection locked="0"/>
    </xf>
    <xf numFmtId="2" fontId="5" fillId="0" borderId="0" xfId="0" applyNumberFormat="1" applyFont="1" applyFill="1" applyAlignment="1" applyProtection="1">
      <protection locked="0"/>
    </xf>
    <xf numFmtId="0" fontId="46" fillId="7" borderId="0" xfId="13" applyFont="1" applyFill="1" applyAlignment="1">
      <alignment horizontal="right"/>
    </xf>
    <xf numFmtId="0" fontId="25" fillId="10" borderId="9" xfId="13" quotePrefix="1" applyFont="1" applyFill="1" applyBorder="1" applyAlignment="1">
      <alignment vertical="center"/>
    </xf>
    <xf numFmtId="0" fontId="77" fillId="26" borderId="135" xfId="0" applyFont="1" applyFill="1" applyBorder="1" applyAlignment="1">
      <alignment vertical="top" wrapText="1"/>
    </xf>
    <xf numFmtId="0" fontId="57" fillId="30" borderId="127" xfId="0" applyFont="1" applyFill="1" applyBorder="1" applyAlignment="1">
      <alignment horizontal="left" wrapText="1"/>
    </xf>
    <xf numFmtId="2" fontId="0" fillId="3" borderId="0" xfId="0" applyNumberFormat="1" applyFont="1" applyFill="1" applyBorder="1" applyAlignment="1" applyProtection="1">
      <protection locked="0"/>
    </xf>
    <xf numFmtId="0" fontId="7" fillId="7" borderId="84" xfId="0" applyFont="1" applyFill="1" applyBorder="1" applyAlignment="1">
      <alignment vertical="top" wrapText="1"/>
    </xf>
    <xf numFmtId="0" fontId="7" fillId="7" borderId="80" xfId="0" applyFont="1" applyFill="1" applyBorder="1" applyAlignment="1">
      <alignment vertical="top" wrapText="1"/>
    </xf>
    <xf numFmtId="1" fontId="7" fillId="7" borderId="78" xfId="0" applyNumberFormat="1" applyFont="1" applyFill="1" applyBorder="1" applyAlignment="1">
      <alignment vertical="top" wrapText="1"/>
    </xf>
    <xf numFmtId="1" fontId="7" fillId="7" borderId="79" xfId="0" applyNumberFormat="1" applyFont="1" applyFill="1" applyBorder="1" applyAlignment="1">
      <alignment vertical="top" wrapText="1"/>
    </xf>
    <xf numFmtId="1" fontId="7" fillId="7" borderId="1" xfId="0" applyNumberFormat="1" applyFont="1" applyFill="1" applyBorder="1" applyAlignment="1">
      <alignment vertical="top" wrapText="1"/>
    </xf>
    <xf numFmtId="1" fontId="7" fillId="7" borderId="123" xfId="0" applyNumberFormat="1" applyFont="1" applyFill="1" applyBorder="1" applyAlignment="1">
      <alignment vertical="top" wrapText="1"/>
    </xf>
    <xf numFmtId="0" fontId="7" fillId="7" borderId="120" xfId="0" applyFont="1" applyFill="1" applyBorder="1" applyAlignment="1">
      <alignment vertical="top" wrapText="1"/>
    </xf>
    <xf numFmtId="1" fontId="7" fillId="7" borderId="87" xfId="0" applyNumberFormat="1" applyFont="1" applyFill="1" applyBorder="1" applyAlignment="1">
      <alignment vertical="top" wrapText="1"/>
    </xf>
    <xf numFmtId="0" fontId="57" fillId="37" borderId="136" xfId="0" applyFont="1" applyFill="1" applyBorder="1" applyAlignment="1">
      <alignment horizontal="left" wrapText="1"/>
    </xf>
    <xf numFmtId="0" fontId="57" fillId="37" borderId="73" xfId="0" applyFont="1" applyFill="1" applyBorder="1" applyAlignment="1">
      <alignment wrapText="1"/>
    </xf>
    <xf numFmtId="0" fontId="57" fillId="37" borderId="127" xfId="0" applyFont="1" applyFill="1" applyBorder="1" applyAlignment="1">
      <alignment wrapText="1"/>
    </xf>
    <xf numFmtId="0" fontId="77" fillId="40" borderId="120" xfId="0" applyFont="1" applyFill="1" applyBorder="1" applyAlignment="1">
      <alignment vertical="top" wrapText="1"/>
    </xf>
    <xf numFmtId="0" fontId="77" fillId="40" borderId="135" xfId="0" applyFont="1" applyFill="1" applyBorder="1" applyAlignment="1">
      <alignment vertical="top" wrapText="1"/>
    </xf>
    <xf numFmtId="0" fontId="0" fillId="9" borderId="52" xfId="0" applyFont="1" applyFill="1" applyBorder="1" applyAlignment="1">
      <alignment vertical="center"/>
    </xf>
    <xf numFmtId="0" fontId="0" fillId="9" borderId="56" xfId="0" applyFill="1" applyBorder="1" applyAlignment="1"/>
    <xf numFmtId="0" fontId="0" fillId="9" borderId="53" xfId="0" applyFill="1" applyBorder="1" applyAlignment="1"/>
    <xf numFmtId="0" fontId="0" fillId="7" borderId="0" xfId="0" applyFill="1" applyAlignment="1"/>
    <xf numFmtId="0" fontId="57" fillId="6" borderId="83" xfId="0" applyFont="1" applyFill="1" applyBorder="1" applyAlignment="1">
      <alignment vertical="center" wrapText="1"/>
    </xf>
    <xf numFmtId="0" fontId="57" fillId="6" borderId="83" xfId="0" applyFont="1" applyFill="1" applyBorder="1" applyAlignment="1">
      <alignment horizontal="left" wrapText="1"/>
    </xf>
    <xf numFmtId="1" fontId="0" fillId="0" borderId="17" xfId="0" applyNumberFormat="1" applyFont="1" applyFill="1" applyBorder="1" applyAlignment="1" applyProtection="1">
      <protection locked="0"/>
    </xf>
    <xf numFmtId="2" fontId="0" fillId="3" borderId="17" xfId="0" applyNumberFormat="1" applyFill="1" applyBorder="1"/>
    <xf numFmtId="2" fontId="0" fillId="3" borderId="0" xfId="0" applyNumberFormat="1" applyFill="1" applyBorder="1"/>
    <xf numFmtId="2" fontId="0" fillId="3" borderId="18" xfId="0" applyNumberFormat="1" applyFill="1" applyBorder="1"/>
    <xf numFmtId="2" fontId="0" fillId="2" borderId="17" xfId="0" applyNumberFormat="1" applyFill="1" applyBorder="1"/>
    <xf numFmtId="2" fontId="0" fillId="2" borderId="0" xfId="0" applyNumberFormat="1" applyFill="1" applyBorder="1"/>
    <xf numFmtId="2" fontId="0" fillId="2" borderId="18" xfId="0" applyNumberFormat="1" applyFill="1" applyBorder="1"/>
    <xf numFmtId="1" fontId="0" fillId="3" borderId="138" xfId="0" applyNumberFormat="1" applyFont="1" applyFill="1" applyBorder="1" applyAlignment="1" applyProtection="1">
      <protection locked="0"/>
    </xf>
    <xf numFmtId="2" fontId="0" fillId="0" borderId="17" xfId="0" applyNumberFormat="1" applyFont="1" applyFill="1" applyBorder="1" applyAlignment="1" applyProtection="1">
      <protection locked="0"/>
    </xf>
    <xf numFmtId="2" fontId="0" fillId="3" borderId="17" xfId="0" applyNumberFormat="1" applyFont="1" applyFill="1" applyBorder="1" applyAlignment="1" applyProtection="1">
      <protection locked="0"/>
    </xf>
    <xf numFmtId="164" fontId="0" fillId="2" borderId="17" xfId="0" applyNumberFormat="1" applyFont="1" applyFill="1" applyBorder="1" applyAlignment="1" applyProtection="1">
      <protection locked="0"/>
    </xf>
    <xf numFmtId="0" fontId="57" fillId="30" borderId="86" xfId="0" applyFont="1" applyFill="1" applyBorder="1" applyAlignment="1">
      <alignment horizontal="left" wrapText="1"/>
    </xf>
    <xf numFmtId="14" fontId="0" fillId="0" borderId="0" xfId="0" applyNumberFormat="1" applyFill="1" applyAlignment="1">
      <alignment horizontal="left" vertical="center"/>
    </xf>
    <xf numFmtId="9" fontId="0" fillId="0" borderId="0" xfId="11" applyFont="1" applyFill="1" applyProtection="1">
      <protection locked="0"/>
    </xf>
    <xf numFmtId="164" fontId="0" fillId="0" borderId="0" xfId="0" applyNumberFormat="1" applyFont="1" applyFill="1" applyBorder="1" applyAlignment="1" applyProtection="1">
      <protection locked="0"/>
    </xf>
    <xf numFmtId="165" fontId="0" fillId="0" borderId="0" xfId="14" applyNumberFormat="1" applyFont="1" applyFill="1"/>
    <xf numFmtId="165" fontId="0" fillId="0" borderId="0" xfId="14" applyNumberFormat="1" applyFont="1" applyFill="1" applyBorder="1"/>
    <xf numFmtId="1" fontId="0" fillId="0" borderId="128" xfId="0" applyNumberFormat="1" applyFont="1" applyFill="1" applyBorder="1" applyAlignment="1" applyProtection="1">
      <protection locked="0"/>
    </xf>
    <xf numFmtId="165" fontId="0" fillId="0" borderId="128" xfId="14" applyNumberFormat="1" applyFont="1" applyFill="1" applyBorder="1"/>
    <xf numFmtId="165" fontId="0" fillId="0" borderId="18" xfId="14" applyNumberFormat="1" applyFont="1" applyFill="1" applyBorder="1"/>
    <xf numFmtId="164" fontId="0" fillId="0" borderId="18" xfId="0" applyNumberFormat="1" applyFont="1" applyFill="1" applyBorder="1" applyAlignment="1" applyProtection="1">
      <protection locked="0"/>
    </xf>
    <xf numFmtId="164" fontId="0" fillId="0" borderId="0" xfId="0" applyNumberFormat="1" applyFill="1" applyBorder="1"/>
    <xf numFmtId="0" fontId="0" fillId="0" borderId="17" xfId="0" applyFill="1" applyBorder="1" applyAlignment="1"/>
    <xf numFmtId="0" fontId="0" fillId="0" borderId="0" xfId="0" applyFill="1" applyBorder="1" applyAlignment="1"/>
    <xf numFmtId="0" fontId="0" fillId="0" borderId="18" xfId="0" applyFill="1" applyBorder="1" applyAlignment="1"/>
    <xf numFmtId="0" fontId="74" fillId="0" borderId="0" xfId="16" applyFont="1" applyBorder="1" applyAlignment="1">
      <alignment horizontal="center" wrapText="1"/>
    </xf>
    <xf numFmtId="0" fontId="74" fillId="0" borderId="0" xfId="16" applyFont="1" applyBorder="1" applyAlignment="1">
      <alignment horizontal="center"/>
    </xf>
    <xf numFmtId="0" fontId="0" fillId="0" borderId="0" xfId="0" applyAlignment="1">
      <alignment horizontal="center"/>
    </xf>
    <xf numFmtId="0" fontId="0" fillId="0" borderId="124" xfId="0" applyBorder="1" applyAlignment="1">
      <alignment horizontal="center"/>
    </xf>
    <xf numFmtId="0" fontId="52" fillId="0" borderId="47" xfId="16" applyAlignment="1">
      <alignment horizontal="left"/>
    </xf>
    <xf numFmtId="0" fontId="52" fillId="0" borderId="47" xfId="16" applyAlignment="1"/>
    <xf numFmtId="0" fontId="67" fillId="0" borderId="48" xfId="17" applyFont="1" applyAlignment="1">
      <alignment wrapText="1"/>
    </xf>
    <xf numFmtId="0" fontId="67" fillId="0" borderId="116" xfId="17" applyFont="1" applyBorder="1" applyAlignment="1">
      <alignment horizontal="left" wrapText="1"/>
    </xf>
    <xf numFmtId="0" fontId="0" fillId="0" borderId="52" xfId="0" applyBorder="1" applyAlignment="1">
      <alignment vertical="center" wrapText="1"/>
    </xf>
    <xf numFmtId="0" fontId="0" fillId="0" borderId="56" xfId="0" applyBorder="1" applyAlignment="1">
      <alignment vertical="center" wrapText="1"/>
    </xf>
    <xf numFmtId="0" fontId="0" fillId="0" borderId="53" xfId="0" applyBorder="1" applyAlignment="1">
      <alignment vertical="center" wrapText="1"/>
    </xf>
    <xf numFmtId="0" fontId="14" fillId="14" borderId="50" xfId="0" applyFont="1" applyFill="1" applyBorder="1" applyAlignment="1">
      <alignment horizontal="left" vertical="center" wrapText="1"/>
    </xf>
    <xf numFmtId="0" fontId="14" fillId="14" borderId="51" xfId="0" applyFont="1" applyFill="1" applyBorder="1" applyAlignment="1">
      <alignment horizontal="left" vertical="center" wrapText="1"/>
    </xf>
    <xf numFmtId="0" fontId="54" fillId="0" borderId="52" xfId="0" applyFont="1" applyBorder="1" applyAlignment="1">
      <alignment horizontal="left" vertical="center" wrapText="1"/>
    </xf>
    <xf numFmtId="0" fontId="54" fillId="0" borderId="53" xfId="0" applyFont="1"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53" fillId="0" borderId="54" xfId="18" applyBorder="1" applyAlignment="1">
      <alignment horizontal="left" vertical="center" wrapText="1"/>
    </xf>
    <xf numFmtId="0" fontId="53" fillId="0" borderId="55" xfId="18"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56" xfId="0" applyBorder="1" applyAlignment="1">
      <alignment horizontal="left" vertical="center" wrapText="1"/>
    </xf>
    <xf numFmtId="0" fontId="67" fillId="0" borderId="117" xfId="17" applyFont="1" applyBorder="1" applyAlignment="1">
      <alignment horizontal="left" wrapText="1"/>
    </xf>
    <xf numFmtId="0" fontId="0" fillId="0" borderId="57" xfId="0"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5" fillId="0" borderId="52" xfId="0" applyFont="1" applyBorder="1" applyAlignment="1">
      <alignment vertical="center"/>
    </xf>
    <xf numFmtId="0" fontId="5" fillId="0" borderId="56" xfId="0" applyFont="1" applyBorder="1" applyAlignment="1">
      <alignment vertical="center"/>
    </xf>
    <xf numFmtId="0" fontId="5" fillId="0" borderId="53" xfId="0" applyFont="1" applyBorder="1" applyAlignment="1">
      <alignment vertical="center"/>
    </xf>
    <xf numFmtId="0" fontId="0" fillId="0" borderId="50" xfId="0" applyBorder="1" applyAlignment="1">
      <alignment vertical="center" wrapText="1"/>
    </xf>
    <xf numFmtId="0" fontId="0" fillId="0" borderId="122" xfId="0" applyBorder="1" applyAlignment="1">
      <alignment vertical="center" wrapText="1"/>
    </xf>
    <xf numFmtId="0" fontId="0" fillId="0" borderId="51" xfId="0" applyBorder="1" applyAlignment="1">
      <alignment vertical="center" wrapText="1"/>
    </xf>
    <xf numFmtId="0" fontId="0" fillId="0" borderId="122" xfId="0" applyBorder="1" applyAlignment="1">
      <alignment wrapText="1"/>
    </xf>
    <xf numFmtId="169" fontId="7" fillId="9" borderId="0" xfId="11" applyNumberFormat="1" applyFont="1" applyFill="1" applyBorder="1" applyAlignment="1">
      <alignment horizontal="left" vertical="center"/>
    </xf>
    <xf numFmtId="169" fontId="7" fillId="9" borderId="0" xfId="11" applyNumberFormat="1" applyFont="1" applyFill="1" applyBorder="1" applyAlignment="1">
      <alignment horizontal="left"/>
    </xf>
    <xf numFmtId="0" fontId="25" fillId="10" borderId="0" xfId="0" applyFont="1" applyFill="1" applyAlignment="1">
      <alignment horizontal="left" vertical="center" wrapText="1"/>
    </xf>
    <xf numFmtId="0" fontId="46" fillId="7" borderId="13" xfId="13" applyFont="1" applyFill="1" applyBorder="1" applyAlignment="1">
      <alignment horizontal="right"/>
    </xf>
    <xf numFmtId="0" fontId="78" fillId="7" borderId="13" xfId="13" applyFont="1" applyFill="1" applyBorder="1" applyAlignment="1">
      <alignment horizontal="right"/>
    </xf>
    <xf numFmtId="0" fontId="37" fillId="13" borderId="0" xfId="0" applyFont="1" applyFill="1" applyAlignment="1">
      <alignment vertical="center" wrapText="1"/>
    </xf>
    <xf numFmtId="0" fontId="37" fillId="13" borderId="9" xfId="0" applyFont="1" applyFill="1" applyBorder="1" applyAlignment="1">
      <alignment vertical="center" wrapText="1"/>
    </xf>
    <xf numFmtId="0" fontId="2" fillId="9" borderId="0" xfId="0" applyFont="1" applyFill="1" applyBorder="1" applyAlignment="1">
      <alignment vertical="center"/>
    </xf>
    <xf numFmtId="0" fontId="2" fillId="9" borderId="0" xfId="0" applyFont="1" applyFill="1" applyBorder="1" applyAlignment="1">
      <alignment horizontal="left" vertical="center"/>
    </xf>
    <xf numFmtId="0" fontId="2" fillId="13" borderId="0" xfId="0" applyFont="1" applyFill="1" applyAlignment="1">
      <alignment horizontal="center" vertical="center"/>
    </xf>
    <xf numFmtId="0" fontId="58" fillId="13" borderId="0" xfId="0" applyFont="1" applyFill="1" applyBorder="1" applyAlignment="1">
      <alignment horizontal="center" vertical="center"/>
    </xf>
    <xf numFmtId="0" fontId="58" fillId="13" borderId="9" xfId="0" applyFont="1" applyFill="1" applyBorder="1" applyAlignment="1">
      <alignment horizontal="center" vertical="center"/>
    </xf>
    <xf numFmtId="1" fontId="7" fillId="9" borderId="0" xfId="0" applyNumberFormat="1" applyFont="1" applyFill="1" applyBorder="1" applyAlignment="1">
      <alignment horizontal="left" vertical="center"/>
    </xf>
    <xf numFmtId="9" fontId="7" fillId="9" borderId="0" xfId="11" applyFont="1" applyFill="1" applyBorder="1" applyAlignment="1">
      <alignment horizontal="left" vertical="center"/>
    </xf>
    <xf numFmtId="2" fontId="7" fillId="9" borderId="0" xfId="0" applyNumberFormat="1" applyFont="1" applyFill="1" applyBorder="1" applyAlignment="1">
      <alignment horizontal="lef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0" fontId="2" fillId="11" borderId="0" xfId="0" applyFont="1" applyFill="1" applyAlignment="1">
      <alignment horizontal="center" vertical="center"/>
    </xf>
    <xf numFmtId="9" fontId="7" fillId="9" borderId="3" xfId="11" applyFont="1" applyFill="1" applyBorder="1" applyAlignment="1">
      <alignment horizontal="left" vertical="center"/>
    </xf>
    <xf numFmtId="2" fontId="7" fillId="9" borderId="3" xfId="0" applyNumberFormat="1" applyFont="1" applyFill="1" applyBorder="1" applyAlignment="1">
      <alignment horizontal="left" vertical="center"/>
    </xf>
    <xf numFmtId="1" fontId="7" fillId="9" borderId="3" xfId="0" applyNumberFormat="1" applyFont="1" applyFill="1" applyBorder="1" applyAlignment="1">
      <alignment horizontal="left" vertical="center"/>
    </xf>
    <xf numFmtId="0" fontId="7" fillId="9" borderId="0" xfId="0" applyFont="1" applyFill="1" applyBorder="1" applyAlignment="1">
      <alignment horizontal="center" vertical="center" wrapText="1"/>
    </xf>
    <xf numFmtId="0" fontId="25" fillId="9" borderId="131" xfId="0" applyFont="1" applyFill="1" applyBorder="1" applyAlignment="1">
      <alignment vertical="center"/>
    </xf>
    <xf numFmtId="0" fontId="25" fillId="9" borderId="34" xfId="0" applyFont="1" applyFill="1" applyBorder="1" applyAlignment="1">
      <alignment vertical="center"/>
    </xf>
    <xf numFmtId="0" fontId="25" fillId="9" borderId="43" xfId="0" applyFont="1" applyFill="1" applyBorder="1" applyAlignment="1">
      <alignment vertical="center"/>
    </xf>
    <xf numFmtId="0" fontId="25" fillId="9" borderId="29" xfId="0" applyFont="1" applyFill="1" applyBorder="1" applyAlignment="1">
      <alignment vertical="center"/>
    </xf>
    <xf numFmtId="0" fontId="25" fillId="9" borderId="28" xfId="0" applyFont="1" applyFill="1" applyBorder="1" applyAlignment="1">
      <alignment vertical="center"/>
    </xf>
    <xf numFmtId="0" fontId="25" fillId="9" borderId="44" xfId="0" applyFont="1" applyFill="1" applyBorder="1" applyAlignment="1">
      <alignment vertical="center"/>
    </xf>
    <xf numFmtId="9" fontId="7" fillId="0" borderId="34" xfId="11" applyFont="1" applyBorder="1" applyAlignment="1">
      <alignment vertical="center"/>
    </xf>
    <xf numFmtId="9" fontId="7" fillId="0" borderId="43" xfId="11" applyFont="1" applyBorder="1" applyAlignment="1">
      <alignment vertical="center"/>
    </xf>
    <xf numFmtId="9" fontId="7" fillId="0" borderId="28" xfId="11" applyFont="1" applyBorder="1" applyAlignment="1">
      <alignment vertical="center"/>
    </xf>
    <xf numFmtId="9" fontId="7" fillId="0" borderId="44" xfId="11" applyFont="1" applyBorder="1" applyAlignment="1">
      <alignment vertical="center"/>
    </xf>
    <xf numFmtId="0" fontId="7" fillId="7" borderId="73" xfId="0" applyFont="1" applyFill="1" applyBorder="1" applyAlignment="1">
      <alignment vertical="center"/>
    </xf>
    <xf numFmtId="1" fontId="7" fillId="9" borderId="0" xfId="11" applyNumberFormat="1" applyFont="1" applyFill="1" applyBorder="1" applyAlignment="1">
      <alignment horizontal="left" vertical="center"/>
    </xf>
    <xf numFmtId="1" fontId="45" fillId="9" borderId="23" xfId="11" applyNumberFormat="1" applyFont="1" applyFill="1" applyBorder="1" applyAlignment="1">
      <alignment horizontal="left" vertical="center"/>
    </xf>
    <xf numFmtId="1" fontId="45" fillId="9" borderId="38" xfId="11" applyNumberFormat="1" applyFont="1" applyFill="1" applyBorder="1" applyAlignment="1">
      <alignment horizontal="left" vertical="center"/>
    </xf>
    <xf numFmtId="1" fontId="7" fillId="9" borderId="33" xfId="0" applyNumberFormat="1" applyFont="1" applyFill="1" applyBorder="1" applyAlignment="1">
      <alignment horizontal="left" vertical="center"/>
    </xf>
    <xf numFmtId="0" fontId="57" fillId="7" borderId="0" xfId="0" applyFont="1" applyFill="1" applyBorder="1" applyAlignment="1">
      <alignment horizontal="left" vertical="top" wrapText="1"/>
    </xf>
    <xf numFmtId="0" fontId="57" fillId="7" borderId="11" xfId="0" applyFont="1" applyFill="1" applyBorder="1" applyAlignment="1">
      <alignment horizontal="left" vertical="top" wrapText="1"/>
    </xf>
    <xf numFmtId="0" fontId="25" fillId="9" borderId="30" xfId="0" applyFont="1" applyFill="1" applyBorder="1" applyAlignment="1">
      <alignment vertical="center"/>
    </xf>
    <xf numFmtId="1" fontId="7" fillId="9" borderId="33" xfId="11" applyNumberFormat="1" applyFont="1" applyFill="1" applyBorder="1" applyAlignment="1">
      <alignment horizontal="left" vertical="center"/>
    </xf>
    <xf numFmtId="168" fontId="7" fillId="9" borderId="0" xfId="11" applyNumberFormat="1" applyFont="1" applyFill="1" applyBorder="1" applyAlignment="1">
      <alignment horizontal="left" vertical="center"/>
    </xf>
    <xf numFmtId="1" fontId="45" fillId="9" borderId="23" xfId="11" applyNumberFormat="1" applyFont="1" applyFill="1" applyBorder="1" applyAlignment="1">
      <alignment horizontal="right" vertical="center"/>
    </xf>
    <xf numFmtId="1" fontId="45" fillId="9" borderId="38" xfId="11" applyNumberFormat="1" applyFont="1" applyFill="1" applyBorder="1" applyAlignment="1">
      <alignment horizontal="right" vertical="center"/>
    </xf>
    <xf numFmtId="167" fontId="7" fillId="7" borderId="95" xfId="0" applyNumberFormat="1" applyFont="1" applyFill="1" applyBorder="1" applyAlignment="1"/>
    <xf numFmtId="0" fontId="2" fillId="9" borderId="88" xfId="0" applyFont="1" applyFill="1" applyBorder="1" applyAlignment="1">
      <alignment horizontal="center" vertical="center" textRotation="90"/>
    </xf>
    <xf numFmtId="0" fontId="2" fillId="9" borderId="89" xfId="0" applyFont="1" applyFill="1" applyBorder="1" applyAlignment="1">
      <alignment horizontal="center" vertical="center" textRotation="90"/>
    </xf>
    <xf numFmtId="0" fontId="2" fillId="9" borderId="90" xfId="0" applyFont="1" applyFill="1" applyBorder="1" applyAlignment="1">
      <alignment horizontal="center" vertical="center" textRotation="90"/>
    </xf>
    <xf numFmtId="167" fontId="7" fillId="7" borderId="105" xfId="0" applyNumberFormat="1" applyFont="1" applyFill="1" applyBorder="1" applyAlignment="1"/>
    <xf numFmtId="167" fontId="7" fillId="7" borderId="107" xfId="0" applyNumberFormat="1" applyFont="1" applyFill="1" applyBorder="1" applyAlignment="1"/>
    <xf numFmtId="9" fontId="7" fillId="9" borderId="28" xfId="11" applyFont="1" applyFill="1" applyBorder="1" applyAlignment="1">
      <alignment vertical="center" wrapText="1"/>
    </xf>
    <xf numFmtId="9" fontId="7" fillId="9" borderId="30" xfId="11" applyFont="1" applyFill="1" applyBorder="1" applyAlignment="1">
      <alignment vertical="center" wrapText="1"/>
    </xf>
    <xf numFmtId="0" fontId="0" fillId="9" borderId="96" xfId="0" applyFill="1" applyBorder="1" applyAlignment="1">
      <alignment vertical="center" wrapText="1"/>
    </xf>
    <xf numFmtId="0" fontId="0" fillId="9" borderId="30" xfId="0" applyFill="1" applyBorder="1" applyAlignment="1">
      <alignment vertical="center" wrapText="1"/>
    </xf>
    <xf numFmtId="0" fontId="0" fillId="9" borderId="97" xfId="0" applyFill="1" applyBorder="1" applyAlignment="1">
      <alignment vertical="center" wrapText="1"/>
    </xf>
    <xf numFmtId="0" fontId="0" fillId="9" borderId="98" xfId="0" applyFill="1" applyBorder="1" applyAlignment="1">
      <alignment vertical="center" wrapText="1"/>
    </xf>
    <xf numFmtId="0" fontId="0" fillId="9" borderId="28" xfId="0" applyFill="1" applyBorder="1" applyAlignment="1">
      <alignment vertical="center" wrapText="1"/>
    </xf>
    <xf numFmtId="0" fontId="45" fillId="7" borderId="105" xfId="0" applyFont="1" applyFill="1" applyBorder="1"/>
    <xf numFmtId="0" fontId="45" fillId="7" borderId="106" xfId="0" applyFont="1" applyFill="1" applyBorder="1"/>
    <xf numFmtId="0" fontId="45" fillId="7" borderId="107" xfId="0" applyFont="1" applyFill="1" applyBorder="1"/>
    <xf numFmtId="0" fontId="45" fillId="7" borderId="108" xfId="0" applyFont="1" applyFill="1" applyBorder="1"/>
    <xf numFmtId="0" fontId="45" fillId="7" borderId="109" xfId="0" applyFont="1" applyFill="1" applyBorder="1"/>
    <xf numFmtId="0" fontId="45" fillId="7" borderId="110" xfId="0" applyFont="1" applyFill="1" applyBorder="1"/>
    <xf numFmtId="0" fontId="45" fillId="7" borderId="67" xfId="0" applyFont="1" applyFill="1" applyBorder="1"/>
    <xf numFmtId="0" fontId="45" fillId="7" borderId="111" xfId="0" applyFont="1" applyFill="1" applyBorder="1"/>
    <xf numFmtId="0" fontId="45" fillId="7" borderId="95" xfId="0" applyFont="1" applyFill="1" applyBorder="1"/>
    <xf numFmtId="0" fontId="45" fillId="7" borderId="112" xfId="0" applyFont="1" applyFill="1" applyBorder="1"/>
    <xf numFmtId="0" fontId="45" fillId="9" borderId="0" xfId="0" applyFont="1" applyFill="1" applyBorder="1" applyAlignment="1"/>
    <xf numFmtId="9" fontId="7" fillId="7" borderId="73" xfId="11" applyFont="1" applyFill="1" applyBorder="1" applyAlignment="1">
      <alignment horizontal="right"/>
    </xf>
    <xf numFmtId="9" fontId="7" fillId="7" borderId="134" xfId="11" applyFont="1" applyFill="1" applyBorder="1" applyAlignment="1">
      <alignment horizontal="right"/>
    </xf>
    <xf numFmtId="167" fontId="7" fillId="7" borderId="109" xfId="0" applyNumberFormat="1" applyFont="1" applyFill="1" applyBorder="1" applyAlignment="1"/>
    <xf numFmtId="167" fontId="7" fillId="7" borderId="67" xfId="0" applyNumberFormat="1" applyFont="1" applyFill="1" applyBorder="1" applyAlignment="1"/>
    <xf numFmtId="167" fontId="7" fillId="7" borderId="73" xfId="0" applyNumberFormat="1" applyFont="1" applyFill="1" applyBorder="1" applyAlignment="1"/>
    <xf numFmtId="9" fontId="7" fillId="0" borderId="9" xfId="11" applyFont="1" applyBorder="1" applyAlignment="1">
      <alignment vertical="center"/>
    </xf>
    <xf numFmtId="9" fontId="7" fillId="0" borderId="32" xfId="11" applyFont="1" applyBorder="1" applyAlignment="1">
      <alignment vertical="center"/>
    </xf>
    <xf numFmtId="9" fontId="7" fillId="0" borderId="0" xfId="11" applyFont="1" applyBorder="1" applyAlignment="1">
      <alignment vertical="center"/>
    </xf>
    <xf numFmtId="9" fontId="7" fillId="0" borderId="26" xfId="11" applyFont="1" applyBorder="1" applyAlignment="1">
      <alignment vertical="center"/>
    </xf>
    <xf numFmtId="0" fontId="38" fillId="9" borderId="29" xfId="0" applyFont="1" applyFill="1" applyBorder="1" applyAlignment="1">
      <alignment vertical="center" wrapText="1"/>
    </xf>
    <xf numFmtId="0" fontId="38" fillId="9" borderId="28" xfId="0" applyFont="1" applyFill="1" applyBorder="1" applyAlignment="1">
      <alignment vertical="center" wrapText="1"/>
    </xf>
    <xf numFmtId="0" fontId="38" fillId="9" borderId="31" xfId="0" applyFont="1" applyFill="1" applyBorder="1" applyAlignment="1">
      <alignment vertical="center" wrapText="1"/>
    </xf>
    <xf numFmtId="0" fontId="38" fillId="9" borderId="30" xfId="0" applyFont="1" applyFill="1" applyBorder="1" applyAlignment="1">
      <alignment vertical="center" wrapText="1"/>
    </xf>
    <xf numFmtId="0" fontId="38" fillId="9" borderId="99" xfId="0" applyFont="1" applyFill="1" applyBorder="1" applyAlignment="1">
      <alignment vertical="center" wrapText="1"/>
    </xf>
    <xf numFmtId="0" fontId="38" fillId="9" borderId="98" xfId="0" applyFont="1" applyFill="1" applyBorder="1" applyAlignment="1">
      <alignment vertical="center" wrapText="1"/>
    </xf>
    <xf numFmtId="0" fontId="7" fillId="9" borderId="31" xfId="0" applyFont="1" applyFill="1" applyBorder="1" applyAlignment="1">
      <alignment vertical="center" wrapText="1"/>
    </xf>
    <xf numFmtId="0" fontId="7" fillId="9" borderId="30" xfId="0" applyFont="1" applyFill="1" applyBorder="1" applyAlignment="1">
      <alignment vertical="center" wrapText="1"/>
    </xf>
    <xf numFmtId="0" fontId="7" fillId="9" borderId="99" xfId="0" applyFont="1" applyFill="1" applyBorder="1" applyAlignment="1">
      <alignment vertical="center" wrapText="1"/>
    </xf>
    <xf numFmtId="0" fontId="7" fillId="9" borderId="98" xfId="0" applyFont="1" applyFill="1" applyBorder="1" applyAlignment="1">
      <alignment vertical="center" wrapText="1"/>
    </xf>
    <xf numFmtId="0" fontId="7" fillId="9" borderId="31" xfId="0" applyFont="1" applyFill="1" applyBorder="1" applyAlignment="1">
      <alignment horizontal="left" vertical="center" wrapText="1"/>
    </xf>
    <xf numFmtId="0" fontId="7" fillId="9" borderId="30" xfId="0" applyFont="1" applyFill="1" applyBorder="1" applyAlignment="1">
      <alignment horizontal="left" vertical="center" wrapText="1"/>
    </xf>
    <xf numFmtId="0" fontId="7" fillId="9" borderId="42" xfId="0" applyFont="1" applyFill="1" applyBorder="1" applyAlignment="1">
      <alignment horizontal="left" vertical="center" wrapText="1"/>
    </xf>
    <xf numFmtId="0" fontId="7" fillId="9" borderId="99" xfId="0" applyFont="1" applyFill="1" applyBorder="1" applyAlignment="1">
      <alignment horizontal="left" vertical="center" wrapText="1"/>
    </xf>
    <xf numFmtId="0" fontId="7" fillId="9" borderId="98" xfId="0" applyFont="1" applyFill="1" applyBorder="1" applyAlignment="1">
      <alignment horizontal="left" vertical="center" wrapText="1"/>
    </xf>
    <xf numFmtId="0" fontId="7" fillId="9" borderId="100" xfId="0" applyFont="1" applyFill="1" applyBorder="1" applyAlignment="1">
      <alignment horizontal="left" vertical="center" wrapText="1"/>
    </xf>
    <xf numFmtId="0" fontId="7" fillId="9" borderId="29" xfId="0" applyFont="1" applyFill="1" applyBorder="1" applyAlignment="1">
      <alignment horizontal="left" vertical="center" wrapText="1"/>
    </xf>
    <xf numFmtId="0" fontId="7" fillId="9" borderId="28" xfId="0" applyFont="1" applyFill="1" applyBorder="1" applyAlignment="1">
      <alignment horizontal="left" vertical="center" wrapText="1"/>
    </xf>
    <xf numFmtId="0" fontId="7" fillId="9" borderId="44" xfId="0" applyFont="1" applyFill="1" applyBorder="1" applyAlignment="1">
      <alignment horizontal="left" vertical="center" wrapText="1"/>
    </xf>
    <xf numFmtId="9" fontId="7" fillId="9" borderId="98" xfId="11" applyFont="1" applyFill="1" applyBorder="1" applyAlignment="1">
      <alignment vertical="center" wrapText="1"/>
    </xf>
    <xf numFmtId="0" fontId="0" fillId="9" borderId="96" xfId="0" applyFill="1" applyBorder="1" applyAlignment="1">
      <alignment horizontal="left" vertical="center" wrapText="1"/>
    </xf>
    <xf numFmtId="0" fontId="0" fillId="9" borderId="30" xfId="0" applyFill="1" applyBorder="1" applyAlignment="1">
      <alignment horizontal="left" vertical="center" wrapText="1"/>
    </xf>
    <xf numFmtId="0" fontId="0" fillId="9" borderId="97" xfId="0" applyFill="1" applyBorder="1" applyAlignment="1">
      <alignment horizontal="left" vertical="center" wrapText="1"/>
    </xf>
    <xf numFmtId="0" fontId="0" fillId="9" borderId="98" xfId="0" applyFill="1" applyBorder="1" applyAlignment="1">
      <alignment horizontal="left" vertical="center" wrapText="1"/>
    </xf>
    <xf numFmtId="0" fontId="7" fillId="9" borderId="40" xfId="0" applyFont="1" applyFill="1" applyBorder="1" applyAlignment="1">
      <alignment horizontal="left" vertical="center" wrapText="1"/>
    </xf>
    <xf numFmtId="0" fontId="7" fillId="9" borderId="35" xfId="0" applyFont="1" applyFill="1" applyBorder="1" applyAlignment="1">
      <alignment horizontal="left" vertical="center" wrapText="1"/>
    </xf>
    <xf numFmtId="0" fontId="7" fillId="9" borderId="41" xfId="0" applyFont="1" applyFill="1" applyBorder="1" applyAlignment="1">
      <alignment horizontal="left" vertical="center" wrapText="1"/>
    </xf>
    <xf numFmtId="9" fontId="7" fillId="0" borderId="35" xfId="11" applyFont="1" applyBorder="1" applyAlignment="1">
      <alignment vertical="center"/>
    </xf>
    <xf numFmtId="9" fontId="7" fillId="0" borderId="41" xfId="11" applyFont="1" applyBorder="1" applyAlignment="1">
      <alignment vertical="center"/>
    </xf>
    <xf numFmtId="9" fontId="7" fillId="0" borderId="30" xfId="11" applyFont="1" applyBorder="1" applyAlignment="1">
      <alignment vertical="center"/>
    </xf>
    <xf numFmtId="9" fontId="7" fillId="0" borderId="42" xfId="11" applyFont="1" applyBorder="1" applyAlignment="1">
      <alignment vertical="center"/>
    </xf>
    <xf numFmtId="0" fontId="63" fillId="9" borderId="23" xfId="0" applyFont="1" applyFill="1" applyBorder="1" applyAlignment="1">
      <alignment vertical="center"/>
    </xf>
    <xf numFmtId="0" fontId="63" fillId="9" borderId="0" xfId="0" applyFont="1" applyFill="1" applyBorder="1" applyAlignment="1">
      <alignment vertical="center"/>
    </xf>
    <xf numFmtId="9" fontId="7" fillId="9" borderId="0" xfId="11" applyFont="1" applyFill="1" applyAlignment="1">
      <alignment horizontal="left" vertical="center"/>
    </xf>
    <xf numFmtId="0" fontId="7" fillId="9" borderId="131" xfId="0" applyFont="1" applyFill="1" applyBorder="1" applyAlignment="1">
      <alignment horizontal="left" vertical="center" wrapText="1"/>
    </xf>
    <xf numFmtId="0" fontId="7" fillId="9" borderId="34" xfId="0" applyFont="1" applyFill="1" applyBorder="1" applyAlignment="1">
      <alignment horizontal="left" vertical="center" wrapText="1"/>
    </xf>
    <xf numFmtId="0" fontId="7" fillId="9" borderId="43" xfId="0" applyFont="1" applyFill="1" applyBorder="1" applyAlignment="1">
      <alignment horizontal="left" vertical="center" wrapText="1"/>
    </xf>
    <xf numFmtId="0" fontId="6" fillId="7" borderId="60"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61"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13" xfId="0" applyFont="1" applyFill="1" applyBorder="1" applyAlignment="1">
      <alignment horizontal="right" vertical="center" wrapText="1"/>
    </xf>
    <xf numFmtId="0" fontId="6" fillId="7" borderId="61" xfId="0" applyFont="1" applyFill="1" applyBorder="1" applyAlignment="1">
      <alignment horizontal="right" vertical="center" wrapText="1"/>
    </xf>
    <xf numFmtId="0" fontId="6" fillId="7" borderId="0" xfId="0" applyFont="1" applyFill="1" applyBorder="1" applyAlignment="1">
      <alignment horizontal="right" vertical="center" wrapText="1"/>
    </xf>
    <xf numFmtId="0" fontId="6" fillId="7" borderId="26" xfId="0" applyFont="1" applyFill="1" applyBorder="1" applyAlignment="1">
      <alignment horizontal="right" vertical="center" wrapText="1"/>
    </xf>
    <xf numFmtId="0" fontId="6" fillId="7" borderId="9" xfId="0" applyFont="1" applyFill="1" applyBorder="1" applyAlignment="1">
      <alignment horizontal="right" vertical="center" wrapText="1"/>
    </xf>
    <xf numFmtId="0" fontId="6" fillId="7" borderId="32" xfId="0" applyFont="1" applyFill="1" applyBorder="1" applyAlignment="1">
      <alignment horizontal="right" vertical="center" wrapText="1"/>
    </xf>
    <xf numFmtId="0" fontId="7" fillId="9" borderId="29" xfId="0" applyFont="1" applyFill="1" applyBorder="1" applyAlignment="1">
      <alignment vertical="center" wrapText="1"/>
    </xf>
    <xf numFmtId="0" fontId="7" fillId="9" borderId="28" xfId="0" applyFont="1" applyFill="1" applyBorder="1" applyAlignment="1">
      <alignment vertical="center" wrapText="1"/>
    </xf>
    <xf numFmtId="0" fontId="7" fillId="9" borderId="131" xfId="0" applyFont="1" applyFill="1" applyBorder="1" applyAlignment="1">
      <alignment vertical="center" wrapText="1"/>
    </xf>
    <xf numFmtId="0" fontId="7" fillId="9" borderId="34" xfId="0" applyFont="1" applyFill="1" applyBorder="1" applyAlignment="1">
      <alignment vertical="center" wrapText="1"/>
    </xf>
    <xf numFmtId="0" fontId="0" fillId="14" borderId="0" xfId="0" applyFill="1" applyBorder="1" applyAlignment="1">
      <alignment horizontal="center"/>
    </xf>
    <xf numFmtId="0" fontId="46" fillId="7" borderId="0" xfId="13" applyFont="1" applyFill="1" applyAlignment="1">
      <alignment horizontal="right"/>
    </xf>
    <xf numFmtId="0" fontId="45" fillId="7" borderId="0" xfId="13" applyFont="1" applyFill="1" applyAlignment="1">
      <alignment horizontal="right"/>
    </xf>
    <xf numFmtId="0" fontId="7" fillId="7" borderId="73" xfId="0" applyFont="1" applyFill="1" applyBorder="1" applyAlignment="1">
      <alignment horizontal="right"/>
    </xf>
    <xf numFmtId="0" fontId="6" fillId="9" borderId="0" xfId="0" applyFont="1" applyFill="1" applyBorder="1" applyAlignment="1">
      <alignment horizontal="right"/>
    </xf>
    <xf numFmtId="0" fontId="6" fillId="9" borderId="11" xfId="0" applyFont="1" applyFill="1" applyBorder="1" applyAlignment="1">
      <alignment horizontal="right"/>
    </xf>
    <xf numFmtId="0" fontId="6" fillId="3" borderId="23" xfId="0" applyFont="1" applyFill="1" applyBorder="1" applyAlignment="1">
      <alignment horizontal="center" vertical="center"/>
    </xf>
    <xf numFmtId="0" fontId="6" fillId="3" borderId="0" xfId="0" applyFont="1" applyFill="1" applyBorder="1" applyAlignment="1">
      <alignment horizontal="center" vertical="center"/>
    </xf>
    <xf numFmtId="9" fontId="7" fillId="0" borderId="102" xfId="11" applyFont="1" applyBorder="1" applyAlignment="1">
      <alignment vertical="center"/>
    </xf>
    <xf numFmtId="9" fontId="7" fillId="0" borderId="98" xfId="11" applyFont="1" applyBorder="1" applyAlignment="1">
      <alignment vertical="center"/>
    </xf>
    <xf numFmtId="9" fontId="7" fillId="0" borderId="103" xfId="11" applyFont="1" applyBorder="1" applyAlignment="1">
      <alignment vertical="center"/>
    </xf>
    <xf numFmtId="9" fontId="7" fillId="9" borderId="35" xfId="11" applyFont="1" applyFill="1" applyBorder="1" applyAlignment="1">
      <alignment vertical="center"/>
    </xf>
    <xf numFmtId="9" fontId="7" fillId="9" borderId="101" xfId="11" applyFont="1" applyFill="1" applyBorder="1" applyAlignment="1">
      <alignment vertical="center"/>
    </xf>
    <xf numFmtId="9" fontId="7" fillId="9" borderId="30" xfId="11" applyFont="1" applyFill="1" applyBorder="1" applyAlignment="1">
      <alignment vertical="center"/>
    </xf>
    <xf numFmtId="9" fontId="7" fillId="9" borderId="102" xfId="11" applyFont="1" applyFill="1" applyBorder="1" applyAlignment="1">
      <alignment vertical="center"/>
    </xf>
    <xf numFmtId="9" fontId="7" fillId="0" borderId="130" xfId="11" applyFont="1" applyBorder="1" applyAlignment="1">
      <alignment vertical="center"/>
    </xf>
    <xf numFmtId="9" fontId="7" fillId="0" borderId="104" xfId="11" applyFont="1" applyBorder="1" applyAlignment="1">
      <alignment vertical="center"/>
    </xf>
    <xf numFmtId="0" fontId="38" fillId="9" borderId="40" xfId="0" applyFont="1" applyFill="1" applyBorder="1" applyAlignment="1">
      <alignment vertical="center" wrapText="1"/>
    </xf>
    <xf numFmtId="0" fontId="38" fillId="9" borderId="35" xfId="0" applyFont="1" applyFill="1" applyBorder="1" applyAlignment="1">
      <alignment vertical="center" wrapText="1"/>
    </xf>
    <xf numFmtId="0" fontId="38" fillId="9" borderId="131" xfId="0" applyFont="1" applyFill="1" applyBorder="1" applyAlignment="1">
      <alignment vertical="center" wrapText="1"/>
    </xf>
    <xf numFmtId="0" fontId="38" fillId="9" borderId="34" xfId="0" applyFont="1" applyFill="1" applyBorder="1" applyAlignment="1">
      <alignment vertical="center" wrapText="1"/>
    </xf>
    <xf numFmtId="9" fontId="7" fillId="9" borderId="34" xfId="11" applyFont="1" applyFill="1" applyBorder="1" applyAlignment="1">
      <alignment vertical="center" wrapText="1"/>
    </xf>
    <xf numFmtId="9" fontId="7" fillId="9" borderId="43" xfId="11" applyFont="1" applyFill="1" applyBorder="1" applyAlignment="1">
      <alignment vertical="center" wrapText="1"/>
    </xf>
    <xf numFmtId="9" fontId="7" fillId="9" borderId="44" xfId="11" applyFont="1" applyFill="1" applyBorder="1" applyAlignment="1">
      <alignment vertical="center" wrapText="1"/>
    </xf>
    <xf numFmtId="0" fontId="0" fillId="9" borderId="132" xfId="0" applyFill="1" applyBorder="1" applyAlignment="1">
      <alignment vertical="center" wrapText="1"/>
    </xf>
    <xf numFmtId="0" fontId="0" fillId="9" borderId="34" xfId="0" applyFill="1" applyBorder="1" applyAlignment="1">
      <alignment vertical="center" wrapText="1"/>
    </xf>
    <xf numFmtId="0" fontId="0" fillId="9" borderId="133" xfId="0" applyFill="1" applyBorder="1" applyAlignment="1">
      <alignment vertical="center" wrapText="1"/>
    </xf>
    <xf numFmtId="0" fontId="6" fillId="7" borderId="46"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32" xfId="0" applyFont="1" applyFill="1" applyBorder="1" applyAlignment="1">
      <alignment horizontal="center" vertical="center" wrapText="1"/>
    </xf>
    <xf numFmtId="0" fontId="0" fillId="9" borderId="35" xfId="0" applyFill="1" applyBorder="1" applyAlignment="1">
      <alignment vertical="center" wrapText="1"/>
    </xf>
    <xf numFmtId="0" fontId="6" fillId="3" borderId="0" xfId="0" applyFont="1" applyFill="1" applyAlignment="1">
      <alignment horizontal="center" vertical="center"/>
    </xf>
    <xf numFmtId="0" fontId="6" fillId="3" borderId="38" xfId="0" applyFont="1" applyFill="1" applyBorder="1" applyAlignment="1">
      <alignment horizontal="center" vertical="center"/>
    </xf>
    <xf numFmtId="0" fontId="7" fillId="9" borderId="0" xfId="0" applyFont="1" applyFill="1" applyBorder="1" applyAlignment="1">
      <alignment vertical="center"/>
    </xf>
    <xf numFmtId="0" fontId="25" fillId="9" borderId="30" xfId="0" applyFont="1" applyFill="1" applyBorder="1" applyAlignment="1">
      <alignment horizontal="right" vertical="center"/>
    </xf>
    <xf numFmtId="0" fontId="25" fillId="9" borderId="98" xfId="0" applyFont="1" applyFill="1" applyBorder="1" applyAlignment="1">
      <alignment horizontal="right" vertical="center"/>
    </xf>
    <xf numFmtId="0" fontId="30" fillId="9" borderId="28" xfId="0" applyFont="1" applyFill="1" applyBorder="1" applyAlignment="1">
      <alignment horizontal="left"/>
    </xf>
    <xf numFmtId="0" fontId="30" fillId="9" borderId="30" xfId="0" applyFont="1" applyFill="1" applyBorder="1" applyAlignment="1">
      <alignment horizontal="left"/>
    </xf>
    <xf numFmtId="0" fontId="25" fillId="9" borderId="30" xfId="0" applyFont="1" applyFill="1" applyBorder="1" applyAlignment="1">
      <alignment horizontal="left"/>
    </xf>
    <xf numFmtId="0" fontId="25" fillId="9" borderId="98" xfId="0" applyFont="1" applyFill="1" applyBorder="1" applyAlignment="1">
      <alignment horizontal="left"/>
    </xf>
    <xf numFmtId="0" fontId="7" fillId="7" borderId="67" xfId="0" applyFont="1" applyFill="1" applyBorder="1" applyAlignment="1">
      <alignment horizontal="right"/>
    </xf>
    <xf numFmtId="0" fontId="2" fillId="9" borderId="67" xfId="0" applyFont="1" applyFill="1" applyBorder="1" applyAlignment="1">
      <alignment horizontal="center"/>
    </xf>
    <xf numFmtId="0" fontId="45" fillId="7" borderId="94" xfId="0" applyFont="1" applyFill="1" applyBorder="1" applyAlignment="1"/>
    <xf numFmtId="0" fontId="68" fillId="9" borderId="9" xfId="13" applyFont="1" applyFill="1" applyBorder="1" applyAlignment="1"/>
    <xf numFmtId="0" fontId="7" fillId="7" borderId="67" xfId="0" applyFont="1" applyFill="1" applyBorder="1" applyAlignment="1">
      <alignment horizontal="right" vertical="center"/>
    </xf>
    <xf numFmtId="9" fontId="7" fillId="7" borderId="67" xfId="11" applyFont="1" applyFill="1" applyBorder="1" applyAlignment="1">
      <alignment horizontal="right" vertical="center"/>
    </xf>
    <xf numFmtId="9" fontId="7" fillId="7" borderId="111" xfId="11" applyFont="1" applyFill="1" applyBorder="1" applyAlignment="1">
      <alignment horizontal="right" vertical="center"/>
    </xf>
    <xf numFmtId="0" fontId="57" fillId="7" borderId="10" xfId="0" applyFont="1" applyFill="1" applyBorder="1" applyAlignment="1">
      <alignment vertical="top" wrapText="1"/>
    </xf>
    <xf numFmtId="0" fontId="57" fillId="7" borderId="0" xfId="0" applyFont="1" applyFill="1" applyBorder="1" applyAlignment="1">
      <alignment vertical="top" wrapText="1"/>
    </xf>
    <xf numFmtId="0" fontId="7" fillId="7" borderId="73" xfId="0" applyFont="1" applyFill="1" applyBorder="1" applyAlignment="1">
      <alignment horizontal="center"/>
    </xf>
    <xf numFmtId="0" fontId="72" fillId="7" borderId="10" xfId="0" applyFont="1" applyFill="1" applyBorder="1" applyAlignment="1">
      <alignment horizontal="left" vertical="top" wrapText="1"/>
    </xf>
    <xf numFmtId="0" fontId="72" fillId="7" borderId="0" xfId="0" applyFont="1" applyFill="1" applyBorder="1" applyAlignment="1">
      <alignment horizontal="left" vertical="top" wrapText="1"/>
    </xf>
    <xf numFmtId="0" fontId="68" fillId="7" borderId="13" xfId="13" applyFont="1" applyFill="1" applyBorder="1" applyAlignment="1">
      <alignment horizontal="right" vertical="center" wrapText="1"/>
    </xf>
    <xf numFmtId="0" fontId="68" fillId="7" borderId="13" xfId="0" applyFont="1" applyFill="1" applyBorder="1" applyAlignment="1">
      <alignment horizontal="right" vertical="center" wrapText="1"/>
    </xf>
    <xf numFmtId="0" fontId="68" fillId="7" borderId="67" xfId="0" applyFont="1" applyFill="1" applyBorder="1" applyAlignment="1">
      <alignment horizontal="right" vertical="center" wrapText="1"/>
    </xf>
    <xf numFmtId="0" fontId="11" fillId="9" borderId="9" xfId="0" applyFont="1" applyFill="1" applyBorder="1" applyAlignment="1">
      <alignment horizontal="center"/>
    </xf>
    <xf numFmtId="0" fontId="7" fillId="9" borderId="0" xfId="0" applyFont="1" applyFill="1" applyBorder="1" applyAlignment="1">
      <alignment horizontal="right"/>
    </xf>
    <xf numFmtId="1" fontId="0" fillId="0" borderId="33" xfId="0" applyNumberFormat="1" applyBorder="1" applyAlignment="1">
      <alignment horizontal="left"/>
    </xf>
    <xf numFmtId="9" fontId="0" fillId="0" borderId="33" xfId="11" applyFont="1" applyBorder="1" applyAlignment="1">
      <alignment horizontal="left"/>
    </xf>
    <xf numFmtId="0" fontId="2" fillId="13" borderId="0" xfId="0" applyFont="1" applyFill="1" applyAlignment="1">
      <alignment horizontal="center"/>
    </xf>
    <xf numFmtId="0" fontId="2" fillId="11" borderId="0" xfId="0" applyFont="1" applyFill="1" applyAlignment="1">
      <alignment horizontal="center"/>
    </xf>
    <xf numFmtId="0" fontId="2" fillId="13" borderId="0" xfId="0" applyFont="1" applyFill="1" applyBorder="1" applyAlignment="1">
      <alignment horizontal="center"/>
    </xf>
    <xf numFmtId="0" fontId="2" fillId="13" borderId="38" xfId="0" applyFont="1" applyFill="1" applyBorder="1" applyAlignment="1">
      <alignment horizontal="center"/>
    </xf>
    <xf numFmtId="0" fontId="6" fillId="20" borderId="0" xfId="0" applyFont="1" applyFill="1" applyBorder="1" applyAlignment="1">
      <alignment horizontal="center" vertical="center"/>
    </xf>
    <xf numFmtId="0" fontId="6" fillId="20" borderId="38" xfId="0" applyFont="1" applyFill="1" applyBorder="1" applyAlignment="1">
      <alignment horizontal="center" vertical="center"/>
    </xf>
    <xf numFmtId="0" fontId="57" fillId="24" borderId="76" xfId="0" applyFont="1" applyFill="1" applyBorder="1" applyAlignment="1">
      <alignment horizontal="center" wrapText="1"/>
    </xf>
    <xf numFmtId="0" fontId="57" fillId="24" borderId="73" xfId="0" applyFont="1" applyFill="1" applyBorder="1" applyAlignment="1">
      <alignment horizontal="center" wrapText="1"/>
    </xf>
    <xf numFmtId="0" fontId="57" fillId="24" borderId="75" xfId="0" applyFont="1" applyFill="1" applyBorder="1" applyAlignment="1">
      <alignment horizontal="center" wrapText="1"/>
    </xf>
    <xf numFmtId="0" fontId="57" fillId="29" borderId="72" xfId="0" applyFont="1" applyFill="1" applyBorder="1" applyAlignment="1">
      <alignment horizontal="center" vertical="center" wrapText="1"/>
    </xf>
    <xf numFmtId="0" fontId="57" fillId="29" borderId="73" xfId="0" applyFont="1" applyFill="1" applyBorder="1" applyAlignment="1">
      <alignment horizontal="center" vertical="center" wrapText="1"/>
    </xf>
    <xf numFmtId="0" fontId="57" fillId="25" borderId="83" xfId="0" applyFont="1" applyFill="1" applyBorder="1" applyAlignment="1">
      <alignment horizontal="center" vertical="center" wrapText="1"/>
    </xf>
    <xf numFmtId="0" fontId="57" fillId="25" borderId="73" xfId="0" applyFont="1" applyFill="1" applyBorder="1" applyAlignment="1">
      <alignment horizontal="center" vertical="center" wrapText="1"/>
    </xf>
    <xf numFmtId="0" fontId="57" fillId="25" borderId="75" xfId="0" applyFont="1" applyFill="1" applyBorder="1" applyAlignment="1">
      <alignment horizontal="center" vertical="center" wrapText="1"/>
    </xf>
    <xf numFmtId="0" fontId="57" fillId="28" borderId="76" xfId="0" applyFont="1" applyFill="1" applyBorder="1" applyAlignment="1">
      <alignment horizontal="center" vertical="center" wrapText="1"/>
    </xf>
    <xf numFmtId="0" fontId="57" fillId="28" borderId="73" xfId="0" applyFont="1" applyFill="1" applyBorder="1" applyAlignment="1">
      <alignment horizontal="center" vertical="center" wrapText="1"/>
    </xf>
    <xf numFmtId="0" fontId="57" fillId="28" borderId="75" xfId="0" applyFont="1" applyFill="1" applyBorder="1" applyAlignment="1">
      <alignment horizontal="center" vertical="center" wrapText="1"/>
    </xf>
    <xf numFmtId="0" fontId="57" fillId="38" borderId="72" xfId="0" quotePrefix="1" applyFont="1" applyFill="1" applyBorder="1" applyAlignment="1">
      <alignment horizontal="center" vertical="center" wrapText="1"/>
    </xf>
    <xf numFmtId="0" fontId="57" fillId="38" borderId="73" xfId="0" quotePrefix="1" applyFont="1" applyFill="1" applyBorder="1" applyAlignment="1">
      <alignment horizontal="center" vertical="center" wrapText="1"/>
    </xf>
    <xf numFmtId="0" fontId="57" fillId="38" borderId="127" xfId="0" quotePrefix="1" applyFont="1" applyFill="1" applyBorder="1" applyAlignment="1">
      <alignment horizontal="center" vertical="center" wrapText="1"/>
    </xf>
    <xf numFmtId="0" fontId="57" fillId="37" borderId="94" xfId="0" applyFont="1" applyFill="1" applyBorder="1" applyAlignment="1">
      <alignment horizontal="center" wrapText="1"/>
    </xf>
    <xf numFmtId="0" fontId="57" fillId="6" borderId="73" xfId="0" applyFont="1" applyFill="1" applyBorder="1" applyAlignment="1">
      <alignment horizontal="center" vertical="center" wrapText="1"/>
    </xf>
    <xf numFmtId="0" fontId="57" fillId="6" borderId="86" xfId="0" applyFont="1" applyFill="1" applyBorder="1" applyAlignment="1">
      <alignment horizontal="center" vertical="center" wrapText="1"/>
    </xf>
    <xf numFmtId="0" fontId="57" fillId="37" borderId="73" xfId="0" applyFont="1" applyFill="1" applyBorder="1" applyAlignment="1">
      <alignment horizontal="center" wrapText="1"/>
    </xf>
    <xf numFmtId="0" fontId="59" fillId="6" borderId="66" xfId="0" applyFont="1" applyFill="1" applyBorder="1" applyAlignment="1">
      <alignment horizontal="center" vertical="center" wrapText="1"/>
    </xf>
    <xf numFmtId="0" fontId="59" fillId="6" borderId="67" xfId="0" applyFont="1" applyFill="1" applyBorder="1" applyAlignment="1">
      <alignment horizontal="center" vertical="center" wrapText="1"/>
    </xf>
    <xf numFmtId="0" fontId="58" fillId="32" borderId="70" xfId="0" applyFont="1" applyFill="1" applyBorder="1" applyAlignment="1">
      <alignment horizontal="center" vertical="center" wrapText="1"/>
    </xf>
    <xf numFmtId="0" fontId="58" fillId="32" borderId="71" xfId="0" applyFont="1" applyFill="1" applyBorder="1" applyAlignment="1">
      <alignment horizontal="center" vertical="center" wrapText="1"/>
    </xf>
    <xf numFmtId="0" fontId="58" fillId="27" borderId="69" xfId="0" applyFont="1" applyFill="1" applyBorder="1" applyAlignment="1">
      <alignment horizontal="center" vertical="center" wrapText="1"/>
    </xf>
    <xf numFmtId="0" fontId="58" fillId="27" borderId="70" xfId="0" applyFont="1" applyFill="1" applyBorder="1" applyAlignment="1">
      <alignment horizontal="center" vertical="center" wrapText="1"/>
    </xf>
    <xf numFmtId="0" fontId="58" fillId="27" borderId="71" xfId="0" applyFont="1" applyFill="1" applyBorder="1" applyAlignment="1">
      <alignment horizontal="center" vertical="center" wrapText="1"/>
    </xf>
    <xf numFmtId="0" fontId="59" fillId="22" borderId="69" xfId="0" applyFont="1" applyFill="1" applyBorder="1" applyAlignment="1">
      <alignment horizontal="center" vertical="center" wrapText="1"/>
    </xf>
    <xf numFmtId="0" fontId="59" fillId="22" borderId="71" xfId="0" applyFont="1" applyFill="1" applyBorder="1" applyAlignment="1">
      <alignment horizontal="center" vertical="center" wrapText="1"/>
    </xf>
    <xf numFmtId="0" fontId="58" fillId="27" borderId="67" xfId="0" applyFont="1" applyFill="1" applyBorder="1" applyAlignment="1">
      <alignment horizontal="center" vertical="center" wrapText="1"/>
    </xf>
    <xf numFmtId="0" fontId="58" fillId="27" borderId="68" xfId="0" applyFont="1" applyFill="1" applyBorder="1" applyAlignment="1">
      <alignment horizontal="center" vertical="center" wrapText="1"/>
    </xf>
    <xf numFmtId="0" fontId="58" fillId="33" borderId="69" xfId="0" applyFont="1" applyFill="1" applyBorder="1" applyAlignment="1">
      <alignment horizontal="center" vertical="center"/>
    </xf>
    <xf numFmtId="0" fontId="58" fillId="33" borderId="70" xfId="0" applyFont="1" applyFill="1" applyBorder="1" applyAlignment="1">
      <alignment horizontal="center" vertical="center"/>
    </xf>
    <xf numFmtId="0" fontId="58" fillId="4" borderId="129" xfId="0" applyFont="1" applyFill="1" applyBorder="1" applyAlignment="1">
      <alignment horizontal="center" vertical="center"/>
    </xf>
    <xf numFmtId="0" fontId="58" fillId="4" borderId="67" xfId="0" applyFont="1" applyFill="1" applyBorder="1" applyAlignment="1">
      <alignment horizontal="center" vertical="center"/>
    </xf>
    <xf numFmtId="0" fontId="58" fillId="4" borderId="68" xfId="0" applyFont="1" applyFill="1" applyBorder="1" applyAlignment="1">
      <alignment horizontal="center" vertical="center"/>
    </xf>
    <xf numFmtId="0" fontId="58" fillId="39" borderId="66" xfId="0" applyFont="1" applyFill="1" applyBorder="1" applyAlignment="1">
      <alignment horizontal="center" vertical="center"/>
    </xf>
    <xf numFmtId="0" fontId="58" fillId="39" borderId="67" xfId="0" applyFont="1" applyFill="1" applyBorder="1" applyAlignment="1">
      <alignment horizontal="center" vertical="center"/>
    </xf>
    <xf numFmtId="0" fontId="58" fillId="9" borderId="67" xfId="0" applyFont="1" applyFill="1" applyBorder="1" applyAlignment="1">
      <alignment horizontal="center" vertical="center" wrapText="1"/>
    </xf>
    <xf numFmtId="0" fontId="58" fillId="9" borderId="121" xfId="0" applyFont="1" applyFill="1" applyBorder="1" applyAlignment="1">
      <alignment horizontal="center" vertical="center" wrapText="1"/>
    </xf>
    <xf numFmtId="0" fontId="22" fillId="34" borderId="0" xfId="12" applyFont="1" applyFill="1" applyAlignment="1">
      <alignment horizontal="center"/>
    </xf>
    <xf numFmtId="0" fontId="22" fillId="25" borderId="0" xfId="12" applyFont="1" applyFill="1" applyAlignment="1">
      <alignment horizontal="center"/>
    </xf>
    <xf numFmtId="0" fontId="22" fillId="0" borderId="0" xfId="12" applyFont="1" applyAlignment="1">
      <alignment horizontal="center"/>
    </xf>
    <xf numFmtId="0" fontId="0" fillId="0" borderId="13" xfId="0"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5" fillId="0" borderId="13"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vertical="center"/>
    </xf>
    <xf numFmtId="0" fontId="2" fillId="7" borderId="0" xfId="0" applyFont="1" applyFill="1" applyAlignment="1">
      <alignment horizontal="left"/>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9" xfId="0" applyFont="1" applyFill="1" applyBorder="1" applyAlignment="1">
      <alignment vertical="center"/>
    </xf>
    <xf numFmtId="0" fontId="2" fillId="7" borderId="0" xfId="0" applyFont="1" applyFill="1" applyAlignment="1">
      <alignment horizontal="center"/>
    </xf>
    <xf numFmtId="0" fontId="2" fillId="7" borderId="0" xfId="0" applyFont="1" applyFill="1" applyAlignment="1">
      <alignment horizontal="right"/>
    </xf>
    <xf numFmtId="9" fontId="2" fillId="7" borderId="0" xfId="11" applyFont="1" applyFill="1" applyAlignment="1">
      <alignment horizontal="right"/>
    </xf>
    <xf numFmtId="0" fontId="2" fillId="7" borderId="0" xfId="0" applyFont="1" applyFill="1" applyAlignment="1">
      <alignment horizontal="center" wrapText="1"/>
    </xf>
    <xf numFmtId="1" fontId="2" fillId="7" borderId="0" xfId="11" applyNumberFormat="1" applyFont="1" applyFill="1" applyAlignment="1">
      <alignment horizontal="right"/>
    </xf>
    <xf numFmtId="0" fontId="2" fillId="3" borderId="9" xfId="0" applyFont="1" applyFill="1" applyBorder="1" applyAlignment="1">
      <alignment horizontal="center" wrapText="1"/>
    </xf>
    <xf numFmtId="0" fontId="58" fillId="6" borderId="66" xfId="0" applyFont="1" applyFill="1" applyBorder="1" applyAlignment="1">
      <alignment horizontal="center" vertical="center" wrapText="1"/>
    </xf>
    <xf numFmtId="0" fontId="58" fillId="6" borderId="67" xfId="0" applyFont="1" applyFill="1" applyBorder="1" applyAlignment="1">
      <alignment horizontal="center" vertical="center" wrapText="1"/>
    </xf>
    <xf numFmtId="0" fontId="58" fillId="6" borderId="68" xfId="0" applyFont="1" applyFill="1" applyBorder="1" applyAlignment="1">
      <alignment horizontal="center" vertical="center" wrapText="1"/>
    </xf>
    <xf numFmtId="0" fontId="58" fillId="4" borderId="69" xfId="0" applyFont="1" applyFill="1" applyBorder="1" applyAlignment="1">
      <alignment horizontal="center" vertical="center"/>
    </xf>
    <xf numFmtId="0" fontId="58" fillId="4" borderId="70" xfId="0" applyFont="1" applyFill="1" applyBorder="1" applyAlignment="1">
      <alignment horizontal="center" vertical="center"/>
    </xf>
    <xf numFmtId="0" fontId="58" fillId="4" borderId="71" xfId="0" applyFont="1" applyFill="1" applyBorder="1" applyAlignment="1">
      <alignment horizontal="center" vertical="center"/>
    </xf>
    <xf numFmtId="0" fontId="58" fillId="27" borderId="7" xfId="0" applyFont="1" applyFill="1" applyBorder="1" applyAlignment="1">
      <alignment horizontal="center" vertical="center" wrapText="1"/>
    </xf>
    <xf numFmtId="0" fontId="58" fillId="27" borderId="4" xfId="0" applyFont="1" applyFill="1" applyBorder="1" applyAlignment="1">
      <alignment horizontal="center" vertical="center" wrapText="1"/>
    </xf>
    <xf numFmtId="0" fontId="58" fillId="27" borderId="8" xfId="0" applyFont="1" applyFill="1" applyBorder="1" applyAlignment="1">
      <alignment horizontal="center" vertical="center" wrapText="1"/>
    </xf>
    <xf numFmtId="0" fontId="57" fillId="29" borderId="72" xfId="0" quotePrefix="1" applyFont="1" applyFill="1" applyBorder="1" applyAlignment="1">
      <alignment horizontal="center" vertical="center" wrapText="1"/>
    </xf>
    <xf numFmtId="0" fontId="57" fillId="29" borderId="73" xfId="0" quotePrefix="1" applyFont="1" applyFill="1" applyBorder="1" applyAlignment="1">
      <alignment horizontal="center" vertical="center" wrapText="1"/>
    </xf>
    <xf numFmtId="0" fontId="57" fillId="30" borderId="94" xfId="0" applyFont="1" applyFill="1" applyBorder="1" applyAlignment="1">
      <alignment horizontal="center" wrapText="1"/>
    </xf>
    <xf numFmtId="0" fontId="57" fillId="30" borderId="73" xfId="0" applyFont="1" applyFill="1" applyBorder="1" applyAlignment="1">
      <alignment horizontal="center" wrapText="1"/>
    </xf>
    <xf numFmtId="0" fontId="57" fillId="29" borderId="127" xfId="0" quotePrefix="1" applyFont="1" applyFill="1" applyBorder="1" applyAlignment="1">
      <alignment horizontal="center" vertical="center" wrapText="1"/>
    </xf>
    <xf numFmtId="0" fontId="58" fillId="5" borderId="137" xfId="0" applyFont="1" applyFill="1" applyBorder="1" applyAlignment="1">
      <alignment horizontal="center" vertical="center" wrapText="1"/>
    </xf>
    <xf numFmtId="0" fontId="58" fillId="5" borderId="82" xfId="0" applyFont="1" applyFill="1" applyBorder="1" applyAlignment="1">
      <alignment horizontal="center" vertical="center" wrapText="1"/>
    </xf>
    <xf numFmtId="0" fontId="58" fillId="5" borderId="85" xfId="0" applyFont="1" applyFill="1" applyBorder="1" applyAlignment="1">
      <alignment horizontal="center" vertical="center" wrapText="1"/>
    </xf>
    <xf numFmtId="0" fontId="58" fillId="33" borderId="67" xfId="0" applyFont="1" applyFill="1" applyBorder="1" applyAlignment="1">
      <alignment horizontal="center" vertical="center"/>
    </xf>
    <xf numFmtId="0" fontId="24" fillId="15" borderId="0" xfId="0" applyFont="1" applyFill="1" applyAlignment="1">
      <alignment horizontal="center"/>
    </xf>
  </cellXfs>
  <cellStyles count="20">
    <cellStyle name="Comma" xfId="14" builtinId="3"/>
    <cellStyle name="Comma 2" xfId="1"/>
    <cellStyle name="Comma 2 2" xfId="2"/>
    <cellStyle name="Comma 3" xfId="3"/>
    <cellStyle name="Currency 2" xfId="4"/>
    <cellStyle name="Currency 3" xfId="5"/>
    <cellStyle name="Heading 1" xfId="16" builtinId="16"/>
    <cellStyle name="Heading 2" xfId="15" builtinId="17"/>
    <cellStyle name="Heading 3" xfId="17" builtinId="18"/>
    <cellStyle name="Heading 4" xfId="18" builtinId="19"/>
    <cellStyle name="Hyperlink" xfId="13" builtinId="8"/>
    <cellStyle name="Normal" xfId="0" builtinId="0"/>
    <cellStyle name="Normal 2" xfId="6"/>
    <cellStyle name="Normal 3" xfId="7"/>
    <cellStyle name="Normal 4" xfId="12"/>
    <cellStyle name="Normal 4 2" xfId="19"/>
    <cellStyle name="Percent" xfId="11" builtinId="5"/>
    <cellStyle name="Percent 2" xfId="8"/>
    <cellStyle name="Percent 2 2" xfId="9"/>
    <cellStyle name="Percent 3" xfId="10"/>
  </cellStyles>
  <dxfs count="36">
    <dxf>
      <numFmt numFmtId="1" formatCode="0"/>
    </dxf>
    <dxf>
      <fill>
        <patternFill>
          <bgColor theme="5" tint="0.59996337778862885"/>
        </patternFill>
      </fill>
    </dxf>
    <dxf>
      <fill>
        <patternFill>
          <bgColor theme="4" tint="0.59996337778862885"/>
        </patternFill>
      </fill>
    </dxf>
    <dxf>
      <font>
        <color theme="0" tint="-0.24994659260841701"/>
      </font>
      <fill>
        <patternFill>
          <bgColor theme="0"/>
        </patternFill>
      </fill>
    </dxf>
    <dxf>
      <font>
        <color theme="0" tint="-0.24994659260841701"/>
      </font>
      <fill>
        <patternFill>
          <bgColor theme="0"/>
        </patternFill>
      </fill>
    </dxf>
    <dxf>
      <font>
        <color theme="0" tint="-0.24994659260841701"/>
      </font>
      <fill>
        <patternFill>
          <bgColor theme="0"/>
        </patternFill>
      </fill>
    </dxf>
    <dxf>
      <font>
        <color theme="0" tint="-0.24994659260841701"/>
      </font>
      <fill>
        <patternFill>
          <bgColor theme="0"/>
        </patternFill>
      </fill>
    </dxf>
    <dxf>
      <font>
        <color theme="0" tint="-0.34998626667073579"/>
      </font>
    </dxf>
    <dxf>
      <font>
        <color theme="0" tint="-0.34998626667073579"/>
      </font>
    </dxf>
    <dxf>
      <font>
        <color theme="2" tint="-0.24994659260841701"/>
      </font>
      <fill>
        <patternFill>
          <bgColor theme="0"/>
        </patternFill>
      </fill>
    </dxf>
    <dxf>
      <font>
        <color rgb="FFEEB500"/>
      </font>
      <fill>
        <patternFill>
          <bgColor theme="8"/>
        </patternFill>
      </fill>
    </dxf>
    <dxf>
      <fill>
        <patternFill>
          <bgColor theme="9"/>
        </patternFill>
      </fill>
    </dxf>
    <dxf>
      <fill>
        <patternFill>
          <bgColor rgb="FF009999"/>
        </patternFill>
      </fill>
    </dxf>
    <dxf>
      <font>
        <color theme="0" tint="-0.24994659260841701"/>
      </font>
      <fill>
        <patternFill>
          <bgColor theme="0"/>
        </patternFill>
      </fill>
    </dxf>
    <dxf>
      <font>
        <color theme="0" tint="-0.34998626667073579"/>
      </font>
    </dxf>
    <dxf>
      <font>
        <color auto="1"/>
      </font>
      <fill>
        <patternFill>
          <bgColor theme="8"/>
        </patternFill>
      </fill>
    </dxf>
    <dxf>
      <fill>
        <patternFill>
          <bgColor theme="9"/>
        </patternFill>
      </fill>
    </dxf>
    <dxf>
      <fill>
        <patternFill>
          <bgColor rgb="FF009999"/>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4" tint="0.59996337778862885"/>
        </patternFill>
      </fill>
    </dxf>
    <dxf>
      <fill>
        <patternFill>
          <bgColor theme="5" tint="0.59996337778862885"/>
        </patternFill>
      </fill>
    </dxf>
    <dxf>
      <font>
        <color theme="2" tint="-0.24994659260841701"/>
      </font>
      <fill>
        <patternFill>
          <bgColor theme="0"/>
        </patternFill>
      </fill>
    </dxf>
    <dxf>
      <fill>
        <patternFill>
          <bgColor theme="4" tint="0.59996337778862885"/>
        </patternFill>
      </fill>
    </dxf>
    <dxf>
      <fill>
        <patternFill>
          <bgColor theme="5" tint="0.59996337778862885"/>
        </patternFill>
      </fill>
    </dxf>
    <dxf>
      <font>
        <color theme="8"/>
      </font>
    </dxf>
    <dxf>
      <font>
        <color theme="8"/>
      </font>
    </dxf>
    <dxf>
      <font>
        <color theme="0" tint="-0.14996795556505021"/>
      </font>
    </dxf>
    <dxf>
      <font>
        <color theme="0"/>
      </font>
    </dxf>
    <dxf>
      <font>
        <color theme="0" tint="-0.14996795556505021"/>
      </font>
    </dxf>
    <dxf>
      <font>
        <color theme="0"/>
      </font>
    </dxf>
    <dxf>
      <fill>
        <patternFill>
          <bgColor theme="0" tint="-0.14996795556505021"/>
        </patternFill>
      </fill>
    </dxf>
    <dxf>
      <font>
        <color theme="0" tint="-0.14996795556505021"/>
      </font>
    </dxf>
    <dxf>
      <fill>
        <patternFill>
          <bgColor theme="0" tint="-0.14996795556505021"/>
        </patternFill>
      </fill>
    </dxf>
    <dxf>
      <font>
        <color theme="0"/>
      </font>
    </dxf>
  </dxfs>
  <tableStyles count="0" defaultTableStyle="TableStyleMedium9" defaultPivotStyle="PivotStyleLight16"/>
  <colors>
    <mruColors>
      <color rgb="FFFF3300"/>
      <color rgb="FF0563C1"/>
      <color rgb="FFEEB500"/>
      <color rgb="FFC495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83783772991459"/>
          <c:y val="6.1275796407801945E-2"/>
          <c:w val="0.48816538917117447"/>
          <c:h val="0.81237198291390045"/>
        </c:manualLayout>
      </c:layout>
      <c:barChart>
        <c:barDir val="col"/>
        <c:grouping val="percentStacked"/>
        <c:varyColors val="0"/>
        <c:ser>
          <c:idx val="0"/>
          <c:order val="0"/>
          <c:tx>
            <c:strRef>
              <c:f>'Category Data'!$A$5</c:f>
              <c:strCache>
                <c:ptCount val="1"/>
                <c:pt idx="0">
                  <c:v>Water Heating</c:v>
                </c:pt>
              </c:strCache>
            </c:strRef>
          </c:tx>
          <c:spPr>
            <a:solidFill>
              <a:schemeClr val="accent1"/>
            </a:solidFill>
            <a:ln>
              <a:noFill/>
            </a:ln>
            <a:effectLst/>
          </c:spPr>
          <c:invertIfNegative val="0"/>
          <c:dLbls>
            <c:delete val="1"/>
          </c:dLbls>
          <c:cat>
            <c:numRef>
              <c:f>('Category Data'!$C$4,'Category Data'!$E$4,'Category Data'!$G$4)</c:f>
              <c:numCache>
                <c:formatCode>General</c:formatCode>
                <c:ptCount val="3"/>
                <c:pt idx="0">
                  <c:v>2009</c:v>
                </c:pt>
                <c:pt idx="1">
                  <c:v>2005</c:v>
                </c:pt>
                <c:pt idx="2">
                  <c:v>2001</c:v>
                </c:pt>
              </c:numCache>
            </c:numRef>
          </c:cat>
          <c:val>
            <c:numRef>
              <c:f>('Category Data'!$C$5,'Category Data'!$E$5,'Category Data'!$G$5)</c:f>
              <c:numCache>
                <c:formatCode>0%</c:formatCode>
                <c:ptCount val="3"/>
                <c:pt idx="0">
                  <c:v>3.1358885017421602E-2</c:v>
                </c:pt>
                <c:pt idx="1">
                  <c:v>3.5714285714285712E-2</c:v>
                </c:pt>
                <c:pt idx="2">
                  <c:v>0.04</c:v>
                </c:pt>
              </c:numCache>
            </c:numRef>
          </c:val>
        </c:ser>
        <c:ser>
          <c:idx val="1"/>
          <c:order val="1"/>
          <c:tx>
            <c:strRef>
              <c:f>'Category Data'!$A$6</c:f>
              <c:strCache>
                <c:ptCount val="1"/>
                <c:pt idx="0">
                  <c:v>Space Heating</c:v>
                </c:pt>
              </c:strCache>
            </c:strRef>
          </c:tx>
          <c:spPr>
            <a:solidFill>
              <a:schemeClr val="accent2"/>
            </a:solidFill>
            <a:ln>
              <a:noFill/>
            </a:ln>
            <a:effectLst/>
          </c:spPr>
          <c:invertIfNegative val="0"/>
          <c:dLbls>
            <c:dLbl>
              <c:idx val="1"/>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Data'!$C$6,'Category Data'!$E$6,'Category Data'!$G$6)</c:f>
              <c:numCache>
                <c:formatCode>0%</c:formatCode>
                <c:ptCount val="3"/>
                <c:pt idx="0">
                  <c:v>5.9233449477351922E-2</c:v>
                </c:pt>
                <c:pt idx="1">
                  <c:v>3.5714285714285712E-2</c:v>
                </c:pt>
                <c:pt idx="2">
                  <c:v>0.08</c:v>
                </c:pt>
              </c:numCache>
            </c:numRef>
          </c:val>
        </c:ser>
        <c:ser>
          <c:idx val="2"/>
          <c:order val="2"/>
          <c:tx>
            <c:strRef>
              <c:f>'Category Data'!$A$7</c:f>
              <c:strCache>
                <c:ptCount val="1"/>
                <c:pt idx="0">
                  <c:v>Air Conditioning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Data'!$C$7,'Category Data'!$E$7,'Category Data'!$G$7)</c:f>
              <c:numCache>
                <c:formatCode>0%</c:formatCode>
                <c:ptCount val="3"/>
                <c:pt idx="0">
                  <c:v>0.10452961672473868</c:v>
                </c:pt>
                <c:pt idx="1">
                  <c:v>0.10714285714285712</c:v>
                </c:pt>
                <c:pt idx="2">
                  <c:v>0.08</c:v>
                </c:pt>
              </c:numCache>
            </c:numRef>
          </c:val>
        </c:ser>
        <c:ser>
          <c:idx val="3"/>
          <c:order val="3"/>
          <c:tx>
            <c:strRef>
              <c:f>'Category Data'!$A$8</c:f>
              <c:strCache>
                <c:ptCount val="1"/>
                <c:pt idx="0">
                  <c:v>Refrigerators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Data'!$C$8,'Category Data'!$E$8,'Category Data'!$G$8)</c:f>
              <c:numCache>
                <c:formatCode>0%</c:formatCode>
                <c:ptCount val="3"/>
                <c:pt idx="0">
                  <c:v>0.15331010452961671</c:v>
                </c:pt>
                <c:pt idx="1">
                  <c:v>0.14285714285714285</c:v>
                </c:pt>
                <c:pt idx="2">
                  <c:v>0.16</c:v>
                </c:pt>
              </c:numCache>
            </c:numRef>
          </c:val>
        </c:ser>
        <c:ser>
          <c:idx val="4"/>
          <c:order val="4"/>
          <c:tx>
            <c:strRef>
              <c:f>'Category Data'!$A$9</c:f>
              <c:strCache>
                <c:ptCount val="1"/>
                <c:pt idx="0">
                  <c:v>Other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Data'!$C$4,'Category Data'!$E$4,'Category Data'!$G$4)</c:f>
              <c:numCache>
                <c:formatCode>General</c:formatCode>
                <c:ptCount val="3"/>
                <c:pt idx="0">
                  <c:v>2009</c:v>
                </c:pt>
                <c:pt idx="1">
                  <c:v>2005</c:v>
                </c:pt>
                <c:pt idx="2">
                  <c:v>2001</c:v>
                </c:pt>
              </c:numCache>
            </c:numRef>
          </c:cat>
          <c:val>
            <c:numRef>
              <c:f>('Category Data'!$C$9,'Category Data'!$E$9,'Category Data'!$G$9)</c:f>
              <c:numCache>
                <c:formatCode>0%</c:formatCode>
                <c:ptCount val="3"/>
                <c:pt idx="0">
                  <c:v>0.65156794425087117</c:v>
                </c:pt>
                <c:pt idx="1">
                  <c:v>0.67857142857142849</c:v>
                </c:pt>
                <c:pt idx="2">
                  <c:v>0.64</c:v>
                </c:pt>
              </c:numCache>
            </c:numRef>
          </c:val>
        </c:ser>
        <c:dLbls>
          <c:showLegendKey val="0"/>
          <c:showVal val="1"/>
          <c:showCatName val="0"/>
          <c:showSerName val="0"/>
          <c:showPercent val="0"/>
          <c:showBubbleSize val="0"/>
        </c:dLbls>
        <c:gapWidth val="66"/>
        <c:overlap val="100"/>
        <c:axId val="153201088"/>
        <c:axId val="153201648"/>
      </c:barChart>
      <c:catAx>
        <c:axId val="15320108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01648"/>
        <c:crosses val="autoZero"/>
        <c:auto val="1"/>
        <c:lblAlgn val="ctr"/>
        <c:lblOffset val="100"/>
        <c:noMultiLvlLbl val="0"/>
      </c:catAx>
      <c:valAx>
        <c:axId val="1532016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01088"/>
        <c:crosses val="max"/>
        <c:crossBetween val="between"/>
        <c:majorUnit val="1"/>
      </c:valAx>
      <c:spPr>
        <a:noFill/>
        <a:ln>
          <a:noFill/>
        </a:ln>
        <a:effectLst/>
      </c:spPr>
    </c:plotArea>
    <c:legend>
      <c:legendPos val="r"/>
      <c:layout>
        <c:manualLayout>
          <c:xMode val="edge"/>
          <c:yMode val="edge"/>
          <c:x val="0.61486419959362815"/>
          <c:y val="0.12213730636611603"/>
          <c:w val="0.35671662275742116"/>
          <c:h val="0.755725387267767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6873263182527"/>
          <c:y val="6.4679292539412972E-2"/>
          <c:w val="0.49716449011855363"/>
          <c:h val="0.8089684867822895"/>
        </c:manualLayout>
      </c:layout>
      <c:barChart>
        <c:barDir val="col"/>
        <c:grouping val="percentStacked"/>
        <c:varyColors val="0"/>
        <c:ser>
          <c:idx val="0"/>
          <c:order val="0"/>
          <c:tx>
            <c:strRef>
              <c:f>'Category Data'!$I$5</c:f>
              <c:strCache>
                <c:ptCount val="1"/>
                <c:pt idx="0">
                  <c:v>Water Heating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Data'!$K$4,'Category Data'!$M$4,'Category Data'!$O$4)</c:f>
              <c:numCache>
                <c:formatCode>General</c:formatCode>
                <c:ptCount val="3"/>
                <c:pt idx="0">
                  <c:v>2009</c:v>
                </c:pt>
                <c:pt idx="1">
                  <c:v>2005</c:v>
                </c:pt>
                <c:pt idx="2">
                  <c:v>2001</c:v>
                </c:pt>
              </c:numCache>
            </c:numRef>
          </c:cat>
          <c:val>
            <c:numRef>
              <c:f>('Category Data'!$K$5,'Category Data'!$M$5,'Category Data'!$O$5)</c:f>
              <c:numCache>
                <c:formatCode>0%</c:formatCode>
                <c:ptCount val="3"/>
                <c:pt idx="0">
                  <c:v>0.39407744874715261</c:v>
                </c:pt>
                <c:pt idx="1">
                  <c:v>0.51020408163265307</c:v>
                </c:pt>
                <c:pt idx="2">
                  <c:v>0.36734693877551017</c:v>
                </c:pt>
              </c:numCache>
            </c:numRef>
          </c:val>
        </c:ser>
        <c:ser>
          <c:idx val="1"/>
          <c:order val="1"/>
          <c:tx>
            <c:strRef>
              <c:f>'Category Data'!$I$6</c:f>
              <c:strCache>
                <c:ptCount val="1"/>
                <c:pt idx="0">
                  <c:v>Space Heating</c:v>
                </c:pt>
              </c:strCache>
            </c:strRef>
          </c:tx>
          <c:spPr>
            <a:solidFill>
              <a:schemeClr val="accent2"/>
            </a:solidFill>
            <a:ln>
              <a:noFill/>
            </a:ln>
            <a:effectLst/>
          </c:spPr>
          <c:invertIfNegative val="0"/>
          <c:dLbls>
            <c:dLbl>
              <c:idx val="1"/>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Data'!$K$4,'Category Data'!$M$4,'Category Data'!$O$4)</c:f>
              <c:numCache>
                <c:formatCode>General</c:formatCode>
                <c:ptCount val="3"/>
                <c:pt idx="0">
                  <c:v>2009</c:v>
                </c:pt>
                <c:pt idx="1">
                  <c:v>2005</c:v>
                </c:pt>
                <c:pt idx="2">
                  <c:v>2001</c:v>
                </c:pt>
              </c:numCache>
            </c:numRef>
          </c:cat>
          <c:val>
            <c:numRef>
              <c:f>('Category Data'!$K$6,'Category Data'!$M$6,'Category Data'!$O$6)</c:f>
              <c:numCache>
                <c:formatCode>0%</c:formatCode>
                <c:ptCount val="3"/>
                <c:pt idx="0">
                  <c:v>0.38724373576309795</c:v>
                </c:pt>
                <c:pt idx="1">
                  <c:v>0.28571428571428575</c:v>
                </c:pt>
                <c:pt idx="2">
                  <c:v>0.46938775510204078</c:v>
                </c:pt>
              </c:numCache>
            </c:numRef>
          </c:val>
        </c:ser>
        <c:ser>
          <c:idx val="4"/>
          <c:order val="4"/>
          <c:tx>
            <c:strRef>
              <c:f>'Category Data'!$I$9</c:f>
              <c:strCache>
                <c:ptCount val="1"/>
                <c:pt idx="0">
                  <c:v>Other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('Category Data'!$K$4,'Category Data'!$M$4,'Category Data'!$O$4)</c:f>
              <c:numCache>
                <c:formatCode>General</c:formatCode>
                <c:ptCount val="3"/>
                <c:pt idx="0">
                  <c:v>2009</c:v>
                </c:pt>
                <c:pt idx="1">
                  <c:v>2005</c:v>
                </c:pt>
                <c:pt idx="2">
                  <c:v>2001</c:v>
                </c:pt>
              </c:numCache>
            </c:numRef>
          </c:cat>
          <c:val>
            <c:numRef>
              <c:f>('Category Data'!$K$9,'Category Data'!$M$9,'Category Data'!$O$9)</c:f>
              <c:numCache>
                <c:formatCode>0%</c:formatCode>
                <c:ptCount val="3"/>
                <c:pt idx="0">
                  <c:v>0.21867881548974943</c:v>
                </c:pt>
                <c:pt idx="1">
                  <c:v>0.20408163265306123</c:v>
                </c:pt>
                <c:pt idx="2">
                  <c:v>0.16326530612244897</c:v>
                </c:pt>
              </c:numCache>
            </c:numRef>
          </c:val>
        </c:ser>
        <c:dLbls>
          <c:showLegendKey val="0"/>
          <c:showVal val="1"/>
          <c:showCatName val="0"/>
          <c:showSerName val="0"/>
          <c:showPercent val="0"/>
          <c:showBubbleSize val="0"/>
        </c:dLbls>
        <c:gapWidth val="66"/>
        <c:overlap val="100"/>
        <c:axId val="272564464"/>
        <c:axId val="272565024"/>
        <c:extLst>
          <c:ext xmlns:c15="http://schemas.microsoft.com/office/drawing/2012/chart" uri="{02D57815-91ED-43cb-92C2-25804820EDAC}">
            <c15:filteredBarSeries>
              <c15:ser>
                <c:idx val="2"/>
                <c:order val="2"/>
                <c:tx>
                  <c:strRef>
                    <c:extLst>
                      <c:ext uri="{02D57815-91ED-43cb-92C2-25804820EDAC}">
                        <c15:formulaRef>
                          <c15:sqref>'Category Data'!$I$7</c15:sqref>
                        </c15:formulaRef>
                      </c:ext>
                    </c:extLst>
                    <c:strCache>
                      <c:ptCount val="1"/>
                      <c:pt idx="0">
                        <c:v>Air Conditioning</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('Category Data'!$K$4,'Category Data'!$M$4,'Category Data'!$O$4)</c15:sqref>
                        </c15:formulaRef>
                      </c:ext>
                    </c:extLst>
                    <c:numCache>
                      <c:formatCode>General</c:formatCode>
                      <c:ptCount val="3"/>
                      <c:pt idx="0">
                        <c:v>2009</c:v>
                      </c:pt>
                      <c:pt idx="1">
                        <c:v>2005</c:v>
                      </c:pt>
                      <c:pt idx="2">
                        <c:v>2001</c:v>
                      </c:pt>
                    </c:numCache>
                  </c:numRef>
                </c:cat>
                <c:val>
                  <c:numRef>
                    <c:extLst>
                      <c:ext uri="{02D57815-91ED-43cb-92C2-25804820EDAC}">
                        <c15:formulaRef>
                          <c15:sqref>('Category Data'!$K$7,'Category Data'!$M$7,'Category Data'!$O$7)</c15:sqref>
                        </c15:formulaRef>
                      </c:ext>
                    </c:extLst>
                    <c:numCache>
                      <c:formatCode>General</c:formatCode>
                      <c:ptCount val="3"/>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'Category Data'!$I$8</c15:sqref>
                        </c15:formulaRef>
                      </c:ext>
                    </c:extLst>
                    <c:strCache>
                      <c:ptCount val="1"/>
                      <c:pt idx="0">
                        <c:v>Refrigerators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('Category Data'!$K$4,'Category Data'!$M$4,'Category Data'!$O$4)</c15:sqref>
                        </c15:formulaRef>
                      </c:ext>
                    </c:extLst>
                    <c:numCache>
                      <c:formatCode>General</c:formatCode>
                      <c:ptCount val="3"/>
                      <c:pt idx="0">
                        <c:v>2009</c:v>
                      </c:pt>
                      <c:pt idx="1">
                        <c:v>2005</c:v>
                      </c:pt>
                      <c:pt idx="2">
                        <c:v>2001</c:v>
                      </c:pt>
                    </c:numCache>
                  </c:numRef>
                </c:cat>
                <c:val>
                  <c:numRef>
                    <c:extLst xmlns:c15="http://schemas.microsoft.com/office/drawing/2012/chart">
                      <c:ext xmlns:c15="http://schemas.microsoft.com/office/drawing/2012/chart" uri="{02D57815-91ED-43cb-92C2-25804820EDAC}">
                        <c15:formulaRef>
                          <c15:sqref>('Category Data'!$K$8,'Category Data'!$M$8,'Category Data'!$O$8)</c15:sqref>
                        </c15:formulaRef>
                      </c:ext>
                    </c:extLst>
                    <c:numCache>
                      <c:formatCode>General</c:formatCode>
                      <c:ptCount val="3"/>
                    </c:numCache>
                  </c:numRef>
                </c:val>
              </c15:ser>
            </c15:filteredBarSeries>
          </c:ext>
        </c:extLst>
      </c:barChart>
      <c:catAx>
        <c:axId val="27256446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565024"/>
        <c:crosses val="autoZero"/>
        <c:auto val="1"/>
        <c:lblAlgn val="ctr"/>
        <c:lblOffset val="100"/>
        <c:noMultiLvlLbl val="0"/>
      </c:catAx>
      <c:valAx>
        <c:axId val="27256502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2564464"/>
        <c:crosses val="max"/>
        <c:crossBetween val="between"/>
        <c:majorUnit val="1"/>
      </c:valAx>
      <c:spPr>
        <a:noFill/>
        <a:ln>
          <a:noFill/>
        </a:ln>
        <a:effectLst/>
      </c:spPr>
    </c:plotArea>
    <c:legend>
      <c:legendPos val="r"/>
      <c:layout>
        <c:manualLayout>
          <c:xMode val="edge"/>
          <c:yMode val="edge"/>
          <c:x val="0.64371363883233013"/>
          <c:y val="0.21507256445885437"/>
          <c:w val="0.32790146193406244"/>
          <c:h val="0.422796047552879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checked="Checked" firstButton="1" fmlaLink="'Intermediate Data'!$D$51" lockText="1" noThreeD="1"/>
</file>

<file path=xl/ctrlProps/ctrlProp10.xml><?xml version="1.0" encoding="utf-8"?>
<formControlPr xmlns="http://schemas.microsoft.com/office/spreadsheetml/2009/9/main" objectType="CheckBox" fmlaLink="'Intermediate Data'!$AY$25" lockText="1" noThreeD="1"/>
</file>

<file path=xl/ctrlProps/ctrlProp11.xml><?xml version="1.0" encoding="utf-8"?>
<formControlPr xmlns="http://schemas.microsoft.com/office/spreadsheetml/2009/9/main" objectType="CheckBox" fmlaLink="'Intermediate Data'!$AY$26" lockText="1" noThreeD="1"/>
</file>

<file path=xl/ctrlProps/ctrlProp12.xml><?xml version="1.0" encoding="utf-8"?>
<formControlPr xmlns="http://schemas.microsoft.com/office/spreadsheetml/2009/9/main" objectType="CheckBox" fmlaLink="'Intermediate Data'!$AY$27" lockText="1" noThreeD="1"/>
</file>

<file path=xl/ctrlProps/ctrlProp13.xml><?xml version="1.0" encoding="utf-8"?>
<formControlPr xmlns="http://schemas.microsoft.com/office/spreadsheetml/2009/9/main" objectType="CheckBox" fmlaLink="'Intermediate Data'!$AY$28" lockText="1" noThreeD="1"/>
</file>

<file path=xl/ctrlProps/ctrlProp14.xml><?xml version="1.0" encoding="utf-8"?>
<formControlPr xmlns="http://schemas.microsoft.com/office/spreadsheetml/2009/9/main" objectType="CheckBox" fmlaLink="'Intermediate Data'!$AY$29" lockText="1" noThreeD="1"/>
</file>

<file path=xl/ctrlProps/ctrlProp15.xml><?xml version="1.0" encoding="utf-8"?>
<formControlPr xmlns="http://schemas.microsoft.com/office/spreadsheetml/2009/9/main" objectType="CheckBox" fmlaLink="'Intermediate Data'!$AY$30" lockText="1" noThreeD="1"/>
</file>

<file path=xl/ctrlProps/ctrlProp16.xml><?xml version="1.0" encoding="utf-8"?>
<formControlPr xmlns="http://schemas.microsoft.com/office/spreadsheetml/2009/9/main" objectType="CheckBox" fmlaLink="'Intermediate Data'!$AY$31" lockText="1" noThreeD="1"/>
</file>

<file path=xl/ctrlProps/ctrlProp17.xml><?xml version="1.0" encoding="utf-8"?>
<formControlPr xmlns="http://schemas.microsoft.com/office/spreadsheetml/2009/9/main" objectType="CheckBox" fmlaLink="'Intermediate Data'!$AY$32" lockText="1" noThreeD="1"/>
</file>

<file path=xl/ctrlProps/ctrlProp18.xml><?xml version="1.0" encoding="utf-8"?>
<formControlPr xmlns="http://schemas.microsoft.com/office/spreadsheetml/2009/9/main" objectType="CheckBox" fmlaLink="'Intermediate Data'!$AY$33" lockText="1" noThreeD="1"/>
</file>

<file path=xl/ctrlProps/ctrlProp19.xml><?xml version="1.0" encoding="utf-8"?>
<formControlPr xmlns="http://schemas.microsoft.com/office/spreadsheetml/2009/9/main" objectType="CheckBox" fmlaLink="'Intermediate Data'!$AY$3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Intermediate Data'!$AY$35" lockText="1" noThreeD="1"/>
</file>

<file path=xl/ctrlProps/ctrlProp21.xml><?xml version="1.0" encoding="utf-8"?>
<formControlPr xmlns="http://schemas.microsoft.com/office/spreadsheetml/2009/9/main" objectType="CheckBox" fmlaLink="'Intermediate Data'!$AY$36" lockText="1" noThreeD="1"/>
</file>

<file path=xl/ctrlProps/ctrlProp22.xml><?xml version="1.0" encoding="utf-8"?>
<formControlPr xmlns="http://schemas.microsoft.com/office/spreadsheetml/2009/9/main" objectType="CheckBox" fmlaLink="'Intermediate Data'!$AY$37" lockText="1" noThreeD="1"/>
</file>

<file path=xl/ctrlProps/ctrlProp23.xml><?xml version="1.0" encoding="utf-8"?>
<formControlPr xmlns="http://schemas.microsoft.com/office/spreadsheetml/2009/9/main" objectType="CheckBox" fmlaLink="'Intermediate Data'!$AY$38" lockText="1" noThreeD="1"/>
</file>

<file path=xl/ctrlProps/ctrlProp24.xml><?xml version="1.0" encoding="utf-8"?>
<formControlPr xmlns="http://schemas.microsoft.com/office/spreadsheetml/2009/9/main" objectType="CheckBox" fmlaLink="'Intermediate Data'!$AY$39" lockText="1" noThreeD="1"/>
</file>

<file path=xl/ctrlProps/ctrlProp25.xml><?xml version="1.0" encoding="utf-8"?>
<formControlPr xmlns="http://schemas.microsoft.com/office/spreadsheetml/2009/9/main" objectType="CheckBox" fmlaLink="'Intermediate Data'!$AY$40" lockText="1" noThreeD="1"/>
</file>

<file path=xl/ctrlProps/ctrlProp26.xml><?xml version="1.0" encoding="utf-8"?>
<formControlPr xmlns="http://schemas.microsoft.com/office/spreadsheetml/2009/9/main" objectType="CheckBox" fmlaLink="'Intermediate Data'!$AY$41" lockText="1" noThreeD="1"/>
</file>

<file path=xl/ctrlProps/ctrlProp27.xml><?xml version="1.0" encoding="utf-8"?>
<formControlPr xmlns="http://schemas.microsoft.com/office/spreadsheetml/2009/9/main" objectType="CheckBox" fmlaLink="'Intermediate Data'!$AY$42" lockText="1" noThreeD="1"/>
</file>

<file path=xl/ctrlProps/ctrlProp28.xml><?xml version="1.0" encoding="utf-8"?>
<formControlPr xmlns="http://schemas.microsoft.com/office/spreadsheetml/2009/9/main" objectType="Radio" firstButton="1" fmlaLink="'Intermediate Data'!$AX$51"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Drop" dropLines="3" dropStyle="combo" dx="16" fmlaLink="'Intermediate Data'!$AZ$48" fmlaRange="[0]!FuelFilter" noThreeD="1" sel="1" val="0"/>
</file>

<file path=xl/ctrlProps/ctrlProp33.xml><?xml version="1.0" encoding="utf-8"?>
<formControlPr xmlns="http://schemas.microsoft.com/office/spreadsheetml/2009/9/main" objectType="Drop" dropLines="5" dropStyle="combo" dx="16" fmlaLink="'Intermediate Data'!$BC$47" fmlaRange="[0]!T1FilterByNew" noThreeD="1" sel="1" val="0"/>
</file>

<file path=xl/ctrlProps/ctrlProp34.xml><?xml version="1.0" encoding="utf-8"?>
<formControlPr xmlns="http://schemas.microsoft.com/office/spreadsheetml/2009/9/main" objectType="Drop" dropLines="5" dropStyle="combo" dx="16" fmlaLink="'Intermediate Data'!$AZ$50" fmlaRange="[0]!Territory" noThreeD="1" sel="1" val="0"/>
</file>

<file path=xl/ctrlProps/ctrlProp35.xml><?xml version="1.0" encoding="utf-8"?>
<formControlPr xmlns="http://schemas.microsoft.com/office/spreadsheetml/2009/9/main" objectType="Drop" dropLines="21" dropStyle="combo" dx="16" fmlaLink="'Intermediate Data'!$BE$47" fmlaRange="T1ProductListAll" noThreeD="1" sel="21" val="0"/>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Intermediate Data'!$AY$43" lockText="1" noThreeD="1"/>
</file>

<file path=xl/ctrlProps/ctrlProp39.xml><?xml version="1.0" encoding="utf-8"?>
<formControlPr xmlns="http://schemas.microsoft.com/office/spreadsheetml/2009/9/main" objectType="CheckBox" fmlaLink="'Intermediate Data'!$AY$44"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Drop" dropLines="3" dropStyle="combo" dx="16" fmlaLink="'Intermediate Data'!$F$48" fmlaRange="[0]!FuelFilter" noThreeD="1" sel="1" val="0"/>
</file>

<file path=xl/ctrlProps/ctrlProp6.xml><?xml version="1.0" encoding="utf-8"?>
<formControlPr xmlns="http://schemas.microsoft.com/office/spreadsheetml/2009/9/main" objectType="Drop" dropLines="16" dropStyle="combo" dx="16" fmlaLink="'Intermediate Data'!$F$49" fmlaRange="HHFilterBy" noThreeD="1" sel="1" val="0"/>
</file>

<file path=xl/ctrlProps/ctrlProp7.xml><?xml version="1.0" encoding="utf-8"?>
<formControlPr xmlns="http://schemas.microsoft.com/office/spreadsheetml/2009/9/main" objectType="Drop" dropLines="5" dropStyle="combo" dx="16" fmlaLink="'Intermediate Data'!$F$50" fmlaRange="[0]!Territory" noThreeD="1" sel="1" val="0"/>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247650</xdr:colOff>
          <xdr:row>5</xdr:row>
          <xdr:rowOff>47625</xdr:rowOff>
        </xdr:from>
        <xdr:to>
          <xdr:col>13</xdr:col>
          <xdr:colOff>171450</xdr:colOff>
          <xdr:row>6</xdr:row>
          <xdr:rowOff>171450</xdr:rowOff>
        </xdr:to>
        <xdr:sp macro="" textlink="">
          <xdr:nvSpPr>
            <xdr:cNvPr id="6147" name="Option Button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1F497D"/>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xdr:row>
          <xdr:rowOff>47625</xdr:rowOff>
        </xdr:from>
        <xdr:to>
          <xdr:col>21</xdr:col>
          <xdr:colOff>209550</xdr:colOff>
          <xdr:row>6</xdr:row>
          <xdr:rowOff>171450</xdr:rowOff>
        </xdr:to>
        <xdr:sp macro="" textlink="">
          <xdr:nvSpPr>
            <xdr:cNvPr id="6148" name="Option Button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1F497D"/>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5</xdr:row>
          <xdr:rowOff>47625</xdr:rowOff>
        </xdr:from>
        <xdr:to>
          <xdr:col>32</xdr:col>
          <xdr:colOff>209550</xdr:colOff>
          <xdr:row>6</xdr:row>
          <xdr:rowOff>171450</xdr:rowOff>
        </xdr:to>
        <xdr:sp macro="" textlink="">
          <xdr:nvSpPr>
            <xdr:cNvPr id="6149" name="Option Button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1F497D"/>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5</xdr:row>
          <xdr:rowOff>47625</xdr:rowOff>
        </xdr:from>
        <xdr:to>
          <xdr:col>43</xdr:col>
          <xdr:colOff>209550</xdr:colOff>
          <xdr:row>6</xdr:row>
          <xdr:rowOff>171450</xdr:rowOff>
        </xdr:to>
        <xdr:sp macro="" textlink="">
          <xdr:nvSpPr>
            <xdr:cNvPr id="6150" name="Option Button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1F497D"/>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xdr:row>
          <xdr:rowOff>0</xdr:rowOff>
        </xdr:from>
        <xdr:to>
          <xdr:col>18</xdr:col>
          <xdr:colOff>0</xdr:colOff>
          <xdr:row>2</xdr:row>
          <xdr:rowOff>180975</xdr:rowOff>
        </xdr:to>
        <xdr:sp macro="" textlink="">
          <xdr:nvSpPr>
            <xdr:cNvPr id="6245" name="Drop Down 101" hidden="1">
              <a:extLst>
                <a:ext uri="{63B3BB69-23CF-44E3-9099-C40C66FF867C}">
                  <a14:compatExt spid="_x0000_s62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xdr:row>
          <xdr:rowOff>0</xdr:rowOff>
        </xdr:from>
        <xdr:to>
          <xdr:col>20</xdr:col>
          <xdr:colOff>209550</xdr:colOff>
          <xdr:row>3</xdr:row>
          <xdr:rowOff>180975</xdr:rowOff>
        </xdr:to>
        <xdr:sp macro="" textlink="">
          <xdr:nvSpPr>
            <xdr:cNvPr id="6248" name="Drop Down 104" hidden="1">
              <a:extLst>
                <a:ext uri="{63B3BB69-23CF-44E3-9099-C40C66FF867C}">
                  <a14:compatExt spid="_x0000_s6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xdr:row>
          <xdr:rowOff>0</xdr:rowOff>
        </xdr:from>
        <xdr:to>
          <xdr:col>18</xdr:col>
          <xdr:colOff>0</xdr:colOff>
          <xdr:row>4</xdr:row>
          <xdr:rowOff>180975</xdr:rowOff>
        </xdr:to>
        <xdr:sp macro="" textlink="">
          <xdr:nvSpPr>
            <xdr:cNvPr id="6249" name="Drop Down 105" hidden="1">
              <a:extLst>
                <a:ext uri="{63B3BB69-23CF-44E3-9099-C40C66FF867C}">
                  <a14:compatExt spid="_x0000_s6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5</xdr:row>
          <xdr:rowOff>38100</xdr:rowOff>
        </xdr:from>
        <xdr:to>
          <xdr:col>47</xdr:col>
          <xdr:colOff>200025</xdr:colOff>
          <xdr:row>6</xdr:row>
          <xdr:rowOff>161925</xdr:rowOff>
        </xdr:to>
        <xdr:sp macro="" textlink="">
          <xdr:nvSpPr>
            <xdr:cNvPr id="6491" name="Option Button 347" hidden="1">
              <a:extLst>
                <a:ext uri="{63B3BB69-23CF-44E3-9099-C40C66FF867C}">
                  <a14:compatExt spid="_x0000_s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1F497D"/>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38100</xdr:rowOff>
        </xdr:from>
        <xdr:to>
          <xdr:col>11</xdr:col>
          <xdr:colOff>200025</xdr:colOff>
          <xdr:row>24</xdr:row>
          <xdr:rowOff>57150</xdr:rowOff>
        </xdr:to>
        <xdr:pic>
          <xdr:nvPicPr>
            <xdr:cNvPr id="6704" name="Picture 8"/>
            <xdr:cNvPicPr>
              <a:picLocks noChangeAspect="1" noChangeArrowheads="1"/>
              <a:extLst>
                <a:ext uri="{84589F7E-364E-4C9E-8A38-B11213B215E9}">
                  <a14:cameraTool cellRange="HHChoose" spid="_x0000_s34841"/>
                </a:ext>
              </a:extLst>
            </xdr:cNvPicPr>
          </xdr:nvPicPr>
          <xdr:blipFill>
            <a:blip xmlns:r="http://schemas.openxmlformats.org/officeDocument/2006/relationships" r:embed="rId1"/>
            <a:srcRect/>
            <a:stretch>
              <a:fillRect/>
            </a:stretch>
          </xdr:blipFill>
          <xdr:spPr bwMode="auto">
            <a:xfrm>
              <a:off x="200025" y="2200275"/>
              <a:ext cx="2695575" cy="24955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5</xdr:row>
          <xdr:rowOff>47625</xdr:rowOff>
        </xdr:from>
        <xdr:to>
          <xdr:col>53</xdr:col>
          <xdr:colOff>190500</xdr:colOff>
          <xdr:row>6</xdr:row>
          <xdr:rowOff>171450</xdr:rowOff>
        </xdr:to>
        <xdr:sp macro="" textlink="">
          <xdr:nvSpPr>
            <xdr:cNvPr id="7082" name="Option Button 938" hidden="1">
              <a:extLst>
                <a:ext uri="{63B3BB69-23CF-44E3-9099-C40C66FF867C}">
                  <a14:compatExt spid="_x0000_s7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1F497D"/>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1</xdr:col>
          <xdr:colOff>209550</xdr:colOff>
          <xdr:row>11</xdr:row>
          <xdr:rowOff>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0</xdr:rowOff>
        </xdr:from>
        <xdr:to>
          <xdr:col>1</xdr:col>
          <xdr:colOff>209550</xdr:colOff>
          <xdr:row>12</xdr:row>
          <xdr:rowOff>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171450</xdr:rowOff>
        </xdr:from>
        <xdr:to>
          <xdr:col>1</xdr:col>
          <xdr:colOff>209550</xdr:colOff>
          <xdr:row>12</xdr:row>
          <xdr:rowOff>171450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180975</xdr:rowOff>
        </xdr:from>
        <xdr:to>
          <xdr:col>1</xdr:col>
          <xdr:colOff>209550</xdr:colOff>
          <xdr:row>13</xdr:row>
          <xdr:rowOff>180975</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0</xdr:rowOff>
        </xdr:from>
        <xdr:to>
          <xdr:col>1</xdr:col>
          <xdr:colOff>209550</xdr:colOff>
          <xdr:row>15</xdr:row>
          <xdr:rowOff>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9525</xdr:rowOff>
        </xdr:from>
        <xdr:to>
          <xdr:col>1</xdr:col>
          <xdr:colOff>209550</xdr:colOff>
          <xdr:row>17</xdr:row>
          <xdr:rowOff>9525</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0</xdr:rowOff>
        </xdr:from>
        <xdr:to>
          <xdr:col>1</xdr:col>
          <xdr:colOff>209550</xdr:colOff>
          <xdr:row>18</xdr:row>
          <xdr:rowOff>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0</xdr:rowOff>
        </xdr:from>
        <xdr:to>
          <xdr:col>1</xdr:col>
          <xdr:colOff>209550</xdr:colOff>
          <xdr:row>18</xdr:row>
          <xdr:rowOff>180975</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1</xdr:col>
          <xdr:colOff>209550</xdr:colOff>
          <xdr:row>20</xdr:row>
          <xdr:rowOff>0</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0</xdr:rowOff>
        </xdr:from>
        <xdr:to>
          <xdr:col>1</xdr:col>
          <xdr:colOff>209550</xdr:colOff>
          <xdr:row>16</xdr:row>
          <xdr:rowOff>0</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1</xdr:col>
          <xdr:colOff>209550</xdr:colOff>
          <xdr:row>21</xdr:row>
          <xdr:rowOff>0</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1</xdr:col>
          <xdr:colOff>209550</xdr:colOff>
          <xdr:row>22</xdr:row>
          <xdr:rowOff>0</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0</xdr:rowOff>
        </xdr:from>
        <xdr:to>
          <xdr:col>1</xdr:col>
          <xdr:colOff>209550</xdr:colOff>
          <xdr:row>23</xdr:row>
          <xdr:rowOff>0</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0</xdr:rowOff>
        </xdr:from>
        <xdr:to>
          <xdr:col>1</xdr:col>
          <xdr:colOff>209550</xdr:colOff>
          <xdr:row>24</xdr:row>
          <xdr:rowOff>0</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0</xdr:rowOff>
        </xdr:from>
        <xdr:to>
          <xdr:col>1</xdr:col>
          <xdr:colOff>209550</xdr:colOff>
          <xdr:row>25</xdr:row>
          <xdr:rowOff>0</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9525</xdr:rowOff>
        </xdr:from>
        <xdr:to>
          <xdr:col>1</xdr:col>
          <xdr:colOff>209550</xdr:colOff>
          <xdr:row>26</xdr:row>
          <xdr:rowOff>0</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0</xdr:rowOff>
        </xdr:from>
        <xdr:to>
          <xdr:col>1</xdr:col>
          <xdr:colOff>209550</xdr:colOff>
          <xdr:row>27</xdr:row>
          <xdr:rowOff>0</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180975</xdr:rowOff>
        </xdr:from>
        <xdr:to>
          <xdr:col>1</xdr:col>
          <xdr:colOff>209550</xdr:colOff>
          <xdr:row>27</xdr:row>
          <xdr:rowOff>180975</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5</xdr:row>
          <xdr:rowOff>85725</xdr:rowOff>
        </xdr:from>
        <xdr:to>
          <xdr:col>26</xdr:col>
          <xdr:colOff>209550</xdr:colOff>
          <xdr:row>6</xdr:row>
          <xdr:rowOff>171450</xdr:rowOff>
        </xdr:to>
        <xdr:sp macro="" textlink="">
          <xdr:nvSpPr>
            <xdr:cNvPr id="12322" name="Option Button 34" hidden="1">
              <a:extLst>
                <a:ext uri="{63B3BB69-23CF-44E3-9099-C40C66FF867C}">
                  <a14:compatExt spid="_x0000_s1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5</xdr:row>
          <xdr:rowOff>85725</xdr:rowOff>
        </xdr:from>
        <xdr:to>
          <xdr:col>30</xdr:col>
          <xdr:colOff>219075</xdr:colOff>
          <xdr:row>6</xdr:row>
          <xdr:rowOff>171450</xdr:rowOff>
        </xdr:to>
        <xdr:sp macro="" textlink="">
          <xdr:nvSpPr>
            <xdr:cNvPr id="12323" name="Option Button 35" hidden="1">
              <a:extLst>
                <a:ext uri="{63B3BB69-23CF-44E3-9099-C40C66FF867C}">
                  <a14:compatExt spid="_x0000_s1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xdr:row>
          <xdr:rowOff>85725</xdr:rowOff>
        </xdr:from>
        <xdr:to>
          <xdr:col>35</xdr:col>
          <xdr:colOff>209550</xdr:colOff>
          <xdr:row>6</xdr:row>
          <xdr:rowOff>171450</xdr:rowOff>
        </xdr:to>
        <xdr:sp macro="" textlink="">
          <xdr:nvSpPr>
            <xdr:cNvPr id="12324" name="Option Button 36" hidden="1">
              <a:extLst>
                <a:ext uri="{63B3BB69-23CF-44E3-9099-C40C66FF867C}">
                  <a14:compatExt spid="_x0000_s1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28575</xdr:colOff>
          <xdr:row>5</xdr:row>
          <xdr:rowOff>85725</xdr:rowOff>
        </xdr:from>
        <xdr:to>
          <xdr:col>38</xdr:col>
          <xdr:colOff>209550</xdr:colOff>
          <xdr:row>6</xdr:row>
          <xdr:rowOff>171450</xdr:rowOff>
        </xdr:to>
        <xdr:sp macro="" textlink="">
          <xdr:nvSpPr>
            <xdr:cNvPr id="12325" name="Option Button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0</xdr:rowOff>
        </xdr:from>
        <xdr:to>
          <xdr:col>12</xdr:col>
          <xdr:colOff>200025</xdr:colOff>
          <xdr:row>2</xdr:row>
          <xdr:rowOff>180975</xdr:rowOff>
        </xdr:to>
        <xdr:sp macro="" textlink="">
          <xdr:nvSpPr>
            <xdr:cNvPr id="12350" name="Drop Down 62" hidden="1">
              <a:extLst>
                <a:ext uri="{63B3BB69-23CF-44E3-9099-C40C66FF867C}">
                  <a14:compatExt spid="_x0000_s123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xdr:row>
          <xdr:rowOff>9525</xdr:rowOff>
        </xdr:from>
        <xdr:to>
          <xdr:col>12</xdr:col>
          <xdr:colOff>200025</xdr:colOff>
          <xdr:row>4</xdr:row>
          <xdr:rowOff>0</xdr:rowOff>
        </xdr:to>
        <xdr:sp macro="" textlink="">
          <xdr:nvSpPr>
            <xdr:cNvPr id="12358" name="Drop Down 70" hidden="1">
              <a:extLst>
                <a:ext uri="{63B3BB69-23CF-44E3-9099-C40C66FF867C}">
                  <a14:compatExt spid="_x0000_s1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xdr:row>
          <xdr:rowOff>9525</xdr:rowOff>
        </xdr:from>
        <xdr:to>
          <xdr:col>12</xdr:col>
          <xdr:colOff>200025</xdr:colOff>
          <xdr:row>5</xdr:row>
          <xdr:rowOff>0</xdr:rowOff>
        </xdr:to>
        <xdr:sp macro="" textlink="">
          <xdr:nvSpPr>
            <xdr:cNvPr id="12359" name="Drop Down 71" hidden="1">
              <a:extLst>
                <a:ext uri="{63B3BB69-23CF-44E3-9099-C40C66FF867C}">
                  <a14:compatExt spid="_x0000_s1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31</xdr:row>
          <xdr:rowOff>47625</xdr:rowOff>
        </xdr:from>
        <xdr:to>
          <xdr:col>23</xdr:col>
          <xdr:colOff>200025</xdr:colOff>
          <xdr:row>31</xdr:row>
          <xdr:rowOff>228600</xdr:rowOff>
        </xdr:to>
        <xdr:sp macro="" textlink="">
          <xdr:nvSpPr>
            <xdr:cNvPr id="12363" name="Drop Down 75" hidden="1">
              <a:extLst>
                <a:ext uri="{63B3BB69-23CF-44E3-9099-C40C66FF867C}">
                  <a14:compatExt spid="_x0000_s12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xdr:row>
          <xdr:rowOff>85725</xdr:rowOff>
        </xdr:from>
        <xdr:to>
          <xdr:col>47</xdr:col>
          <xdr:colOff>219075</xdr:colOff>
          <xdr:row>6</xdr:row>
          <xdr:rowOff>171450</xdr:rowOff>
        </xdr:to>
        <xdr:sp macro="" textlink="">
          <xdr:nvSpPr>
            <xdr:cNvPr id="12370" name="Option Button 82" hidden="1">
              <a:extLst>
                <a:ext uri="{63B3BB69-23CF-44E3-9099-C40C66FF867C}">
                  <a14:compatExt spid="_x0000_s1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28575</xdr:colOff>
          <xdr:row>5</xdr:row>
          <xdr:rowOff>85725</xdr:rowOff>
        </xdr:from>
        <xdr:to>
          <xdr:col>53</xdr:col>
          <xdr:colOff>66675</xdr:colOff>
          <xdr:row>6</xdr:row>
          <xdr:rowOff>171450</xdr:rowOff>
        </xdr:to>
        <xdr:sp macro="" textlink="">
          <xdr:nvSpPr>
            <xdr:cNvPr id="12371" name="Option Button 83" hidden="1">
              <a:extLst>
                <a:ext uri="{63B3BB69-23CF-44E3-9099-C40C66FF867C}">
                  <a14:compatExt spid="_x0000_s1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180975</xdr:rowOff>
        </xdr:from>
        <xdr:to>
          <xdr:col>1</xdr:col>
          <xdr:colOff>209550</xdr:colOff>
          <xdr:row>28</xdr:row>
          <xdr:rowOff>180975</xdr:rowOff>
        </xdr:to>
        <xdr:sp macro="" textlink="">
          <xdr:nvSpPr>
            <xdr:cNvPr id="12378" name="Check Box 90" hidden="1">
              <a:extLst>
                <a:ext uri="{63B3BB69-23CF-44E3-9099-C40C66FF867C}">
                  <a14:compatExt spid="_x0000_s1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171450</xdr:rowOff>
        </xdr:from>
        <xdr:to>
          <xdr:col>1</xdr:col>
          <xdr:colOff>209550</xdr:colOff>
          <xdr:row>29</xdr:row>
          <xdr:rowOff>171450</xdr:rowOff>
        </xdr:to>
        <xdr:sp macro="" textlink="">
          <xdr:nvSpPr>
            <xdr:cNvPr id="12379" name="Check Box 91" hidden="1">
              <a:extLst>
                <a:ext uri="{63B3BB69-23CF-44E3-9099-C40C66FF867C}">
                  <a14:compatExt spid="_x0000_s1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xdr:row>
          <xdr:rowOff>76200</xdr:rowOff>
        </xdr:from>
        <xdr:to>
          <xdr:col>16</xdr:col>
          <xdr:colOff>276225</xdr:colOff>
          <xdr:row>6</xdr:row>
          <xdr:rowOff>180975</xdr:rowOff>
        </xdr:to>
        <xdr:sp macro="" textlink="">
          <xdr:nvSpPr>
            <xdr:cNvPr id="12381" name="Option Button 93" hidden="1">
              <a:extLst>
                <a:ext uri="{63B3BB69-23CF-44E3-9099-C40C66FF867C}">
                  <a14:compatExt spid="_x0000_s1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xdr:row>
          <xdr:rowOff>85725</xdr:rowOff>
        </xdr:from>
        <xdr:to>
          <xdr:col>21</xdr:col>
          <xdr:colOff>219075</xdr:colOff>
          <xdr:row>6</xdr:row>
          <xdr:rowOff>171450</xdr:rowOff>
        </xdr:to>
        <xdr:sp macro="" textlink="">
          <xdr:nvSpPr>
            <xdr:cNvPr id="12382" name="Option Button 94" hidden="1">
              <a:extLst>
                <a:ext uri="{63B3BB69-23CF-44E3-9099-C40C66FF867C}">
                  <a14:compatExt spid="_x0000_s1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19050</xdr:colOff>
          <xdr:row>5</xdr:row>
          <xdr:rowOff>85725</xdr:rowOff>
        </xdr:from>
        <xdr:to>
          <xdr:col>66</xdr:col>
          <xdr:colOff>200025</xdr:colOff>
          <xdr:row>6</xdr:row>
          <xdr:rowOff>171450</xdr:rowOff>
        </xdr:to>
        <xdr:sp macro="" textlink="">
          <xdr:nvSpPr>
            <xdr:cNvPr id="12390" name="Option Button 102" hidden="1">
              <a:extLst>
                <a:ext uri="{63B3BB69-23CF-44E3-9099-C40C66FF867C}">
                  <a14:compatExt spid="_x0000_s12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5</xdr:row>
          <xdr:rowOff>85725</xdr:rowOff>
        </xdr:from>
        <xdr:to>
          <xdr:col>72</xdr:col>
          <xdr:colOff>200025</xdr:colOff>
          <xdr:row>6</xdr:row>
          <xdr:rowOff>171450</xdr:rowOff>
        </xdr:to>
        <xdr:sp macro="" textlink="">
          <xdr:nvSpPr>
            <xdr:cNvPr id="12391" name="Option Button 103" hidden="1">
              <a:extLst>
                <a:ext uri="{63B3BB69-23CF-44E3-9099-C40C66FF867C}">
                  <a14:compatExt spid="_x0000_s1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4762</xdr:colOff>
      <xdr:row>13</xdr:row>
      <xdr:rowOff>66676</xdr:rowOff>
    </xdr:from>
    <xdr:to>
      <xdr:col>5</xdr:col>
      <xdr:colOff>9525</xdr:colOff>
      <xdr:row>25</xdr:row>
      <xdr:rowOff>139066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52387</xdr:colOff>
      <xdr:row>13</xdr:row>
      <xdr:rowOff>66676</xdr:rowOff>
    </xdr:from>
    <xdr:to>
      <xdr:col>13</xdr:col>
      <xdr:colOff>35242</xdr:colOff>
      <xdr:row>25</xdr:row>
      <xdr:rowOff>139066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Sierzant@semprautilities.com" TargetMode="External"/><Relationship Id="rId7" Type="http://schemas.openxmlformats.org/officeDocument/2006/relationships/comments" Target="../comments1.xml"/><Relationship Id="rId2" Type="http://schemas.openxmlformats.org/officeDocument/2006/relationships/hyperlink" Target="mailto:Larry.Tabizon@sce.com" TargetMode="External"/><Relationship Id="rId1" Type="http://schemas.openxmlformats.org/officeDocument/2006/relationships/hyperlink" Target="mailto:LJManning@semprautilities.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OST2@pge.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8" Type="http://schemas.openxmlformats.org/officeDocument/2006/relationships/ctrlProp" Target="../ctrlProps/ctrlProp14.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3" Type="http://schemas.openxmlformats.org/officeDocument/2006/relationships/hyperlink" Target="http://www.energy.ca.gov/appliances/2013rulemaking/documents/responses/Consumer_Electronics_12-AAER-2A/California_IOUs_Response_to_the_Invitation_to_Participate_for_Displays_REFERENCES/LBNL_2011_Max_Tech_and_Beyond_Cumulative_Tech_Potential_Est.xlsx" TargetMode="External"/><Relationship Id="rId18" Type="http://schemas.openxmlformats.org/officeDocument/2006/relationships/hyperlink" Target="http://www1.eere.energy.gov/buildings/appliance_standards/docs/national_impact_analysis.xlsm" TargetMode="External"/><Relationship Id="rId26" Type="http://schemas.openxmlformats.org/officeDocument/2006/relationships/hyperlink" Target="http://www.energystar.gov/products/specs/system/files/Furnaces_Version_4.0_Program_Requirements.pdf" TargetMode="External"/><Relationship Id="rId39" Type="http://schemas.openxmlformats.org/officeDocument/2006/relationships/hyperlink" Target="http://calresest.kemainc.com/" TargetMode="External"/><Relationship Id="rId21" Type="http://schemas.openxmlformats.org/officeDocument/2006/relationships/hyperlink" Target="http://www.ecfr.gov/cgi-bin/text-idx?SID=a7c6cd7918f914346b022597aabdf9b3&amp;node=10:3.0.1.4.18.3.9.2&amp;rgn=div8" TargetMode="External"/><Relationship Id="rId34" Type="http://schemas.openxmlformats.org/officeDocument/2006/relationships/hyperlink" Target="https://www.energystar.gov/products/specs/sites/products/files/ENERGY%20STAR%20Water%20Heaters%20Draft%201%20V3%200.pdf" TargetMode="External"/><Relationship Id="rId42" Type="http://schemas.openxmlformats.org/officeDocument/2006/relationships/hyperlink" Target="http://websafe.kemainc.com/rass2009/Default.aspx" TargetMode="External"/><Relationship Id="rId47" Type="http://schemas.openxmlformats.org/officeDocument/2006/relationships/hyperlink" Target="http://www.energy.ca.gov/appliances/2013rulemaking/documents/proposals/12-AAER-2A_Consumer_Electronics/California_IOUs_Response_to_the_Invitation_for_Standards_Proposals_for_Set_Top_Boxes_2013-07-29_TN-71759.pdf" TargetMode="External"/><Relationship Id="rId50" Type="http://schemas.openxmlformats.org/officeDocument/2006/relationships/hyperlink" Target="http://www.energy.ca.gov/appliances/2008rulemaking/documents/2008-04-01_workshop/2008-04-04_Pacific_Gas_+_Electric_Televisions_CASE_study.pdf" TargetMode="External"/><Relationship Id="rId55" Type="http://schemas.openxmlformats.org/officeDocument/2006/relationships/hyperlink" Target="http://www.energy.ca.gov/appliances/2013rulemaking/documents/proposals/12-AAER-2A_Consumer_Electronics/California_IOUs_Response_to_the_Invitation_for_Standards_Proposals_for_Small_Network_Equipment_2013-07-29_TN-71761.pdf" TargetMode="External"/><Relationship Id="rId7" Type="http://schemas.openxmlformats.org/officeDocument/2006/relationships/hyperlink" Target="http://www1.eere.energy.gov/buildings/appliance_standards/product.aspx/productid/27" TargetMode="External"/><Relationship Id="rId2" Type="http://schemas.openxmlformats.org/officeDocument/2006/relationships/hyperlink" Target="http://www.energystar.gov/ia/business/bulk_purchasing/bpsavings_calc/Calc_office_eq.xls" TargetMode="External"/><Relationship Id="rId16" Type="http://schemas.openxmlformats.org/officeDocument/2006/relationships/hyperlink" Target="http://www.aceee.org/sites/default/files/publications/researchreports/a133.pdf" TargetMode="External"/><Relationship Id="rId29" Type="http://schemas.openxmlformats.org/officeDocument/2006/relationships/hyperlink" Target="http://www.ecfr.gov/cgi-bin/text-idx?SID=a7c6cd7918f914346b022597aabdf9b3&amp;node=10:3.0.1.4.18.3.9.2&amp;rgn=div8" TargetMode="External"/><Relationship Id="rId11" Type="http://schemas.openxmlformats.org/officeDocument/2006/relationships/hyperlink" Target="http://aceee.org/files/proceedings/2010/data/papers/2214.pdf" TargetMode="External"/><Relationship Id="rId24" Type="http://schemas.openxmlformats.org/officeDocument/2006/relationships/hyperlink" Target="http://www.eia.gov/consumption/residential/data/2009/" TargetMode="External"/><Relationship Id="rId32" Type="http://schemas.openxmlformats.org/officeDocument/2006/relationships/hyperlink" Target="https://www.energystar.gov/products/specs/system/files/ENERGY%20STAR%20Water%20Heaters%20V2%200%20Program%20Requirements.pdf" TargetMode="External"/><Relationship Id="rId37" Type="http://schemas.openxmlformats.org/officeDocument/2006/relationships/hyperlink" Target="http://www.ma-eeac.org/Docs/8.3_TRMs/1MATRM_2013-15%20PLAN_FINAL.pdf" TargetMode="External"/><Relationship Id="rId40" Type="http://schemas.openxmlformats.org/officeDocument/2006/relationships/hyperlink" Target="http://websafe.kemainc.com/rass2009/Default.aspx" TargetMode="External"/><Relationship Id="rId45" Type="http://schemas.openxmlformats.org/officeDocument/2006/relationships/hyperlink" Target="http://www.energy.ca.gov/2014publications/CEC-140-2014-002/CEC-140-2014-002.pdf" TargetMode="External"/><Relationship Id="rId53" Type="http://schemas.openxmlformats.org/officeDocument/2006/relationships/hyperlink" Target="http://www.energy.ca.gov/appliances/2004rulemaking/documents/case_studies/CASE_Pool_Pump.pdf" TargetMode="External"/><Relationship Id="rId58" Type="http://schemas.openxmlformats.org/officeDocument/2006/relationships/hyperlink" Target="http://www.energystar.gov/ia/partners/downloads/unit_shipment_data/2011_USD_Summary_Report.pdf?5256-63c6" TargetMode="External"/><Relationship Id="rId5" Type="http://schemas.openxmlformats.org/officeDocument/2006/relationships/hyperlink" Target="https://www.energystar.gov/ia/partners/prod_development/revisions/downloads/commercial_clothes_washers/Clothes_Washers_Program_Requirements_Version_6_1.pdf?9192-b006" TargetMode="External"/><Relationship Id="rId19" Type="http://schemas.openxmlformats.org/officeDocument/2006/relationships/hyperlink" Target="http://www.aceee.org/sites/default/files/publications/researchreports/a112.pdf" TargetMode="External"/><Relationship Id="rId4" Type="http://schemas.openxmlformats.org/officeDocument/2006/relationships/hyperlink" Target="http://www.sears.com/" TargetMode="External"/><Relationship Id="rId9" Type="http://schemas.openxmlformats.org/officeDocument/2006/relationships/hyperlink" Target="http://www.aceee.org/files/pdf/white-paper/great-lakes-clothes-washers.pdf" TargetMode="External"/><Relationship Id="rId14" Type="http://schemas.openxmlformats.org/officeDocument/2006/relationships/hyperlink" Target="http://www.etcc-ca.com/sites/default/files/OLD/images/stories/pdf/ETCC_Report_370.pdf" TargetMode="External"/><Relationship Id="rId22" Type="http://schemas.openxmlformats.org/officeDocument/2006/relationships/hyperlink" Target="http://www1.eere.energy.gov/buildings/appliance_standards/product.aspx/productid/27" TargetMode="External"/><Relationship Id="rId27" Type="http://schemas.openxmlformats.org/officeDocument/2006/relationships/hyperlink" Target="https://www.energystar.gov/ia/partners/product_specs/program_reqs/Refrigerators_and_Freezers_Program_Requirements.pdf?f06d-5d52" TargetMode="External"/><Relationship Id="rId30" Type="http://schemas.openxmlformats.org/officeDocument/2006/relationships/hyperlink" Target="http://www1.eere.energy.gov/buildings/appliance_standards/product.aspx/productid/48" TargetMode="External"/><Relationship Id="rId35" Type="http://schemas.openxmlformats.org/officeDocument/2006/relationships/hyperlink" Target="http://www1.eere.energy.gov/buildings/appliance_standards/product.aspx/productid/39" TargetMode="External"/><Relationship Id="rId43" Type="http://schemas.openxmlformats.org/officeDocument/2006/relationships/hyperlink" Target="https://websafe.kemainc.com/projects62/Default.aspx?tabid=190" TargetMode="External"/><Relationship Id="rId48" Type="http://schemas.openxmlformats.org/officeDocument/2006/relationships/hyperlink" Target="http://www.energy.ca.gov/appliances/2013rulemaking/documents/proposals/12-AAER-2A_Consumer_Electronics/California_IOUs_Response_to_the_Invitation_for_Standards_Proposals_for_Electronic_Displays_2013-07-29_TN-71760.pdf" TargetMode="External"/><Relationship Id="rId56" Type="http://schemas.openxmlformats.org/officeDocument/2006/relationships/hyperlink" Target="http://www.cpuc.ca.gov/PUC/energy/Energy+Efficiency/Energy+Efficiency+Goals+and+Potential+Studies.htm" TargetMode="External"/><Relationship Id="rId8" Type="http://schemas.openxmlformats.org/officeDocument/2006/relationships/hyperlink" Target="http://www1.eere.energy.gov/buildings/appliance_standards/product.aspx/productid/57" TargetMode="External"/><Relationship Id="rId51" Type="http://schemas.openxmlformats.org/officeDocument/2006/relationships/hyperlink" Target="http://www.energy.ca.gov/appliances/2004rulemaking/documents/case_studies/CASE_Portable_Spa.pdf" TargetMode="External"/><Relationship Id="rId3" Type="http://schemas.openxmlformats.org/officeDocument/2006/relationships/hyperlink" Target="http://www.bestbuy.com/" TargetMode="External"/><Relationship Id="rId12" Type="http://schemas.openxmlformats.org/officeDocument/2006/relationships/hyperlink" Target="http://www.toptenusa.org/Top-Ten-Freezers" TargetMode="External"/><Relationship Id="rId17" Type="http://schemas.openxmlformats.org/officeDocument/2006/relationships/hyperlink" Target="http://www.energy.ca.gov/appliances/2013rulemaking/documents/proposals/12-AAER-2F_Residential_Pool_Pumps_and_Replacement_Motors/California_IOUs_Response_to_the_Invitation_to_Submit_Proposals_for_Pool_and_Spas_2013-07-29_TN-71756.pdf" TargetMode="External"/><Relationship Id="rId25" Type="http://schemas.openxmlformats.org/officeDocument/2006/relationships/hyperlink" Target="http://www1.eere.energy.gov/buildings/appliance_standards/product.aspx/productid/72" TargetMode="External"/><Relationship Id="rId33" Type="http://schemas.openxmlformats.org/officeDocument/2006/relationships/hyperlink" Target="https://www.energystar.gov/products/specs/sites/products/files/ENERGY%20STAR%20Water%20Heaters%20Draft%201%20V3%200.pdf" TargetMode="External"/><Relationship Id="rId38" Type="http://schemas.openxmlformats.org/officeDocument/2006/relationships/hyperlink" Target="http://www.calmac.org/publications/MEL_Literature_Review_6_10_14.pdf" TargetMode="External"/><Relationship Id="rId46" Type="http://schemas.openxmlformats.org/officeDocument/2006/relationships/hyperlink" Target="http://www.energy.ca.gov/2014publications/CEC-140-2014-002/CEC-140-2014-002.pdf" TargetMode="External"/><Relationship Id="rId59" Type="http://schemas.openxmlformats.org/officeDocument/2006/relationships/printerSettings" Target="../printerSettings/printerSettings14.bin"/><Relationship Id="rId20" Type="http://schemas.openxmlformats.org/officeDocument/2006/relationships/hyperlink" Target="http://www.ecfr.gov/cgi-bin/text-idx?SID=a7c6cd7918f914346b022597aabdf9b3&amp;node=10:3.0.1.4.18.3.9.2&amp;rgn=div8" TargetMode="External"/><Relationship Id="rId41" Type="http://schemas.openxmlformats.org/officeDocument/2006/relationships/hyperlink" Target="http://calresest.kemainc.com/" TargetMode="External"/><Relationship Id="rId54" Type="http://schemas.openxmlformats.org/officeDocument/2006/relationships/hyperlink" Target="http://www.energy.ca.gov/appliances/2004rulemaking/documents/case_studies/CASE_Consumer_Electronics.pdf" TargetMode="External"/><Relationship Id="rId1" Type="http://schemas.openxmlformats.org/officeDocument/2006/relationships/hyperlink" Target="http://www1.eere.energy.gov/buildings/appliance_standards/pdfs/ff_prelim_ch_07_energyuse_2012_07_05.pdf" TargetMode="External"/><Relationship Id="rId6" Type="http://schemas.openxmlformats.org/officeDocument/2006/relationships/hyperlink" Target="https://www.energystar.gov/products/specs/node/405" TargetMode="External"/><Relationship Id="rId15" Type="http://schemas.openxmlformats.org/officeDocument/2006/relationships/hyperlink" Target="http://www.energystar.gov/products/specs/sites/products/files/ENERGY%20STAR%20Final%20Draft%20Version%201.0%20Clothes%20Dryers%20Specification_0.pdf" TargetMode="External"/><Relationship Id="rId23" Type="http://schemas.openxmlformats.org/officeDocument/2006/relationships/hyperlink" Target="http://www.energy.ca.gov/appliances/2013rulemaking/documents/proposals/12-AAER-2A_Consumer_Electronics/California_IOUs_Response_to_the_Invitation_for_Standards_Proposals_for_Small_Network_Equipment_2013-07-29_TN-71761.pdf" TargetMode="External"/><Relationship Id="rId28" Type="http://schemas.openxmlformats.org/officeDocument/2006/relationships/hyperlink" Target="https://www.energystar.gov/ia/partners/product_specs/program_reqs/Refrigerators_and_Freezers_Program_Requirements_V5.0.pdf?f06d-5d52" TargetMode="External"/><Relationship Id="rId36" Type="http://schemas.openxmlformats.org/officeDocument/2006/relationships/hyperlink" Target="http://www.lesliespool.com/" TargetMode="External"/><Relationship Id="rId49" Type="http://schemas.openxmlformats.org/officeDocument/2006/relationships/hyperlink" Target="http://www.energy.ca.gov/appliances/2013rulemaking/documents/proposals/12-AAER-2A_Consumer_Electronics/California_IOUs_Standards_Proposal_Computers_UPDATED_2013-08-06_TN-71813.pdf" TargetMode="External"/><Relationship Id="rId57" Type="http://schemas.openxmlformats.org/officeDocument/2006/relationships/hyperlink" Target="http://www.energystar.gov/ia/partners/downloads/unit_shipment_data/2013_USD_Summary_Report.pdf?5256-63c6" TargetMode="External"/><Relationship Id="rId10" Type="http://schemas.openxmlformats.org/officeDocument/2006/relationships/hyperlink" Target="http://www.regulations.gov/" TargetMode="External"/><Relationship Id="rId31" Type="http://schemas.openxmlformats.org/officeDocument/2006/relationships/hyperlink" Target="https://www.energystar.gov/ia/partners/product_specs/program_reqs/Final_Version_3_AV_Program_Requirements.pdf?61fb-bfd2" TargetMode="External"/><Relationship Id="rId44" Type="http://schemas.openxmlformats.org/officeDocument/2006/relationships/hyperlink" Target="http://www.energy.ca.gov/2014publications/CEC-140-2014-002/CEC-140-2014-002.pdf" TargetMode="External"/><Relationship Id="rId52" Type="http://schemas.openxmlformats.org/officeDocument/2006/relationships/hyperlink" Target="http://www.energy.ca.gov/appliances/2013rulemaking/documents/proposals/12-AAER-2F_Residential_Pool_Pumps_and_Replacement_Motors/California_IOUs_Response_to_the_Invitation_to_Submit_Proposals_for_Pool_and_Spas_2013-07-29_TN-71756.pdf"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5"/>
  </sheetPr>
  <dimension ref="A1:L88"/>
  <sheetViews>
    <sheetView tabSelected="1" zoomScaleNormal="100" workbookViewId="0">
      <selection activeCell="B1" sqref="B1:E1"/>
    </sheetView>
  </sheetViews>
  <sheetFormatPr defaultColWidth="0" defaultRowHeight="15" zeroHeight="1" x14ac:dyDescent="0.25"/>
  <cols>
    <col min="1" max="1" width="2.7109375" style="2" customWidth="1"/>
    <col min="2" max="2" width="28.140625" style="2" customWidth="1"/>
    <col min="3" max="3" width="10.85546875" style="2" bestFit="1" customWidth="1"/>
    <col min="4" max="4" width="8.5703125" style="2" bestFit="1" customWidth="1"/>
    <col min="5" max="5" width="180.42578125" style="1" customWidth="1"/>
    <col min="6" max="6" width="2.5703125" style="2" customWidth="1"/>
    <col min="7" max="7" width="11.85546875" style="2" hidden="1" customWidth="1"/>
    <col min="8" max="8" width="11.85546875" style="15" hidden="1" customWidth="1"/>
    <col min="9" max="10" width="11.85546875" style="21" hidden="1" customWidth="1"/>
    <col min="11" max="11" width="12.5703125" style="21" hidden="1" customWidth="1"/>
    <col min="12" max="16384" width="9.140625" style="2" hidden="1"/>
  </cols>
  <sheetData>
    <row r="1" spans="1:12" ht="50.25" customHeight="1" x14ac:dyDescent="0.4">
      <c r="B1" s="758" t="s">
        <v>893</v>
      </c>
      <c r="C1" s="759"/>
      <c r="D1" s="759"/>
      <c r="E1" s="759"/>
    </row>
    <row r="2" spans="1:12" x14ac:dyDescent="0.25">
      <c r="B2" s="760" t="s">
        <v>891</v>
      </c>
      <c r="C2" s="760"/>
      <c r="D2" s="760"/>
      <c r="E2" s="760"/>
    </row>
    <row r="3" spans="1:12" ht="15.75" thickBot="1" x14ac:dyDescent="0.3">
      <c r="B3" s="761" t="s">
        <v>892</v>
      </c>
      <c r="C3" s="761"/>
      <c r="D3" s="761"/>
      <c r="E3" s="761"/>
    </row>
    <row r="4" spans="1:12" ht="27.75" customHeight="1" thickTop="1" x14ac:dyDescent="0.25">
      <c r="B4" s="531" t="s">
        <v>916</v>
      </c>
      <c r="C4" s="531"/>
      <c r="D4" s="531"/>
      <c r="E4" s="531"/>
    </row>
    <row r="5" spans="1:12" ht="6.75" customHeight="1" x14ac:dyDescent="0.25"/>
    <row r="6" spans="1:12" s="366" customFormat="1" x14ac:dyDescent="0.25">
      <c r="A6" s="531" t="s">
        <v>684</v>
      </c>
      <c r="C6" s="523" t="s">
        <v>1114</v>
      </c>
      <c r="E6" s="465"/>
      <c r="H6" s="465"/>
      <c r="I6" s="465"/>
      <c r="J6" s="465"/>
      <c r="K6" s="465"/>
    </row>
    <row r="7" spans="1:12" s="366" customFormat="1" x14ac:dyDescent="0.25">
      <c r="A7" s="531" t="s">
        <v>685</v>
      </c>
      <c r="C7" s="745">
        <v>42170</v>
      </c>
      <c r="D7" s="366" t="s">
        <v>1113</v>
      </c>
      <c r="E7" s="465"/>
      <c r="H7" s="465"/>
      <c r="I7" s="465"/>
      <c r="J7" s="465"/>
      <c r="K7" s="465"/>
    </row>
    <row r="8" spans="1:12" s="366" customFormat="1" x14ac:dyDescent="0.25">
      <c r="A8" s="531" t="s">
        <v>889</v>
      </c>
      <c r="E8" s="465"/>
      <c r="H8" s="465"/>
      <c r="I8" s="465"/>
      <c r="J8" s="465"/>
      <c r="K8" s="465"/>
    </row>
    <row r="9" spans="1:12" s="366" customFormat="1" x14ac:dyDescent="0.25">
      <c r="A9" s="531" t="s">
        <v>890</v>
      </c>
      <c r="E9" s="465"/>
      <c r="H9" s="465"/>
      <c r="I9" s="465"/>
      <c r="J9" s="465"/>
      <c r="K9" s="465"/>
    </row>
    <row r="10" spans="1:12" s="366" customFormat="1" x14ac:dyDescent="0.25">
      <c r="A10" s="532"/>
      <c r="B10" s="366" t="s">
        <v>846</v>
      </c>
      <c r="C10" s="522" t="s">
        <v>847</v>
      </c>
      <c r="E10" s="465"/>
      <c r="H10" s="465"/>
      <c r="I10" s="465"/>
      <c r="J10" s="465"/>
      <c r="K10" s="465"/>
    </row>
    <row r="11" spans="1:12" s="366" customFormat="1" x14ac:dyDescent="0.25">
      <c r="B11" s="366" t="s">
        <v>887</v>
      </c>
      <c r="C11" s="522" t="s">
        <v>888</v>
      </c>
      <c r="E11" s="465"/>
      <c r="H11" s="465"/>
      <c r="I11" s="465"/>
      <c r="J11" s="465"/>
      <c r="K11" s="465"/>
    </row>
    <row r="12" spans="1:12" s="366" customFormat="1" x14ac:dyDescent="0.25">
      <c r="B12" s="366" t="s">
        <v>884</v>
      </c>
      <c r="C12" s="522" t="s">
        <v>885</v>
      </c>
      <c r="E12" s="465"/>
      <c r="H12" s="465"/>
      <c r="I12" s="465"/>
      <c r="J12" s="465"/>
      <c r="K12" s="465"/>
    </row>
    <row r="13" spans="1:12" s="366" customFormat="1" x14ac:dyDescent="0.25">
      <c r="B13" s="366" t="s">
        <v>844</v>
      </c>
      <c r="C13" s="522" t="s">
        <v>845</v>
      </c>
      <c r="E13" s="465"/>
      <c r="H13" s="465"/>
      <c r="I13" s="465"/>
      <c r="J13" s="465"/>
      <c r="K13" s="465"/>
    </row>
    <row r="14" spans="1:12" s="465" customFormat="1" ht="37.5" customHeight="1" thickBot="1" x14ac:dyDescent="0.35">
      <c r="A14" s="762" t="s">
        <v>791</v>
      </c>
      <c r="B14" s="762"/>
      <c r="C14" s="762"/>
      <c r="D14" s="762"/>
      <c r="E14" s="762"/>
      <c r="F14" s="366"/>
      <c r="G14" s="366"/>
      <c r="H14" s="366"/>
      <c r="I14" s="366"/>
      <c r="J14" s="366"/>
      <c r="K14" s="366"/>
      <c r="L14" s="366"/>
    </row>
    <row r="15" spans="1:12" s="366" customFormat="1" ht="27" customHeight="1" thickTop="1" thickBot="1" x14ac:dyDescent="0.35">
      <c r="B15" s="765" t="s">
        <v>646</v>
      </c>
      <c r="C15" s="765"/>
      <c r="D15" s="765"/>
      <c r="E15" s="765"/>
    </row>
    <row r="16" spans="1:12" s="366" customFormat="1" ht="22.5" customHeight="1" x14ac:dyDescent="0.25">
      <c r="B16" s="466" t="s">
        <v>641</v>
      </c>
      <c r="C16" s="777" t="s">
        <v>786</v>
      </c>
      <c r="D16" s="779"/>
      <c r="E16" s="778"/>
    </row>
    <row r="17" spans="1:12" s="366" customFormat="1" ht="47.25" customHeight="1" x14ac:dyDescent="0.25">
      <c r="B17" s="466" t="s">
        <v>603</v>
      </c>
      <c r="C17" s="777" t="s">
        <v>898</v>
      </c>
      <c r="D17" s="779"/>
      <c r="E17" s="778"/>
    </row>
    <row r="18" spans="1:12" s="366" customFormat="1" ht="27" customHeight="1" thickBot="1" x14ac:dyDescent="0.35">
      <c r="B18" s="780" t="s">
        <v>789</v>
      </c>
      <c r="C18" s="780"/>
      <c r="D18" s="780"/>
      <c r="E18" s="780"/>
    </row>
    <row r="19" spans="1:12" s="366" customFormat="1" ht="70.5" customHeight="1" x14ac:dyDescent="0.25">
      <c r="B19" s="466" t="s">
        <v>687</v>
      </c>
      <c r="C19" s="769" t="s">
        <v>663</v>
      </c>
      <c r="D19" s="770"/>
      <c r="E19" s="467" t="s">
        <v>894</v>
      </c>
      <c r="H19" s="465"/>
      <c r="I19" s="465"/>
      <c r="J19" s="465"/>
      <c r="K19" s="465"/>
    </row>
    <row r="20" spans="1:12" s="366" customFormat="1" ht="22.5" customHeight="1" x14ac:dyDescent="0.25">
      <c r="B20" s="466" t="s">
        <v>649</v>
      </c>
      <c r="C20" s="771" t="s">
        <v>393</v>
      </c>
      <c r="D20" s="772"/>
      <c r="E20" s="467" t="s">
        <v>790</v>
      </c>
      <c r="H20" s="465"/>
      <c r="I20" s="465"/>
      <c r="J20" s="465"/>
      <c r="K20" s="465"/>
    </row>
    <row r="21" spans="1:12" s="366" customFormat="1" x14ac:dyDescent="0.25">
      <c r="B21" s="775" t="s">
        <v>650</v>
      </c>
      <c r="C21" s="468" t="s">
        <v>8</v>
      </c>
      <c r="D21" s="469" t="s">
        <v>6</v>
      </c>
      <c r="E21" s="773" t="s">
        <v>882</v>
      </c>
      <c r="H21" s="465"/>
      <c r="I21" s="465"/>
      <c r="J21" s="465"/>
      <c r="K21" s="465"/>
    </row>
    <row r="22" spans="1:12" s="366" customFormat="1" ht="37.5" customHeight="1" x14ac:dyDescent="0.25">
      <c r="B22" s="776"/>
      <c r="C22" s="470" t="s">
        <v>660</v>
      </c>
      <c r="D22" s="471" t="s">
        <v>661</v>
      </c>
      <c r="E22" s="774"/>
      <c r="H22" s="465"/>
      <c r="I22" s="465"/>
      <c r="J22" s="465"/>
      <c r="K22" s="465"/>
    </row>
    <row r="23" spans="1:12" s="366" customFormat="1" ht="22.5" customHeight="1" x14ac:dyDescent="0.25">
      <c r="B23" s="466" t="s">
        <v>648</v>
      </c>
      <c r="C23" s="777"/>
      <c r="D23" s="778"/>
      <c r="E23" s="467" t="s">
        <v>651</v>
      </c>
      <c r="H23" s="465"/>
      <c r="I23" s="465"/>
      <c r="J23" s="465"/>
      <c r="K23" s="465"/>
    </row>
    <row r="24" spans="1:12" s="233" customFormat="1" ht="12" customHeight="1" x14ac:dyDescent="0.3">
      <c r="A24" s="472"/>
      <c r="B24" s="472"/>
      <c r="C24" s="472"/>
      <c r="D24" s="472"/>
      <c r="E24" s="472"/>
      <c r="F24" s="276"/>
      <c r="G24" s="276"/>
      <c r="H24" s="276"/>
      <c r="I24" s="276"/>
      <c r="J24" s="276"/>
      <c r="K24" s="276"/>
      <c r="L24" s="276"/>
    </row>
    <row r="25" spans="1:12" ht="37.5" customHeight="1" thickBot="1" x14ac:dyDescent="0.35">
      <c r="A25" s="762" t="s">
        <v>792</v>
      </c>
      <c r="B25" s="762"/>
      <c r="C25" s="762"/>
      <c r="D25" s="762"/>
      <c r="E25" s="762"/>
      <c r="F25"/>
      <c r="G25"/>
      <c r="H25"/>
      <c r="I25"/>
      <c r="J25"/>
      <c r="K25"/>
      <c r="L25"/>
    </row>
    <row r="26" spans="1:12" ht="27" customHeight="1" thickTop="1" thickBot="1" x14ac:dyDescent="0.35">
      <c r="B26" s="764" t="s">
        <v>647</v>
      </c>
      <c r="C26" s="764"/>
      <c r="D26" s="764"/>
      <c r="E26" s="764"/>
      <c r="F26"/>
      <c r="G26"/>
      <c r="H26"/>
      <c r="I26"/>
      <c r="J26"/>
      <c r="K26"/>
      <c r="L26"/>
    </row>
    <row r="27" spans="1:12" ht="31.5" customHeight="1" x14ac:dyDescent="0.25">
      <c r="B27" s="466" t="s">
        <v>642</v>
      </c>
      <c r="C27" s="766" t="s">
        <v>895</v>
      </c>
      <c r="D27" s="767"/>
      <c r="E27" s="768"/>
      <c r="F27"/>
      <c r="G27"/>
      <c r="H27"/>
      <c r="I27"/>
      <c r="J27"/>
      <c r="K27"/>
      <c r="L27"/>
    </row>
    <row r="28" spans="1:12" ht="19.5" customHeight="1" x14ac:dyDescent="0.25">
      <c r="B28" s="466" t="s">
        <v>643</v>
      </c>
      <c r="C28" s="766" t="s">
        <v>896</v>
      </c>
      <c r="D28" s="767"/>
      <c r="E28" s="768"/>
      <c r="F28"/>
      <c r="G28"/>
      <c r="H28"/>
      <c r="I28"/>
      <c r="J28"/>
      <c r="K28"/>
      <c r="L28"/>
    </row>
    <row r="29" spans="1:12" ht="60.75" customHeight="1" x14ac:dyDescent="0.25">
      <c r="B29" s="466" t="s">
        <v>644</v>
      </c>
      <c r="C29" s="766" t="s">
        <v>897</v>
      </c>
      <c r="D29" s="767"/>
      <c r="E29" s="768"/>
      <c r="F29"/>
      <c r="G29"/>
      <c r="H29"/>
      <c r="I29"/>
      <c r="J29"/>
      <c r="K29"/>
      <c r="L29"/>
    </row>
    <row r="30" spans="1:12" ht="19.5" customHeight="1" x14ac:dyDescent="0.25">
      <c r="B30" s="466" t="s">
        <v>645</v>
      </c>
      <c r="C30" s="766" t="s">
        <v>883</v>
      </c>
      <c r="D30" s="767"/>
      <c r="E30" s="768"/>
      <c r="F30"/>
      <c r="G30"/>
      <c r="H30"/>
      <c r="I30"/>
      <c r="J30"/>
      <c r="K30"/>
      <c r="L30"/>
    </row>
    <row r="31" spans="1:12" ht="19.5" customHeight="1" x14ac:dyDescent="0.25">
      <c r="B31" s="466" t="s">
        <v>623</v>
      </c>
      <c r="C31" s="766" t="s">
        <v>788</v>
      </c>
      <c r="D31" s="767"/>
      <c r="E31" s="768"/>
      <c r="F31"/>
      <c r="G31"/>
      <c r="H31"/>
      <c r="I31"/>
      <c r="J31"/>
      <c r="K31"/>
      <c r="L31"/>
    </row>
    <row r="32" spans="1:12" ht="19.5" customHeight="1" x14ac:dyDescent="0.25">
      <c r="B32" s="232"/>
      <c r="C32" s="233"/>
      <c r="D32" s="233"/>
      <c r="E32" s="233"/>
      <c r="F32" s="143"/>
      <c r="G32" s="143"/>
      <c r="H32" s="143"/>
      <c r="I32" s="143"/>
      <c r="J32" s="143"/>
      <c r="K32" s="143"/>
      <c r="L32" s="143"/>
    </row>
    <row r="33" spans="1:5" ht="37.5" customHeight="1" thickBot="1" x14ac:dyDescent="0.35">
      <c r="A33" s="763" t="s">
        <v>794</v>
      </c>
      <c r="B33" s="763"/>
      <c r="C33" s="763"/>
      <c r="D33" s="763"/>
      <c r="E33" s="763"/>
    </row>
    <row r="34" spans="1:5" ht="15.75" thickTop="1" x14ac:dyDescent="0.25">
      <c r="B34" s="473" t="s">
        <v>797</v>
      </c>
      <c r="C34" s="781" t="s">
        <v>868</v>
      </c>
      <c r="D34" s="782"/>
      <c r="E34" s="783"/>
    </row>
    <row r="35" spans="1:5" x14ac:dyDescent="0.25">
      <c r="B35" s="473" t="s">
        <v>796</v>
      </c>
      <c r="C35" s="777" t="s">
        <v>798</v>
      </c>
      <c r="D35" s="779"/>
      <c r="E35" s="778"/>
    </row>
    <row r="36" spans="1:5" ht="18.75" customHeight="1" x14ac:dyDescent="0.25">
      <c r="B36" s="473" t="s">
        <v>662</v>
      </c>
      <c r="C36" s="784" t="s">
        <v>880</v>
      </c>
      <c r="D36" s="785"/>
      <c r="E36" s="786"/>
    </row>
    <row r="37" spans="1:5" ht="61.5" customHeight="1" x14ac:dyDescent="0.25">
      <c r="B37" s="473" t="s">
        <v>795</v>
      </c>
      <c r="C37" s="777" t="s">
        <v>869</v>
      </c>
      <c r="D37" s="779"/>
      <c r="E37" s="778"/>
    </row>
    <row r="38" spans="1:5" ht="19.5" customHeight="1" x14ac:dyDescent="0.25">
      <c r="B38" s="473" t="s">
        <v>686</v>
      </c>
      <c r="C38" s="777" t="s">
        <v>899</v>
      </c>
      <c r="D38" s="779"/>
      <c r="E38" s="778"/>
    </row>
    <row r="39" spans="1:5" ht="27" customHeight="1" thickBot="1" x14ac:dyDescent="0.35">
      <c r="A39" s="366"/>
      <c r="B39" s="780" t="s">
        <v>863</v>
      </c>
      <c r="C39" s="780"/>
      <c r="D39" s="780"/>
      <c r="E39" s="780"/>
    </row>
    <row r="40" spans="1:5" ht="30" customHeight="1" x14ac:dyDescent="0.25">
      <c r="B40" s="790" t="s">
        <v>900</v>
      </c>
      <c r="C40" s="790"/>
      <c r="D40" s="790"/>
      <c r="E40" s="790"/>
    </row>
    <row r="41" spans="1:5" ht="60" customHeight="1" x14ac:dyDescent="0.25">
      <c r="B41" s="466" t="s">
        <v>864</v>
      </c>
      <c r="C41" s="777" t="s">
        <v>875</v>
      </c>
      <c r="D41" s="779"/>
      <c r="E41" s="778"/>
    </row>
    <row r="42" spans="1:5" ht="30" customHeight="1" x14ac:dyDescent="0.25">
      <c r="B42" s="466" t="s">
        <v>865</v>
      </c>
      <c r="C42" s="777" t="s">
        <v>874</v>
      </c>
      <c r="D42" s="779"/>
      <c r="E42" s="778"/>
    </row>
    <row r="43" spans="1:5" ht="45" customHeight="1" x14ac:dyDescent="0.25">
      <c r="B43" s="466" t="s">
        <v>866</v>
      </c>
      <c r="C43" s="777" t="s">
        <v>876</v>
      </c>
      <c r="D43" s="779"/>
      <c r="E43" s="778"/>
    </row>
    <row r="44" spans="1:5" ht="45" customHeight="1" x14ac:dyDescent="0.25">
      <c r="B44" s="466" t="s">
        <v>867</v>
      </c>
      <c r="C44" s="777" t="s">
        <v>901</v>
      </c>
      <c r="D44" s="779"/>
      <c r="E44" s="778"/>
    </row>
    <row r="45" spans="1:5" ht="45" customHeight="1" x14ac:dyDescent="0.25">
      <c r="B45" s="466" t="s">
        <v>872</v>
      </c>
      <c r="C45" s="777" t="s">
        <v>877</v>
      </c>
      <c r="D45" s="779"/>
      <c r="E45" s="778"/>
    </row>
    <row r="46" spans="1:5" ht="60" customHeight="1" x14ac:dyDescent="0.25">
      <c r="B46" s="466" t="s">
        <v>873</v>
      </c>
      <c r="C46" s="777" t="s">
        <v>878</v>
      </c>
      <c r="D46" s="779"/>
      <c r="E46" s="778"/>
    </row>
    <row r="47" spans="1:5" ht="30" customHeight="1" x14ac:dyDescent="0.25">
      <c r="B47" s="466" t="s">
        <v>871</v>
      </c>
      <c r="C47" s="777" t="s">
        <v>902</v>
      </c>
      <c r="D47" s="779"/>
      <c r="E47" s="778"/>
    </row>
    <row r="48" spans="1:5" ht="45" customHeight="1" x14ac:dyDescent="0.25">
      <c r="B48" s="466" t="s">
        <v>870</v>
      </c>
      <c r="C48" s="777" t="s">
        <v>879</v>
      </c>
      <c r="D48" s="779"/>
      <c r="E48" s="778"/>
    </row>
    <row r="49" spans="1:5" ht="27" customHeight="1" thickBot="1" x14ac:dyDescent="0.35">
      <c r="A49" s="366"/>
      <c r="B49" s="780" t="s">
        <v>848</v>
      </c>
      <c r="C49" s="780"/>
      <c r="D49" s="780"/>
      <c r="E49" s="780"/>
    </row>
    <row r="50" spans="1:5" ht="30" x14ac:dyDescent="0.25">
      <c r="B50" s="466" t="s">
        <v>849</v>
      </c>
      <c r="C50" s="524" t="s">
        <v>855</v>
      </c>
      <c r="D50" s="223"/>
      <c r="E50" s="224"/>
    </row>
    <row r="51" spans="1:5" ht="30" x14ac:dyDescent="0.25">
      <c r="B51" s="466" t="s">
        <v>856</v>
      </c>
      <c r="C51" s="525" t="s">
        <v>903</v>
      </c>
      <c r="D51" s="223"/>
      <c r="E51" s="224"/>
    </row>
    <row r="52" spans="1:5" ht="30" x14ac:dyDescent="0.25">
      <c r="B52" s="466" t="s">
        <v>857</v>
      </c>
      <c r="C52" s="525" t="s">
        <v>904</v>
      </c>
      <c r="D52" s="223"/>
      <c r="E52" s="224"/>
    </row>
    <row r="53" spans="1:5" x14ac:dyDescent="0.25">
      <c r="B53" s="466" t="s">
        <v>851</v>
      </c>
      <c r="C53" s="525" t="s">
        <v>858</v>
      </c>
      <c r="D53" s="223"/>
      <c r="E53" s="224"/>
    </row>
    <row r="54" spans="1:5" x14ac:dyDescent="0.25">
      <c r="B54" s="466" t="s">
        <v>852</v>
      </c>
      <c r="C54" s="525" t="s">
        <v>859</v>
      </c>
      <c r="D54" s="223"/>
      <c r="E54" s="224"/>
    </row>
    <row r="55" spans="1:5" x14ac:dyDescent="0.25">
      <c r="B55" s="466" t="s">
        <v>1104</v>
      </c>
      <c r="C55" s="525" t="s">
        <v>860</v>
      </c>
      <c r="D55" s="223"/>
      <c r="E55" s="224"/>
    </row>
    <row r="56" spans="1:5" x14ac:dyDescent="0.25">
      <c r="B56" s="466" t="s">
        <v>1018</v>
      </c>
      <c r="C56" s="727" t="s">
        <v>1108</v>
      </c>
      <c r="D56" s="728"/>
      <c r="E56" s="729"/>
    </row>
    <row r="57" spans="1:5" x14ac:dyDescent="0.25">
      <c r="B57" s="466" t="s">
        <v>1107</v>
      </c>
      <c r="C57" s="727" t="s">
        <v>1109</v>
      </c>
      <c r="D57" s="728"/>
      <c r="E57" s="729"/>
    </row>
    <row r="58" spans="1:5" ht="30" x14ac:dyDescent="0.25">
      <c r="B58" s="466" t="s">
        <v>853</v>
      </c>
      <c r="C58" s="525" t="s">
        <v>861</v>
      </c>
      <c r="D58" s="223"/>
      <c r="E58" s="224"/>
    </row>
    <row r="59" spans="1:5" x14ac:dyDescent="0.25">
      <c r="B59" s="466" t="s">
        <v>854</v>
      </c>
      <c r="C59" s="525" t="s">
        <v>862</v>
      </c>
      <c r="D59" s="223"/>
      <c r="E59" s="224"/>
    </row>
    <row r="60" spans="1:5" ht="27.75" customHeight="1" thickBot="1" x14ac:dyDescent="0.35">
      <c r="A60" s="366"/>
      <c r="B60" s="780" t="s">
        <v>881</v>
      </c>
      <c r="C60" s="780"/>
      <c r="D60" s="780"/>
      <c r="E60" s="780"/>
    </row>
    <row r="61" spans="1:5" ht="106.5" customHeight="1" x14ac:dyDescent="0.25">
      <c r="B61" s="466" t="s">
        <v>850</v>
      </c>
      <c r="C61" s="787" t="s">
        <v>913</v>
      </c>
      <c r="D61" s="788"/>
      <c r="E61" s="789"/>
    </row>
    <row r="62" spans="1:5" ht="34.5" customHeight="1" x14ac:dyDescent="0.25">
      <c r="B62" s="473" t="s">
        <v>852</v>
      </c>
      <c r="C62" s="777" t="s">
        <v>1079</v>
      </c>
      <c r="D62" s="779"/>
      <c r="E62" s="778"/>
    </row>
    <row r="63" spans="1:5" ht="75" customHeight="1" x14ac:dyDescent="0.25">
      <c r="B63" s="473" t="s">
        <v>1110</v>
      </c>
      <c r="C63" s="777" t="s">
        <v>1111</v>
      </c>
      <c r="D63" s="779"/>
      <c r="E63" s="778"/>
    </row>
    <row r="64" spans="1:5" customFormat="1" ht="12.75" customHeight="1" x14ac:dyDescent="0.25"/>
    <row r="65" spans="2:5" ht="37.5" customHeight="1" thickBot="1" x14ac:dyDescent="0.35">
      <c r="B65" s="221" t="s">
        <v>793</v>
      </c>
      <c r="C65" s="221"/>
      <c r="D65" s="221"/>
      <c r="E65" s="222"/>
    </row>
    <row r="66" spans="2:5" ht="15.75" thickTop="1" x14ac:dyDescent="0.25">
      <c r="B66" s="2" t="s">
        <v>1112</v>
      </c>
    </row>
    <row r="67" spans="2:5" x14ac:dyDescent="0.25"/>
    <row r="68" spans="2:5" hidden="1" x14ac:dyDescent="0.25"/>
    <row r="69" spans="2:5" hidden="1" x14ac:dyDescent="0.25"/>
    <row r="70" spans="2:5" hidden="1" x14ac:dyDescent="0.25"/>
    <row r="71" spans="2:5" hidden="1" x14ac:dyDescent="0.25"/>
    <row r="72" spans="2:5" hidden="1" x14ac:dyDescent="0.25"/>
    <row r="73" spans="2:5" hidden="1" x14ac:dyDescent="0.25"/>
    <row r="74" spans="2:5" hidden="1" x14ac:dyDescent="0.25"/>
    <row r="75" spans="2:5" hidden="1" x14ac:dyDescent="0.25"/>
    <row r="76" spans="2:5" hidden="1" x14ac:dyDescent="0.25"/>
    <row r="77" spans="2:5" hidden="1" x14ac:dyDescent="0.25"/>
    <row r="78" spans="2:5" hidden="1" x14ac:dyDescent="0.25"/>
    <row r="79" spans="2:5" hidden="1" x14ac:dyDescent="0.25"/>
    <row r="80" spans="2:5"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sheetData>
  <sheetProtection algorithmName="SHA-512" hashValue="m55jc1cs2PKG2pOygZVyv9WDWSY2PDv3ScujR1P5xOhsLmc7Mm4ctTSPTMgj/4G9T2IU9MVZ183yTtpA9Eul5w==" saltValue="NhJ1Z74IhxxeB+JYmyA9Rg==" spinCount="100000" sheet="1" objects="1" scenarios="1"/>
  <customSheetViews>
    <customSheetView guid="{60F78483-39BF-4220-A916-CF2EC8650828}" scale="140" hiddenColumns="1">
      <selection activeCell="B13" sqref="B13"/>
      <pageMargins left="0.7" right="0.7" top="0.75" bottom="0.75" header="0.3" footer="0.3"/>
    </customSheetView>
    <customSheetView guid="{A81EEAD5-0F54-487C-916C-C0011EA5EA13}" scale="140" hiddenColumns="1">
      <selection activeCell="B13" sqref="B13"/>
      <pageMargins left="0.7" right="0.7" top="0.75" bottom="0.75" header="0.3" footer="0.3"/>
    </customSheetView>
    <customSheetView guid="{4A33A914-5DEA-45EA-961C-669673132E6E}" scale="170">
      <selection activeCell="E8" sqref="E8"/>
      <pageMargins left="0.7" right="0.7" top="0.75" bottom="0.75" header="0.3" footer="0.3"/>
    </customSheetView>
  </customSheetViews>
  <mergeCells count="41">
    <mergeCell ref="C46:E46"/>
    <mergeCell ref="C47:E47"/>
    <mergeCell ref="C48:E48"/>
    <mergeCell ref="C45:E45"/>
    <mergeCell ref="B39:E39"/>
    <mergeCell ref="C41:E41"/>
    <mergeCell ref="C42:E42"/>
    <mergeCell ref="C43:E43"/>
    <mergeCell ref="C44:E44"/>
    <mergeCell ref="B40:E40"/>
    <mergeCell ref="B49:E49"/>
    <mergeCell ref="B60:E60"/>
    <mergeCell ref="C61:E61"/>
    <mergeCell ref="C62:E62"/>
    <mergeCell ref="C63:E63"/>
    <mergeCell ref="C38:E38"/>
    <mergeCell ref="C35:E35"/>
    <mergeCell ref="C34:E34"/>
    <mergeCell ref="C36:E36"/>
    <mergeCell ref="C37:E37"/>
    <mergeCell ref="A33:E33"/>
    <mergeCell ref="B26:E26"/>
    <mergeCell ref="B15:E15"/>
    <mergeCell ref="C28:E28"/>
    <mergeCell ref="C29:E29"/>
    <mergeCell ref="C30:E30"/>
    <mergeCell ref="C31:E31"/>
    <mergeCell ref="C19:D19"/>
    <mergeCell ref="C20:D20"/>
    <mergeCell ref="E21:E22"/>
    <mergeCell ref="B21:B22"/>
    <mergeCell ref="C23:D23"/>
    <mergeCell ref="C16:E16"/>
    <mergeCell ref="C17:E17"/>
    <mergeCell ref="C27:E27"/>
    <mergeCell ref="B18:E18"/>
    <mergeCell ref="B1:E1"/>
    <mergeCell ref="B2:E2"/>
    <mergeCell ref="B3:E3"/>
    <mergeCell ref="A14:E14"/>
    <mergeCell ref="A25:E25"/>
  </mergeCells>
  <hyperlinks>
    <hyperlink ref="C13" r:id="rId1"/>
    <hyperlink ref="C10" r:id="rId2"/>
    <hyperlink ref="C12" r:id="rId3"/>
    <hyperlink ref="C11" r:id="rId4"/>
  </hyperlinks>
  <pageMargins left="0.7" right="0.7" top="0.75" bottom="0.75" header="0.3" footer="0.3"/>
  <pageSetup orientation="portrait"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9"/>
  </sheetPr>
  <dimension ref="A1:DB240"/>
  <sheetViews>
    <sheetView zoomScaleNormal="100" workbookViewId="0">
      <pane xSplit="21" ySplit="11" topLeftCell="V12" activePane="bottomRight" state="frozen"/>
      <selection pane="topRight" activeCell="V1" sqref="V1"/>
      <selection pane="bottomLeft" activeCell="A12" sqref="A12"/>
      <selection pane="bottomRight" activeCell="B3" sqref="B3"/>
    </sheetView>
  </sheetViews>
  <sheetFormatPr defaultColWidth="0" defaultRowHeight="15" zeroHeight="1" x14ac:dyDescent="0.25"/>
  <cols>
    <col min="1" max="1" width="1.85546875" style="49" customWidth="1"/>
    <col min="2" max="18" width="3.85546875" style="49" customWidth="1"/>
    <col min="19" max="19" width="5.28515625" style="49" customWidth="1"/>
    <col min="20" max="26" width="3.85546875" style="49" customWidth="1"/>
    <col min="27" max="27" width="5" style="49" customWidth="1"/>
    <col min="28" max="31" width="5.85546875" style="49" bestFit="1" customWidth="1"/>
    <col min="32" max="32" width="1.28515625" style="49" customWidth="1"/>
    <col min="33" max="37" width="3.85546875" style="49" customWidth="1"/>
    <col min="38" max="38" width="4.42578125" style="49" customWidth="1"/>
    <col min="39" max="39" width="5.28515625" style="49" customWidth="1"/>
    <col min="40" max="40" width="4.42578125" style="49" customWidth="1"/>
    <col min="41" max="42" width="4.7109375" style="49" customWidth="1"/>
    <col min="43" max="43" width="1" style="634" customWidth="1"/>
    <col min="44" max="44" width="3.7109375" style="634" customWidth="1"/>
    <col min="45" max="45" width="5.5703125" style="634" customWidth="1"/>
    <col min="46" max="46" width="3.7109375" style="634" customWidth="1"/>
    <col min="47" max="47" width="1.28515625" style="49" customWidth="1"/>
    <col min="48" max="51" width="3.85546875" style="49" customWidth="1"/>
    <col min="52" max="52" width="5.7109375" style="49" customWidth="1"/>
    <col min="53" max="53" width="1" style="49" customWidth="1"/>
    <col min="54" max="57" width="3.85546875" style="49" customWidth="1"/>
    <col min="58" max="58" width="8.5703125" style="49" customWidth="1"/>
    <col min="59" max="60" width="3.85546875" style="49" customWidth="1"/>
    <col min="61" max="72" width="3.85546875" style="49" hidden="1" customWidth="1"/>
    <col min="73" max="106" width="0" style="49" hidden="1" customWidth="1"/>
    <col min="107" max="16384" width="9.140625" style="49" hidden="1"/>
  </cols>
  <sheetData>
    <row r="1" spans="2:104" s="30" customFormat="1" ht="16.5" customHeight="1" x14ac:dyDescent="0.25">
      <c r="B1" s="806" t="s">
        <v>641</v>
      </c>
      <c r="C1" s="806"/>
      <c r="D1" s="806"/>
      <c r="E1" s="806"/>
      <c r="F1" s="806"/>
      <c r="G1" s="806"/>
      <c r="H1" s="806"/>
      <c r="I1" s="806"/>
      <c r="J1" s="806"/>
      <c r="K1" s="32"/>
      <c r="L1" s="807"/>
      <c r="M1" s="807"/>
      <c r="N1" s="807"/>
      <c r="O1" s="807"/>
      <c r="P1" s="807"/>
      <c r="Q1" s="807"/>
      <c r="R1" s="807"/>
      <c r="S1" s="807"/>
      <c r="T1" s="807"/>
      <c r="U1" s="807"/>
      <c r="V1" s="807"/>
      <c r="W1" s="807"/>
      <c r="X1" s="37" t="s">
        <v>1115</v>
      </c>
      <c r="Y1" s="189"/>
      <c r="Z1" s="189"/>
      <c r="AA1" s="189"/>
      <c r="AB1" s="189"/>
      <c r="AC1" s="189"/>
      <c r="AD1" s="189"/>
      <c r="AE1" s="189"/>
      <c r="AF1" s="189"/>
      <c r="AG1" s="189"/>
      <c r="AH1" s="189"/>
      <c r="AI1" s="189"/>
      <c r="AJ1" s="189"/>
      <c r="AK1" s="189"/>
      <c r="AL1" s="793" t="s">
        <v>1121</v>
      </c>
      <c r="AM1" s="793"/>
      <c r="AN1" s="793"/>
      <c r="AO1" s="793"/>
      <c r="AP1" s="793"/>
      <c r="AQ1" s="793"/>
      <c r="AR1" s="793"/>
      <c r="AS1" s="793"/>
      <c r="AT1" s="793"/>
      <c r="AU1" s="793"/>
      <c r="AV1" s="793"/>
      <c r="AW1" s="793"/>
      <c r="AX1" s="793"/>
      <c r="AY1" s="793"/>
      <c r="AZ1" s="793"/>
      <c r="BA1" s="793"/>
      <c r="BB1" s="793"/>
      <c r="BC1" s="793"/>
      <c r="BD1" s="793"/>
      <c r="BE1" s="793"/>
      <c r="BF1" s="793"/>
      <c r="BG1" s="31"/>
      <c r="BH1" s="31"/>
      <c r="BI1" s="31"/>
      <c r="BJ1" s="31"/>
      <c r="BK1" s="31"/>
      <c r="BL1" s="31"/>
      <c r="BM1" s="33"/>
    </row>
    <row r="2" spans="2:104" s="30" customFormat="1" ht="17.25" customHeight="1" x14ac:dyDescent="0.25">
      <c r="B2" s="806"/>
      <c r="C2" s="806"/>
      <c r="D2" s="806"/>
      <c r="E2" s="806"/>
      <c r="F2" s="806"/>
      <c r="G2" s="806"/>
      <c r="H2" s="806"/>
      <c r="I2" s="806"/>
      <c r="J2" s="806"/>
      <c r="K2" s="26"/>
      <c r="L2" s="807"/>
      <c r="M2" s="807"/>
      <c r="N2" s="807"/>
      <c r="O2" s="807"/>
      <c r="P2" s="807"/>
      <c r="Q2" s="807"/>
      <c r="R2" s="807"/>
      <c r="S2" s="807"/>
      <c r="T2" s="807"/>
      <c r="U2" s="807"/>
      <c r="V2" s="807"/>
      <c r="W2" s="807"/>
      <c r="X2" s="189"/>
      <c r="Y2" s="189"/>
      <c r="Z2" s="189"/>
      <c r="AA2" s="189"/>
      <c r="AB2" s="189"/>
      <c r="AC2" s="189"/>
      <c r="AD2" s="189"/>
      <c r="AE2" s="189"/>
      <c r="AF2" s="189"/>
      <c r="AG2" s="189"/>
      <c r="AH2" s="189"/>
      <c r="AI2" s="189"/>
      <c r="AJ2" s="189"/>
      <c r="AK2" s="189"/>
      <c r="AL2" s="793"/>
      <c r="AM2" s="793"/>
      <c r="AN2" s="793"/>
      <c r="AO2" s="793"/>
      <c r="AP2" s="793"/>
      <c r="AQ2" s="793"/>
      <c r="AR2" s="793"/>
      <c r="AS2" s="793"/>
      <c r="AT2" s="793"/>
      <c r="AU2" s="793"/>
      <c r="AV2" s="793"/>
      <c r="AW2" s="793"/>
      <c r="AX2" s="793"/>
      <c r="AY2" s="793"/>
      <c r="AZ2" s="793"/>
      <c r="BA2" s="793"/>
      <c r="BB2" s="793"/>
      <c r="BC2" s="793"/>
      <c r="BD2" s="793"/>
      <c r="BE2" s="793"/>
      <c r="BF2" s="793"/>
      <c r="BG2" s="31"/>
      <c r="BH2" s="24"/>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31"/>
      <c r="CV2" s="31"/>
      <c r="CW2" s="31"/>
      <c r="CX2" s="31"/>
      <c r="CY2" s="31"/>
      <c r="CZ2" s="31"/>
    </row>
    <row r="3" spans="2:104" s="30" customFormat="1" ht="15" customHeight="1" x14ac:dyDescent="0.25">
      <c r="K3" s="152" t="s">
        <v>468</v>
      </c>
      <c r="L3" s="126"/>
      <c r="M3" s="126"/>
      <c r="N3" s="126"/>
      <c r="O3" s="151"/>
      <c r="P3" s="151"/>
      <c r="Q3" s="151"/>
      <c r="R3" s="126"/>
      <c r="S3" s="63"/>
      <c r="T3" s="63"/>
      <c r="U3" s="166"/>
      <c r="V3" s="27"/>
      <c r="W3" s="27"/>
      <c r="X3" s="27"/>
      <c r="Y3" s="27"/>
      <c r="BG3" s="31"/>
      <c r="BH3" s="24"/>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31"/>
      <c r="CV3" s="31"/>
      <c r="CW3" s="31"/>
      <c r="CX3" s="31"/>
      <c r="CY3" s="31"/>
      <c r="CZ3" s="31"/>
    </row>
    <row r="4" spans="2:104" s="30" customFormat="1" x14ac:dyDescent="0.25">
      <c r="K4" s="152" t="s">
        <v>583</v>
      </c>
      <c r="L4" s="63"/>
      <c r="M4" s="63"/>
      <c r="N4" s="63"/>
      <c r="O4" s="63"/>
      <c r="P4" s="63"/>
      <c r="Q4" s="63"/>
      <c r="R4" s="63"/>
      <c r="S4" s="63"/>
      <c r="T4" s="63"/>
      <c r="U4" s="63"/>
      <c r="Y4" s="55"/>
      <c r="Z4" s="55"/>
      <c r="AA4" s="55"/>
      <c r="AB4" s="187"/>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31"/>
      <c r="BH4" s="24"/>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31"/>
      <c r="CV4" s="31"/>
      <c r="CW4" s="31"/>
      <c r="CX4" s="31"/>
      <c r="CY4" s="31"/>
      <c r="CZ4" s="31"/>
    </row>
    <row r="5" spans="2:104" s="30" customFormat="1" ht="15" customHeight="1" x14ac:dyDescent="0.25">
      <c r="K5" s="152" t="s">
        <v>184</v>
      </c>
      <c r="L5" s="153"/>
      <c r="M5" s="153"/>
      <c r="N5" s="153"/>
      <c r="O5" s="153"/>
      <c r="P5" s="153"/>
      <c r="Q5" s="153"/>
      <c r="R5" s="153"/>
      <c r="S5" s="63"/>
      <c r="T5" s="63"/>
      <c r="U5" s="63"/>
      <c r="V5" s="800" t="str">
        <f>'Intermediate Data'!E50</f>
        <v>All IOUs</v>
      </c>
      <c r="W5" s="800"/>
      <c r="X5" s="800"/>
      <c r="Y5" s="800"/>
      <c r="Z5" s="800"/>
      <c r="AA5" s="800"/>
      <c r="AB5" s="800"/>
      <c r="AC5" s="800"/>
      <c r="AD5" s="800"/>
      <c r="AE5" s="800"/>
      <c r="AF5" s="800"/>
      <c r="AG5" s="800"/>
      <c r="AH5" s="800"/>
      <c r="AI5" s="800"/>
      <c r="AJ5" s="800"/>
      <c r="AK5" s="800"/>
      <c r="AL5" s="800"/>
      <c r="AM5" s="800"/>
      <c r="AN5" s="800"/>
      <c r="AO5" s="800"/>
      <c r="AP5" s="800"/>
      <c r="AR5" s="800" t="s">
        <v>1043</v>
      </c>
      <c r="AS5" s="800"/>
      <c r="AT5" s="800"/>
      <c r="AV5" s="808" t="s">
        <v>775</v>
      </c>
      <c r="AW5" s="808"/>
      <c r="AX5" s="808"/>
      <c r="AY5" s="808"/>
      <c r="AZ5" s="808"/>
      <c r="BA5" s="808"/>
      <c r="BB5" s="808"/>
      <c r="BC5" s="808"/>
      <c r="BD5" s="808"/>
      <c r="BE5" s="808"/>
      <c r="BF5" s="808"/>
      <c r="BG5" s="31"/>
      <c r="BH5" s="24"/>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31"/>
      <c r="CV5" s="31"/>
      <c r="CW5" s="31"/>
      <c r="CX5" s="31"/>
      <c r="CY5" s="31"/>
      <c r="CZ5" s="31"/>
    </row>
    <row r="6" spans="2:104" s="30" customFormat="1" ht="4.5" customHeight="1" x14ac:dyDescent="0.25">
      <c r="M6" s="27"/>
      <c r="N6" s="56"/>
      <c r="O6" s="55"/>
      <c r="P6" s="55"/>
      <c r="Q6" s="55"/>
      <c r="R6" s="55"/>
      <c r="S6" s="55"/>
      <c r="T6" s="55"/>
      <c r="U6" s="55"/>
      <c r="AV6" s="165"/>
      <c r="AW6" s="165"/>
      <c r="AX6" s="165"/>
      <c r="AY6" s="165"/>
      <c r="AZ6" s="165"/>
      <c r="BA6" s="165"/>
      <c r="BB6" s="165"/>
      <c r="BC6" s="165"/>
      <c r="BD6" s="165"/>
      <c r="BE6" s="165"/>
      <c r="BF6" s="165"/>
      <c r="BG6" s="31"/>
      <c r="BH6" s="24"/>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31"/>
      <c r="CV6" s="31"/>
      <c r="CW6" s="31"/>
      <c r="CX6" s="31"/>
      <c r="CY6" s="31"/>
      <c r="CZ6" s="31"/>
    </row>
    <row r="7" spans="2:104" s="30" customFormat="1" ht="15" customHeight="1" x14ac:dyDescent="0.25">
      <c r="K7" s="152" t="s">
        <v>469</v>
      </c>
      <c r="L7" s="62"/>
      <c r="M7" s="62"/>
      <c r="N7" s="62"/>
      <c r="R7" s="28"/>
      <c r="S7" s="28"/>
      <c r="T7" s="28"/>
      <c r="U7" s="28"/>
      <c r="V7" s="62"/>
      <c r="W7" s="28"/>
      <c r="X7" s="28"/>
      <c r="Y7" s="28"/>
      <c r="Z7" s="28"/>
      <c r="AB7" s="28"/>
      <c r="AG7" s="63"/>
      <c r="AR7" s="63"/>
      <c r="AV7" s="63"/>
      <c r="BB7" s="63"/>
      <c r="BG7" s="31"/>
      <c r="BH7" s="24"/>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31"/>
      <c r="CV7" s="31"/>
      <c r="CW7" s="31"/>
      <c r="CX7" s="31"/>
      <c r="CY7" s="31"/>
      <c r="CZ7" s="31"/>
    </row>
    <row r="8" spans="2:104" s="30" customFormat="1" ht="15" customHeight="1" x14ac:dyDescent="0.25">
      <c r="M8" s="28"/>
      <c r="N8" s="29"/>
      <c r="V8" s="184" t="s">
        <v>179</v>
      </c>
      <c r="W8" s="184"/>
      <c r="X8" s="184"/>
      <c r="Y8" s="184"/>
      <c r="Z8" s="57"/>
      <c r="AA8" s="796" t="s">
        <v>911</v>
      </c>
      <c r="AB8" s="796"/>
      <c r="AC8" s="796"/>
      <c r="AD8" s="796"/>
      <c r="AE8" s="796"/>
      <c r="AF8" s="23"/>
      <c r="AG8" s="184" t="s">
        <v>179</v>
      </c>
      <c r="AH8" s="57"/>
      <c r="AI8" s="57"/>
      <c r="AJ8" s="57"/>
      <c r="AK8" s="57"/>
      <c r="AL8" s="796" t="s">
        <v>912</v>
      </c>
      <c r="AM8" s="796"/>
      <c r="AN8" s="796"/>
      <c r="AO8" s="796"/>
      <c r="AP8" s="796"/>
      <c r="AR8" s="801" t="s">
        <v>1054</v>
      </c>
      <c r="AS8" s="801"/>
      <c r="AT8" s="801"/>
      <c r="AV8" s="50" t="s">
        <v>181</v>
      </c>
      <c r="AW8" s="51"/>
      <c r="AX8" s="51"/>
      <c r="AY8" s="51"/>
      <c r="AZ8" s="51"/>
      <c r="BA8" s="23"/>
      <c r="BB8" s="50" t="s">
        <v>774</v>
      </c>
      <c r="BC8" s="51"/>
      <c r="BD8" s="51"/>
      <c r="BE8" s="51"/>
      <c r="BF8" s="51"/>
      <c r="BG8" s="31"/>
      <c r="BH8" s="24"/>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31"/>
      <c r="CV8" s="31"/>
      <c r="CW8" s="31"/>
      <c r="CX8" s="31"/>
      <c r="CY8" s="31"/>
      <c r="CZ8" s="31"/>
    </row>
    <row r="9" spans="2:104" s="30" customFormat="1" ht="21" customHeight="1" x14ac:dyDescent="0.25">
      <c r="B9" s="25" t="s">
        <v>178</v>
      </c>
      <c r="C9" s="25"/>
      <c r="D9" s="25"/>
      <c r="E9" s="25"/>
      <c r="F9" s="25"/>
      <c r="G9" s="25"/>
      <c r="H9" s="25"/>
      <c r="I9" s="25"/>
      <c r="J9" s="25"/>
      <c r="K9" s="25"/>
      <c r="L9" s="25"/>
      <c r="M9" s="28"/>
      <c r="V9" s="185" t="s">
        <v>142</v>
      </c>
      <c r="W9" s="185"/>
      <c r="X9" s="185"/>
      <c r="Y9" s="185"/>
      <c r="Z9" s="186"/>
      <c r="AA9" s="797"/>
      <c r="AB9" s="797"/>
      <c r="AC9" s="797"/>
      <c r="AD9" s="797"/>
      <c r="AE9" s="797"/>
      <c r="AF9" s="23"/>
      <c r="AG9" s="185" t="s">
        <v>143</v>
      </c>
      <c r="AH9" s="186"/>
      <c r="AI9" s="186"/>
      <c r="AJ9" s="186"/>
      <c r="AK9" s="186"/>
      <c r="AL9" s="797"/>
      <c r="AM9" s="797"/>
      <c r="AN9" s="797"/>
      <c r="AO9" s="797"/>
      <c r="AP9" s="797"/>
      <c r="AR9" s="802" t="s">
        <v>1050</v>
      </c>
      <c r="AS9" s="802"/>
      <c r="AT9" s="802"/>
      <c r="AV9" s="265" t="s">
        <v>773</v>
      </c>
      <c r="AW9" s="25"/>
      <c r="AX9" s="25"/>
      <c r="AY9" s="34"/>
      <c r="AZ9" s="34"/>
      <c r="BA9" s="23"/>
      <c r="BB9" s="25" t="s">
        <v>752</v>
      </c>
      <c r="BC9" s="34"/>
      <c r="BD9" s="34"/>
      <c r="BE9" s="34"/>
      <c r="BF9" s="34"/>
      <c r="BG9" s="31"/>
      <c r="BH9" s="24"/>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row>
    <row r="10" spans="2:104" s="30" customFormat="1" x14ac:dyDescent="0.25">
      <c r="B10" s="40" t="s">
        <v>177</v>
      </c>
      <c r="C10" s="40"/>
      <c r="D10" s="40"/>
      <c r="E10" s="41"/>
      <c r="F10" s="41"/>
      <c r="G10" s="41"/>
      <c r="H10" s="41"/>
      <c r="I10" s="41"/>
      <c r="J10" s="40"/>
      <c r="K10" s="40"/>
      <c r="L10" s="537" t="str">
        <f>HYPERLINK("#"&amp;ADDRESS(MATCH(1,'SOURCE Info'!$A:$A,0),1,1,1,"SOURCE Info"),"EIA")</f>
        <v>EIA</v>
      </c>
      <c r="V10" s="131" t="str">
        <f>'Intermediate Data'!E50</f>
        <v>All IOUs</v>
      </c>
      <c r="W10" s="42"/>
      <c r="X10" s="42"/>
      <c r="Y10" s="42"/>
      <c r="Z10" s="42"/>
      <c r="AA10" s="164" t="s">
        <v>589</v>
      </c>
      <c r="AB10" s="164"/>
      <c r="AC10" s="42"/>
      <c r="AD10" s="795" t="str">
        <f>HYPERLINK("#"&amp;ADDRESS(MATCH(10001,'SOURCE Info'!$A:$A,0),1,1,1,"SOURCE Info"),"10001-5")</f>
        <v>10001-5</v>
      </c>
      <c r="AE10" s="795"/>
      <c r="AF10" s="23"/>
      <c r="AG10" s="131" t="str">
        <f>'Intermediate Data'!E50</f>
        <v>All IOUs</v>
      </c>
      <c r="AH10" s="42"/>
      <c r="AI10" s="42"/>
      <c r="AJ10" s="42"/>
      <c r="AK10" s="42"/>
      <c r="AL10" s="164" t="s">
        <v>589</v>
      </c>
      <c r="AM10" s="164"/>
      <c r="AN10" s="42"/>
      <c r="AO10" s="794" t="str">
        <f>HYPERLINK("#"&amp;ADDRESS(MATCH(10001,'SOURCE Info'!$A:$A,0),1,1,1,"SOURCE Info"),"10001-5")</f>
        <v>10001-5</v>
      </c>
      <c r="AP10" s="794"/>
      <c r="AR10" s="190" t="s">
        <v>1062</v>
      </c>
      <c r="AS10" s="794" t="str">
        <f>HYPERLINK("#"&amp;ADDRESS(MATCH(20003,'SOURCE Info'!$A:$A,0),1,1,1,"SOURCE Info"),"20002-3")</f>
        <v>20002-3</v>
      </c>
      <c r="AT10" s="794"/>
      <c r="AV10" s="190" t="s">
        <v>1063</v>
      </c>
      <c r="AW10" s="52"/>
      <c r="AX10" s="52"/>
      <c r="AY10" s="794">
        <f>HYPERLINK("#"&amp;ADDRESS(MATCH(20001,'SOURCE Info'!$A:$A,0),1,1,1,"SOURCE Info"),20001)</f>
        <v>20001</v>
      </c>
      <c r="AZ10" s="794"/>
      <c r="BA10" s="23"/>
      <c r="BB10" s="530" t="s">
        <v>886</v>
      </c>
      <c r="BC10" s="196" t="str">
        <f>IF('Intermediate Data'!$E$48="Electric","kWh","Therms")</f>
        <v>kWh</v>
      </c>
      <c r="BD10" s="52"/>
      <c r="BE10" s="794">
        <f>HYPERLINK("#"&amp;ADDRESS(MATCH(40001,'SOURCE Info'!$A:$A,0),1,1,1,"SOURCE Info"),40001)</f>
        <v>40001</v>
      </c>
      <c r="BF10" s="794"/>
      <c r="BG10" s="31"/>
      <c r="BH10" s="31"/>
      <c r="BN10" s="31"/>
    </row>
    <row r="11" spans="2:104" s="30" customFormat="1" ht="21" x14ac:dyDescent="0.25">
      <c r="M11" s="39"/>
      <c r="T11" s="38"/>
      <c r="U11" s="38"/>
      <c r="V11" s="798" t="s">
        <v>587</v>
      </c>
      <c r="W11" s="798"/>
      <c r="X11" s="798"/>
      <c r="Y11" s="798"/>
      <c r="Z11" s="53"/>
      <c r="AA11" s="160" t="s">
        <v>809</v>
      </c>
      <c r="AB11" s="58" t="s">
        <v>394</v>
      </c>
      <c r="AC11" s="160" t="s">
        <v>584</v>
      </c>
      <c r="AD11" s="58" t="s">
        <v>395</v>
      </c>
      <c r="AE11" s="160" t="s">
        <v>396</v>
      </c>
      <c r="AF11" s="31"/>
      <c r="AG11" s="799" t="s">
        <v>587</v>
      </c>
      <c r="AH11" s="799"/>
      <c r="AI11" s="799"/>
      <c r="AJ11" s="799"/>
      <c r="AK11" s="31"/>
      <c r="AL11" s="160" t="s">
        <v>809</v>
      </c>
      <c r="AM11" s="58" t="s">
        <v>394</v>
      </c>
      <c r="AN11" s="160" t="s">
        <v>584</v>
      </c>
      <c r="AO11" s="58" t="s">
        <v>395</v>
      </c>
      <c r="AP11" s="160" t="s">
        <v>396</v>
      </c>
      <c r="AQ11" s="31"/>
      <c r="AR11" s="31"/>
      <c r="AS11" s="31"/>
      <c r="AT11" s="31"/>
      <c r="AU11" s="148"/>
      <c r="AV11" s="31"/>
      <c r="AW11" s="31"/>
      <c r="AX11" s="31"/>
      <c r="AY11" s="31"/>
      <c r="AZ11" s="31"/>
      <c r="BA11" s="31"/>
      <c r="BB11" s="53"/>
      <c r="BC11" s="31"/>
      <c r="BD11" s="31"/>
      <c r="BE11" s="31"/>
      <c r="BF11" s="31"/>
      <c r="BG11" s="31"/>
      <c r="BH11" s="31"/>
      <c r="BN11" s="31"/>
    </row>
    <row r="12" spans="2:104" s="30" customFormat="1" x14ac:dyDescent="0.25">
      <c r="B12" s="43"/>
      <c r="C12" s="54"/>
      <c r="D12" s="54"/>
      <c r="E12" s="54"/>
      <c r="F12" s="54"/>
      <c r="G12" s="54"/>
      <c r="H12" s="54"/>
      <c r="I12" s="54"/>
      <c r="J12" s="54"/>
      <c r="L12" s="45"/>
      <c r="M12" s="31"/>
      <c r="N12" s="38" t="str">
        <f ca="1">'Intermediate Data'!AA56</f>
        <v>Air cleaner</v>
      </c>
      <c r="O12" s="31"/>
      <c r="P12" s="31"/>
      <c r="Q12" s="31"/>
      <c r="R12" s="31"/>
      <c r="S12" s="31"/>
      <c r="T12" s="31"/>
      <c r="U12" s="148"/>
      <c r="V12" s="804">
        <f ca="1">IF(OR('Intermediate Data'!AG56="",'Intermediate Data'!AG56="N/A"),"",'Intermediate Data'!AG56)</f>
        <v>7.1832805136575473E-2</v>
      </c>
      <c r="W12" s="804"/>
      <c r="X12" s="804"/>
      <c r="Y12" s="804"/>
      <c r="Z12" s="110"/>
      <c r="AA12" s="519" t="str">
        <f ca="1">IF(OR('Intermediate Data'!AB56="",'Intermediate Data'!AB56="N/A"),"",'Intermediate Data'!AB56)</f>
        <v/>
      </c>
      <c r="AB12" s="111">
        <f ca="1">IF(OR('Intermediate Data'!AC56="",'Intermediate Data'!AC56="N/A"),"",'Intermediate Data'!AC56)</f>
        <v>5.4521266888862913E-2</v>
      </c>
      <c r="AC12" s="519" t="str">
        <f ca="1">IF(OR('Intermediate Data'!AD56="",'Intermediate Data'!AD56="N/A"),"",'Intermediate Data'!AD56)</f>
        <v/>
      </c>
      <c r="AD12" s="111">
        <f ca="1">IF(OR('Intermediate Data'!AE56="",'Intermediate Data'!AE56="N/A"),"",'Intermediate Data'!AE56)</f>
        <v>7.1832805136575473E-2</v>
      </c>
      <c r="AE12" s="161" t="str">
        <f ca="1">IF(OR('Intermediate Data'!AF56="",'Intermediate Data'!AF56="N/A"),"",'Intermediate Data'!AF56)</f>
        <v/>
      </c>
      <c r="AF12" s="520"/>
      <c r="AG12" s="805">
        <f ca="1">IF(OR('Intermediate Data'!AN56="",'Intermediate Data'!AN56="N/A"),"",'Intermediate Data'!AN56)</f>
        <v>8.8005503055022055E-2</v>
      </c>
      <c r="AH12" s="805"/>
      <c r="AI12" s="805"/>
      <c r="AJ12" s="805"/>
      <c r="AK12" s="130"/>
      <c r="AL12" s="529" t="str">
        <f ca="1">IF(OR('Intermediate Data'!AI56="",'Intermediate Data'!AI56="N/A"),"",'Intermediate Data'!AI56)</f>
        <v/>
      </c>
      <c r="AM12" s="132">
        <f ca="1">IF(OR('Intermediate Data'!AJ56="",'Intermediate Data'!AJ56="N/A"),"",'Intermediate Data'!AJ56)</f>
        <v>6.6804335947603863E-2</v>
      </c>
      <c r="AN12" s="529" t="str">
        <f ca="1">IF(OR('Intermediate Data'!AK56="",'Intermediate Data'!AK56="N/A"),"",'Intermediate Data'!AK56)</f>
        <v/>
      </c>
      <c r="AO12" s="132">
        <f ca="1">IF(OR('Intermediate Data'!AL56="",'Intermediate Data'!AL56="N/A"),"",'Intermediate Data'!AL56)</f>
        <v>8.8005503055022055E-2</v>
      </c>
      <c r="AP12" s="163" t="str">
        <f ca="1">IF(OR('Intermediate Data'!AM56="",'Intermediate Data'!AM56="N/A"),"",'Intermediate Data'!AM56)</f>
        <v/>
      </c>
      <c r="AQ12" s="31"/>
      <c r="AR12" s="791" t="str">
        <f ca="1">IF('Intermediate Data'!AP56="","",'Intermediate Data'!AP56)</f>
        <v/>
      </c>
      <c r="AS12" s="791"/>
      <c r="AT12" s="31"/>
      <c r="AU12" s="148"/>
      <c r="AV12" s="804">
        <f ca="1">'Intermediate Data'!AQ56</f>
        <v>0.31</v>
      </c>
      <c r="AW12" s="804"/>
      <c r="AX12" s="804"/>
      <c r="AY12" s="804"/>
      <c r="AZ12" s="130"/>
      <c r="BA12" s="150"/>
      <c r="BB12" s="803">
        <f ca="1">'Intermediate Data'!AR56</f>
        <v>225</v>
      </c>
      <c r="BC12" s="803"/>
      <c r="BD12" s="803"/>
      <c r="BE12" s="803"/>
      <c r="BF12" s="692"/>
      <c r="BG12" s="31"/>
      <c r="BH12" s="31"/>
      <c r="BJ12" s="122"/>
      <c r="BN12" s="31"/>
    </row>
    <row r="13" spans="2:104" s="30" customFormat="1" x14ac:dyDescent="0.25">
      <c r="B13" s="43"/>
      <c r="C13" s="54"/>
      <c r="D13" s="54"/>
      <c r="E13" s="54"/>
      <c r="F13" s="54"/>
      <c r="G13" s="54"/>
      <c r="H13" s="54"/>
      <c r="I13" s="54"/>
      <c r="J13" s="54"/>
      <c r="L13" s="45"/>
      <c r="M13" s="44"/>
      <c r="N13" s="38" t="str">
        <f ca="1">'Intermediate Data'!AA57</f>
        <v>Answering machine</v>
      </c>
      <c r="O13" s="31"/>
      <c r="P13" s="31"/>
      <c r="Q13" s="31"/>
      <c r="R13" s="31"/>
      <c r="S13" s="31"/>
      <c r="T13" s="31"/>
      <c r="U13" s="148"/>
      <c r="V13" s="804">
        <f ca="1">IF(OR('Intermediate Data'!AG57="",'Intermediate Data'!AG57="N/A"),"",'Intermediate Data'!AG57)</f>
        <v>0.6167469195524049</v>
      </c>
      <c r="W13" s="804"/>
      <c r="X13" s="804"/>
      <c r="Y13" s="804"/>
      <c r="Z13" s="110"/>
      <c r="AA13" s="519" t="str">
        <f ca="1">IF(OR('Intermediate Data'!AB57="",'Intermediate Data'!AB57="N/A"),"",'Intermediate Data'!AB57)</f>
        <v/>
      </c>
      <c r="AB13" s="111">
        <f ca="1">IF(OR('Intermediate Data'!AC57="",'Intermediate Data'!AC57="N/A"),"",'Intermediate Data'!AC57)</f>
        <v>0.72864689377722924</v>
      </c>
      <c r="AC13" s="519" t="str">
        <f ca="1">IF(OR('Intermediate Data'!AD57="",'Intermediate Data'!AD57="N/A"),"",'Intermediate Data'!AD57)</f>
        <v/>
      </c>
      <c r="AD13" s="111">
        <f ca="1">IF(OR('Intermediate Data'!AE57="",'Intermediate Data'!AE57="N/A"),"",'Intermediate Data'!AE57)</f>
        <v>0.6167469195524049</v>
      </c>
      <c r="AE13" s="161" t="str">
        <f ca="1">IF(OR('Intermediate Data'!AF57="",'Intermediate Data'!AF57="N/A"),"",'Intermediate Data'!AF57)</f>
        <v/>
      </c>
      <c r="AF13" s="520"/>
      <c r="AG13" s="805">
        <f ca="1">IF(OR('Intermediate Data'!AN57="",'Intermediate Data'!AN57="N/A"),"",'Intermediate Data'!AN57)</f>
        <v>0.65010093525948076</v>
      </c>
      <c r="AH13" s="805"/>
      <c r="AI13" s="805"/>
      <c r="AJ13" s="805"/>
      <c r="AK13" s="130"/>
      <c r="AL13" s="529" t="str">
        <f ca="1">IF(OR('Intermediate Data'!AI57="",'Intermediate Data'!AI57="N/A"),"",'Intermediate Data'!AI57)</f>
        <v/>
      </c>
      <c r="AM13" s="132">
        <f ca="1">IF(OR('Intermediate Data'!AJ57="",'Intermediate Data'!AJ57="N/A"),"",'Intermediate Data'!AJ57)</f>
        <v>0.78001844147529265</v>
      </c>
      <c r="AN13" s="529" t="str">
        <f ca="1">IF(OR('Intermediate Data'!AK57="",'Intermediate Data'!AK57="N/A"),"",'Intermediate Data'!AK57)</f>
        <v/>
      </c>
      <c r="AO13" s="132">
        <f ca="1">IF(OR('Intermediate Data'!AL57="",'Intermediate Data'!AL57="N/A"),"",'Intermediate Data'!AL57)</f>
        <v>0.65010093525948076</v>
      </c>
      <c r="AP13" s="163" t="str">
        <f ca="1">IF(OR('Intermediate Data'!AM57="",'Intermediate Data'!AM57="N/A"),"",'Intermediate Data'!AM57)</f>
        <v/>
      </c>
      <c r="AQ13" s="31"/>
      <c r="AR13" s="791" t="str">
        <f ca="1">IF('Intermediate Data'!AP57="","",'Intermediate Data'!AP57)</f>
        <v/>
      </c>
      <c r="AS13" s="791"/>
      <c r="AT13" s="31"/>
      <c r="AU13" s="148"/>
      <c r="AV13" s="804" t="str">
        <f ca="1">'Intermediate Data'!AQ57</f>
        <v/>
      </c>
      <c r="AW13" s="804"/>
      <c r="AX13" s="804"/>
      <c r="AY13" s="804"/>
      <c r="AZ13" s="130"/>
      <c r="BA13" s="150"/>
      <c r="BB13" s="803" t="str">
        <f ca="1">'Intermediate Data'!AR57</f>
        <v/>
      </c>
      <c r="BC13" s="803"/>
      <c r="BD13" s="803"/>
      <c r="BE13" s="803"/>
      <c r="BF13" s="692"/>
      <c r="BG13" s="31"/>
      <c r="BH13" s="31"/>
      <c r="BN13" s="31"/>
    </row>
    <row r="14" spans="2:104" s="30" customFormat="1" x14ac:dyDescent="0.25">
      <c r="B14" s="43"/>
      <c r="C14" s="54"/>
      <c r="D14" s="54"/>
      <c r="E14" s="54"/>
      <c r="F14" s="54"/>
      <c r="G14" s="54"/>
      <c r="H14" s="54"/>
      <c r="I14" s="54"/>
      <c r="J14" s="54"/>
      <c r="L14" s="45"/>
      <c r="M14" s="31"/>
      <c r="N14" s="38" t="str">
        <f ca="1">'Intermediate Data'!AA58</f>
        <v>Aquarium - Lights, pumps</v>
      </c>
      <c r="O14" s="31"/>
      <c r="P14" s="31"/>
      <c r="Q14" s="31"/>
      <c r="R14" s="31"/>
      <c r="S14" s="31"/>
      <c r="T14" s="31"/>
      <c r="U14" s="148"/>
      <c r="V14" s="804">
        <f ca="1">IF(OR('Intermediate Data'!AG58="",'Intermediate Data'!AG58="N/A"),"",'Intermediate Data'!AG58)</f>
        <v>8.2283615650530564E-2</v>
      </c>
      <c r="W14" s="804"/>
      <c r="X14" s="804"/>
      <c r="Y14" s="804"/>
      <c r="Z14" s="110"/>
      <c r="AA14" s="519" t="str">
        <f ca="1">IF(OR('Intermediate Data'!AB58="",'Intermediate Data'!AB58="N/A"),"",'Intermediate Data'!AB58)</f>
        <v/>
      </c>
      <c r="AB14" s="111">
        <f ca="1">IF(OR('Intermediate Data'!AC58="",'Intermediate Data'!AC58="N/A"),"",'Intermediate Data'!AC58)</f>
        <v>7.7531326020710695E-2</v>
      </c>
      <c r="AC14" s="519" t="str">
        <f ca="1">IF(OR('Intermediate Data'!AD58="",'Intermediate Data'!AD58="N/A"),"",'Intermediate Data'!AD58)</f>
        <v/>
      </c>
      <c r="AD14" s="111">
        <f ca="1">IF(OR('Intermediate Data'!AE58="",'Intermediate Data'!AE58="N/A"),"",'Intermediate Data'!AE58)</f>
        <v>8.2283615650530564E-2</v>
      </c>
      <c r="AE14" s="161" t="str">
        <f ca="1">IF(OR('Intermediate Data'!AF58="",'Intermediate Data'!AF58="N/A"),"",'Intermediate Data'!AF58)</f>
        <v/>
      </c>
      <c r="AF14" s="520"/>
      <c r="AG14" s="805">
        <f ca="1">IF(OR('Intermediate Data'!AN58="",'Intermediate Data'!AN58="N/A"),"",'Intermediate Data'!AN58)</f>
        <v>9.2205001129372993E-2</v>
      </c>
      <c r="AH14" s="805"/>
      <c r="AI14" s="805"/>
      <c r="AJ14" s="805"/>
      <c r="AK14" s="130"/>
      <c r="AL14" s="529" t="str">
        <f ca="1">IF(OR('Intermediate Data'!AI58="",'Intermediate Data'!AI58="N/A"),"",'Intermediate Data'!AI58)</f>
        <v/>
      </c>
      <c r="AM14" s="132">
        <f ca="1">IF(OR('Intermediate Data'!AJ58="",'Intermediate Data'!AJ58="N/A"),"",'Intermediate Data'!AJ58)</f>
        <v>8.7880748217025892E-2</v>
      </c>
      <c r="AN14" s="529" t="str">
        <f ca="1">IF(OR('Intermediate Data'!AK58="",'Intermediate Data'!AK58="N/A"),"",'Intermediate Data'!AK58)</f>
        <v/>
      </c>
      <c r="AO14" s="132">
        <f ca="1">IF(OR('Intermediate Data'!AL58="",'Intermediate Data'!AL58="N/A"),"",'Intermediate Data'!AL58)</f>
        <v>9.2205001129372993E-2</v>
      </c>
      <c r="AP14" s="163" t="str">
        <f ca="1">IF(OR('Intermediate Data'!AM58="",'Intermediate Data'!AM58="N/A"),"",'Intermediate Data'!AM58)</f>
        <v/>
      </c>
      <c r="AQ14" s="31"/>
      <c r="AR14" s="791" t="str">
        <f ca="1">IF('Intermediate Data'!AP58="","",'Intermediate Data'!AP58)</f>
        <v/>
      </c>
      <c r="AS14" s="791"/>
      <c r="AT14" s="31"/>
      <c r="AU14" s="148"/>
      <c r="AV14" s="804" t="str">
        <f ca="1">'Intermediate Data'!AQ58</f>
        <v/>
      </c>
      <c r="AW14" s="804"/>
      <c r="AX14" s="804"/>
      <c r="AY14" s="804"/>
      <c r="AZ14" s="130"/>
      <c r="BA14" s="150"/>
      <c r="BB14" s="803" t="str">
        <f ca="1">'Intermediate Data'!AR58</f>
        <v/>
      </c>
      <c r="BC14" s="803"/>
      <c r="BD14" s="803"/>
      <c r="BE14" s="803"/>
      <c r="BF14" s="692"/>
      <c r="BG14" s="31"/>
      <c r="BH14" s="31"/>
      <c r="BN14" s="31"/>
    </row>
    <row r="15" spans="2:104" s="30" customFormat="1" x14ac:dyDescent="0.25">
      <c r="B15" s="43"/>
      <c r="C15" s="44"/>
      <c r="D15" s="44"/>
      <c r="E15" s="44"/>
      <c r="F15" s="44"/>
      <c r="G15" s="44"/>
      <c r="H15" s="44"/>
      <c r="I15" s="44"/>
      <c r="J15" s="44"/>
      <c r="L15" s="45"/>
      <c r="M15" s="31"/>
      <c r="N15" s="38" t="str">
        <f ca="1">'Intermediate Data'!AA59</f>
        <v>Attic fan</v>
      </c>
      <c r="O15" s="31"/>
      <c r="P15" s="31"/>
      <c r="Q15" s="31"/>
      <c r="R15" s="31"/>
      <c r="S15" s="31"/>
      <c r="T15" s="31"/>
      <c r="U15" s="148"/>
      <c r="V15" s="804">
        <f ca="1">IF(OR('Intermediate Data'!AG59="",'Intermediate Data'!AG59="N/A"),"",'Intermediate Data'!AG59)</f>
        <v>7.9451480391947105E-2</v>
      </c>
      <c r="W15" s="804"/>
      <c r="X15" s="804"/>
      <c r="Y15" s="804"/>
      <c r="Z15" s="110"/>
      <c r="AA15" s="519" t="str">
        <f ca="1">IF(OR('Intermediate Data'!AB59="",'Intermediate Data'!AB59="N/A"),"",'Intermediate Data'!AB59)</f>
        <v/>
      </c>
      <c r="AB15" s="111">
        <f ca="1">IF(OR('Intermediate Data'!AC59="",'Intermediate Data'!AC59="N/A"),"",'Intermediate Data'!AC59)</f>
        <v>5.9898197375220903E-2</v>
      </c>
      <c r="AC15" s="519" t="str">
        <f ca="1">IF(OR('Intermediate Data'!AD59="",'Intermediate Data'!AD59="N/A"),"",'Intermediate Data'!AD59)</f>
        <v/>
      </c>
      <c r="AD15" s="111">
        <f ca="1">IF(OR('Intermediate Data'!AE59="",'Intermediate Data'!AE59="N/A"),"",'Intermediate Data'!AE59)</f>
        <v>7.9451480391947105E-2</v>
      </c>
      <c r="AE15" s="161" t="str">
        <f ca="1">IF(OR('Intermediate Data'!AF59="",'Intermediate Data'!AF59="N/A"),"",'Intermediate Data'!AF59)</f>
        <v/>
      </c>
      <c r="AF15" s="520"/>
      <c r="AG15" s="805">
        <f ca="1">IF(OR('Intermediate Data'!AN59="",'Intermediate Data'!AN59="N/A"),"",'Intermediate Data'!AN59)</f>
        <v>9.4017850539612605E-2</v>
      </c>
      <c r="AH15" s="805"/>
      <c r="AI15" s="805"/>
      <c r="AJ15" s="805"/>
      <c r="AK15" s="130"/>
      <c r="AL15" s="529" t="str">
        <f ca="1">IF(OR('Intermediate Data'!AI59="",'Intermediate Data'!AI59="N/A"),"",'Intermediate Data'!AI59)</f>
        <v/>
      </c>
      <c r="AM15" s="132">
        <f ca="1">IF(OR('Intermediate Data'!AJ59="",'Intermediate Data'!AJ59="N/A"),"",'Intermediate Data'!AJ59)</f>
        <v>6.9779706229129435E-2</v>
      </c>
      <c r="AN15" s="529" t="str">
        <f ca="1">IF(OR('Intermediate Data'!AK59="",'Intermediate Data'!AK59="N/A"),"",'Intermediate Data'!AK59)</f>
        <v/>
      </c>
      <c r="AO15" s="132">
        <f ca="1">IF(OR('Intermediate Data'!AL59="",'Intermediate Data'!AL59="N/A"),"",'Intermediate Data'!AL59)</f>
        <v>9.4017850539612605E-2</v>
      </c>
      <c r="AP15" s="163" t="str">
        <f ca="1">IF(OR('Intermediate Data'!AM59="",'Intermediate Data'!AM59="N/A"),"",'Intermediate Data'!AM59)</f>
        <v/>
      </c>
      <c r="AQ15" s="31"/>
      <c r="AR15" s="791" t="str">
        <f ca="1">IF('Intermediate Data'!AP59="","",'Intermediate Data'!AP59)</f>
        <v/>
      </c>
      <c r="AS15" s="791"/>
      <c r="AT15" s="31"/>
      <c r="AU15" s="148"/>
      <c r="AV15" s="804" t="str">
        <f ca="1">'Intermediate Data'!AQ59</f>
        <v/>
      </c>
      <c r="AW15" s="804"/>
      <c r="AX15" s="804"/>
      <c r="AY15" s="804"/>
      <c r="AZ15" s="130"/>
      <c r="BA15" s="150"/>
      <c r="BB15" s="803" t="str">
        <f ca="1">'Intermediate Data'!AR59</f>
        <v/>
      </c>
      <c r="BC15" s="803"/>
      <c r="BD15" s="803"/>
      <c r="BE15" s="803"/>
      <c r="BF15" s="692"/>
      <c r="BG15" s="31"/>
      <c r="BH15" s="31"/>
      <c r="BN15" s="31"/>
    </row>
    <row r="16" spans="2:104" s="30" customFormat="1" x14ac:dyDescent="0.25">
      <c r="B16" s="36"/>
      <c r="C16" s="31"/>
      <c r="D16" s="31"/>
      <c r="E16" s="31"/>
      <c r="F16" s="31"/>
      <c r="G16" s="31"/>
      <c r="H16" s="31"/>
      <c r="I16" s="31"/>
      <c r="J16" s="31"/>
      <c r="L16" s="35"/>
      <c r="M16" s="31"/>
      <c r="N16" s="38" t="str">
        <f ca="1">'Intermediate Data'!AA60</f>
        <v>Component audio</v>
      </c>
      <c r="O16" s="31"/>
      <c r="P16" s="31"/>
      <c r="Q16" s="31"/>
      <c r="R16" s="31"/>
      <c r="S16" s="31"/>
      <c r="T16" s="31"/>
      <c r="U16" s="148"/>
      <c r="V16" s="804" t="str">
        <f ca="1">IF(OR('Intermediate Data'!AG60="",'Intermediate Data'!AG60="N/A"),"",'Intermediate Data'!AG60)</f>
        <v/>
      </c>
      <c r="W16" s="804"/>
      <c r="X16" s="804"/>
      <c r="Y16" s="804"/>
      <c r="Z16" s="110"/>
      <c r="AA16" s="519" t="str">
        <f ca="1">IF(OR('Intermediate Data'!AB60="",'Intermediate Data'!AB60="N/A"),"",'Intermediate Data'!AB60)</f>
        <v/>
      </c>
      <c r="AB16" s="111" t="str">
        <f ca="1">IF(OR('Intermediate Data'!AC60="",'Intermediate Data'!AC60="N/A"),"",'Intermediate Data'!AC60)</f>
        <v/>
      </c>
      <c r="AC16" s="519" t="str">
        <f ca="1">IF(OR('Intermediate Data'!AD60="",'Intermediate Data'!AD60="N/A"),"",'Intermediate Data'!AD60)</f>
        <v/>
      </c>
      <c r="AD16" s="111" t="str">
        <f ca="1">IF(OR('Intermediate Data'!AE60="",'Intermediate Data'!AE60="N/A"),"",'Intermediate Data'!AE60)</f>
        <v/>
      </c>
      <c r="AE16" s="161" t="str">
        <f ca="1">IF(OR('Intermediate Data'!AF60="",'Intermediate Data'!AF60="N/A"),"",'Intermediate Data'!AF60)</f>
        <v/>
      </c>
      <c r="AF16" s="520"/>
      <c r="AG16" s="805" t="str">
        <f ca="1">IF(OR('Intermediate Data'!AN60="",'Intermediate Data'!AN60="N/A"),"",'Intermediate Data'!AN60)</f>
        <v/>
      </c>
      <c r="AH16" s="805"/>
      <c r="AI16" s="805"/>
      <c r="AJ16" s="805"/>
      <c r="AK16" s="130"/>
      <c r="AL16" s="529" t="str">
        <f ca="1">IF(OR('Intermediate Data'!AI60="",'Intermediate Data'!AI60="N/A"),"",'Intermediate Data'!AI60)</f>
        <v/>
      </c>
      <c r="AM16" s="132" t="str">
        <f ca="1">IF(OR('Intermediate Data'!AJ60="",'Intermediate Data'!AJ60="N/A"),"",'Intermediate Data'!AJ60)</f>
        <v/>
      </c>
      <c r="AN16" s="529" t="str">
        <f ca="1">IF(OR('Intermediate Data'!AK60="",'Intermediate Data'!AK60="N/A"),"",'Intermediate Data'!AK60)</f>
        <v/>
      </c>
      <c r="AO16" s="132" t="str">
        <f ca="1">IF(OR('Intermediate Data'!AL60="",'Intermediate Data'!AL60="N/A"),"",'Intermediate Data'!AL60)</f>
        <v/>
      </c>
      <c r="AP16" s="163" t="str">
        <f ca="1">IF(OR('Intermediate Data'!AM60="",'Intermediate Data'!AM60="N/A"),"",'Intermediate Data'!AM60)</f>
        <v/>
      </c>
      <c r="AQ16" s="31"/>
      <c r="AR16" s="791" t="str">
        <f ca="1">IF('Intermediate Data'!AP60="","",'Intermediate Data'!AP60)</f>
        <v/>
      </c>
      <c r="AS16" s="791"/>
      <c r="AT16" s="31"/>
      <c r="AU16" s="148"/>
      <c r="AV16" s="804">
        <f ca="1">'Intermediate Data'!AQ60</f>
        <v>0</v>
      </c>
      <c r="AW16" s="804"/>
      <c r="AX16" s="804"/>
      <c r="AY16" s="804"/>
      <c r="AZ16" s="130"/>
      <c r="BA16" s="150"/>
      <c r="BB16" s="803">
        <f ca="1">'Intermediate Data'!AR60</f>
        <v>18</v>
      </c>
      <c r="BC16" s="803"/>
      <c r="BD16" s="803"/>
      <c r="BE16" s="803"/>
      <c r="BF16" s="692"/>
      <c r="BG16" s="31"/>
      <c r="BH16" s="31"/>
      <c r="BN16" s="31"/>
    </row>
    <row r="17" spans="1:66" s="30" customFormat="1" x14ac:dyDescent="0.25">
      <c r="B17" s="36"/>
      <c r="C17" s="31"/>
      <c r="D17" s="31"/>
      <c r="E17" s="31"/>
      <c r="F17" s="31"/>
      <c r="G17" s="31"/>
      <c r="H17" s="31"/>
      <c r="I17" s="31"/>
      <c r="J17" s="31"/>
      <c r="L17" s="35"/>
      <c r="M17" s="31"/>
      <c r="N17" s="38" t="str">
        <f ca="1">'Intermediate Data'!AA61</f>
        <v>Barbeque - Electric</v>
      </c>
      <c r="O17" s="31"/>
      <c r="P17" s="31"/>
      <c r="Q17" s="31"/>
      <c r="R17" s="31"/>
      <c r="S17" s="31"/>
      <c r="T17" s="31"/>
      <c r="U17" s="148"/>
      <c r="V17" s="804">
        <f ca="1">IF(OR('Intermediate Data'!AG61="",'Intermediate Data'!AG61="N/A"),"",'Intermediate Data'!AG61)</f>
        <v>1.3270033741480489E-2</v>
      </c>
      <c r="W17" s="804"/>
      <c r="X17" s="804"/>
      <c r="Y17" s="804"/>
      <c r="Z17" s="110"/>
      <c r="AA17" s="519" t="str">
        <f ca="1">IF(OR('Intermediate Data'!AB61="",'Intermediate Data'!AB61="N/A"),"",'Intermediate Data'!AB61)</f>
        <v/>
      </c>
      <c r="AB17" s="111">
        <f ca="1">IF(OR('Intermediate Data'!AC61="",'Intermediate Data'!AC61="N/A"),"",'Intermediate Data'!AC61)</f>
        <v>7.0590057387349059E-3</v>
      </c>
      <c r="AC17" s="519" t="str">
        <f ca="1">IF(OR('Intermediate Data'!AD61="",'Intermediate Data'!AD61="N/A"),"",'Intermediate Data'!AD61)</f>
        <v/>
      </c>
      <c r="AD17" s="111">
        <f ca="1">IF(OR('Intermediate Data'!AE61="",'Intermediate Data'!AE61="N/A"),"",'Intermediate Data'!AE61)</f>
        <v>1.3270033741480489E-2</v>
      </c>
      <c r="AE17" s="161" t="str">
        <f ca="1">IF(OR('Intermediate Data'!AF61="",'Intermediate Data'!AF61="N/A"),"",'Intermediate Data'!AF61)</f>
        <v/>
      </c>
      <c r="AF17" s="520"/>
      <c r="AG17" s="805" t="str">
        <f ca="1">IF(OR('Intermediate Data'!AN61="",'Intermediate Data'!AN61="N/A"),"",'Intermediate Data'!AN61)</f>
        <v/>
      </c>
      <c r="AH17" s="805"/>
      <c r="AI17" s="805"/>
      <c r="AJ17" s="805"/>
      <c r="AK17" s="130"/>
      <c r="AL17" s="529" t="str">
        <f ca="1">IF(OR('Intermediate Data'!AI61="",'Intermediate Data'!AI61="N/A"),"",'Intermediate Data'!AI61)</f>
        <v/>
      </c>
      <c r="AM17" s="132" t="str">
        <f ca="1">IF(OR('Intermediate Data'!AJ61="",'Intermediate Data'!AJ61="N/A"),"",'Intermediate Data'!AJ61)</f>
        <v/>
      </c>
      <c r="AN17" s="529" t="str">
        <f ca="1">IF(OR('Intermediate Data'!AK61="",'Intermediate Data'!AK61="N/A"),"",'Intermediate Data'!AK61)</f>
        <v/>
      </c>
      <c r="AO17" s="132" t="str">
        <f ca="1">IF(OR('Intermediate Data'!AL61="",'Intermediate Data'!AL61="N/A"),"",'Intermediate Data'!AL61)</f>
        <v/>
      </c>
      <c r="AP17" s="163" t="str">
        <f ca="1">IF(OR('Intermediate Data'!AM61="",'Intermediate Data'!AM61="N/A"),"",'Intermediate Data'!AM61)</f>
        <v/>
      </c>
      <c r="AQ17" s="31"/>
      <c r="AR17" s="791" t="str">
        <f ca="1">IF('Intermediate Data'!AP61="","",'Intermediate Data'!AP61)</f>
        <v/>
      </c>
      <c r="AS17" s="791"/>
      <c r="AT17" s="31"/>
      <c r="AU17" s="148"/>
      <c r="AV17" s="804" t="str">
        <f ca="1">'Intermediate Data'!AQ61</f>
        <v/>
      </c>
      <c r="AW17" s="804"/>
      <c r="AX17" s="804"/>
      <c r="AY17" s="804"/>
      <c r="AZ17" s="130"/>
      <c r="BA17" s="150"/>
      <c r="BB17" s="803" t="str">
        <f ca="1">'Intermediate Data'!AR61</f>
        <v/>
      </c>
      <c r="BC17" s="803"/>
      <c r="BD17" s="803"/>
      <c r="BE17" s="803"/>
      <c r="BF17" s="692"/>
      <c r="BG17" s="31"/>
      <c r="BH17" s="31"/>
      <c r="BN17" s="31"/>
    </row>
    <row r="18" spans="1:66" s="30" customFormat="1" x14ac:dyDescent="0.25">
      <c r="B18" s="36"/>
      <c r="C18" s="31"/>
      <c r="D18" s="31"/>
      <c r="E18" s="31"/>
      <c r="F18" s="31"/>
      <c r="G18" s="31"/>
      <c r="H18" s="31"/>
      <c r="I18" s="31"/>
      <c r="J18" s="31"/>
      <c r="L18" s="35"/>
      <c r="M18" s="31"/>
      <c r="N18" s="38" t="str">
        <f ca="1">'Intermediate Data'!AA62</f>
        <v>Battery charger</v>
      </c>
      <c r="O18" s="31"/>
      <c r="P18" s="31"/>
      <c r="Q18" s="31"/>
      <c r="R18" s="31"/>
      <c r="S18" s="31"/>
      <c r="T18" s="31"/>
      <c r="U18" s="148"/>
      <c r="V18" s="804" t="str">
        <f ca="1">IF(OR('Intermediate Data'!AG62="",'Intermediate Data'!AG62="N/A"),"",'Intermediate Data'!AG62)</f>
        <v/>
      </c>
      <c r="W18" s="804"/>
      <c r="X18" s="804"/>
      <c r="Y18" s="804"/>
      <c r="Z18" s="110"/>
      <c r="AA18" s="519" t="str">
        <f ca="1">IF(OR('Intermediate Data'!AB62="",'Intermediate Data'!AB62="N/A"),"",'Intermediate Data'!AB62)</f>
        <v/>
      </c>
      <c r="AB18" s="111" t="str">
        <f ca="1">IF(OR('Intermediate Data'!AC62="",'Intermediate Data'!AC62="N/A"),"",'Intermediate Data'!AC62)</f>
        <v/>
      </c>
      <c r="AC18" s="519" t="str">
        <f ca="1">IF(OR('Intermediate Data'!AD62="",'Intermediate Data'!AD62="N/A"),"",'Intermediate Data'!AD62)</f>
        <v/>
      </c>
      <c r="AD18" s="111" t="str">
        <f ca="1">IF(OR('Intermediate Data'!AE62="",'Intermediate Data'!AE62="N/A"),"",'Intermediate Data'!AE62)</f>
        <v/>
      </c>
      <c r="AE18" s="161" t="str">
        <f ca="1">IF(OR('Intermediate Data'!AF62="",'Intermediate Data'!AF62="N/A"),"",'Intermediate Data'!AF62)</f>
        <v/>
      </c>
      <c r="AF18" s="520"/>
      <c r="AG18" s="805" t="str">
        <f ca="1">IF(OR('Intermediate Data'!AN62="",'Intermediate Data'!AN62="N/A"),"",'Intermediate Data'!AN62)</f>
        <v/>
      </c>
      <c r="AH18" s="805"/>
      <c r="AI18" s="805"/>
      <c r="AJ18" s="805"/>
      <c r="AK18" s="130"/>
      <c r="AL18" s="529" t="str">
        <f ca="1">IF(OR('Intermediate Data'!AI62="",'Intermediate Data'!AI62="N/A"),"",'Intermediate Data'!AI62)</f>
        <v/>
      </c>
      <c r="AM18" s="132" t="str">
        <f ca="1">IF(OR('Intermediate Data'!AJ62="",'Intermediate Data'!AJ62="N/A"),"",'Intermediate Data'!AJ62)</f>
        <v/>
      </c>
      <c r="AN18" s="529" t="str">
        <f ca="1">IF(OR('Intermediate Data'!AK62="",'Intermediate Data'!AK62="N/A"),"",'Intermediate Data'!AK62)</f>
        <v/>
      </c>
      <c r="AO18" s="132" t="str">
        <f ca="1">IF(OR('Intermediate Data'!AL62="",'Intermediate Data'!AL62="N/A"),"",'Intermediate Data'!AL62)</f>
        <v/>
      </c>
      <c r="AP18" s="163" t="str">
        <f ca="1">IF(OR('Intermediate Data'!AM62="",'Intermediate Data'!AM62="N/A"),"",'Intermediate Data'!AM62)</f>
        <v/>
      </c>
      <c r="AQ18" s="31"/>
      <c r="AR18" s="791" t="str">
        <f ca="1">IF('Intermediate Data'!AP62="","",'Intermediate Data'!AP62)</f>
        <v/>
      </c>
      <c r="AS18" s="791"/>
      <c r="AT18" s="31"/>
      <c r="AU18" s="148"/>
      <c r="AV18" s="804" t="str">
        <f ca="1">'Intermediate Data'!AQ62</f>
        <v/>
      </c>
      <c r="AW18" s="804"/>
      <c r="AX18" s="804"/>
      <c r="AY18" s="804"/>
      <c r="AZ18" s="130"/>
      <c r="BA18" s="150"/>
      <c r="BB18" s="803" t="str">
        <f ca="1">'Intermediate Data'!AR62</f>
        <v/>
      </c>
      <c r="BC18" s="803"/>
      <c r="BD18" s="803"/>
      <c r="BE18" s="803"/>
      <c r="BF18" s="692"/>
      <c r="BG18" s="31"/>
      <c r="BH18" s="31"/>
      <c r="BN18" s="31"/>
    </row>
    <row r="19" spans="1:66" s="30" customFormat="1" x14ac:dyDescent="0.25">
      <c r="A19" s="23"/>
      <c r="B19" s="36"/>
      <c r="C19" s="31"/>
      <c r="D19" s="31"/>
      <c r="E19" s="31"/>
      <c r="F19" s="31"/>
      <c r="G19" s="31"/>
      <c r="H19" s="31"/>
      <c r="I19" s="31"/>
      <c r="J19" s="31"/>
      <c r="L19" s="35"/>
      <c r="M19" s="23"/>
      <c r="N19" s="38" t="str">
        <f ca="1">'Intermediate Data'!AA63</f>
        <v>Beverage cooler</v>
      </c>
      <c r="O19" s="31"/>
      <c r="P19" s="31"/>
      <c r="Q19" s="31"/>
      <c r="R19" s="31"/>
      <c r="S19" s="31"/>
      <c r="T19" s="31"/>
      <c r="U19" s="148"/>
      <c r="V19" s="804">
        <f ca="1">IF(OR('Intermediate Data'!AG63="",'Intermediate Data'!AG63="N/A"),"",'Intermediate Data'!AG63)</f>
        <v>5.7195024349907107E-2</v>
      </c>
      <c r="W19" s="804"/>
      <c r="X19" s="804"/>
      <c r="Y19" s="804"/>
      <c r="Z19" s="110"/>
      <c r="AA19" s="519" t="str">
        <f ca="1">IF(OR('Intermediate Data'!AB63="",'Intermediate Data'!AB63="N/A"),"",'Intermediate Data'!AB63)</f>
        <v/>
      </c>
      <c r="AB19" s="111" t="str">
        <f ca="1">IF(OR('Intermediate Data'!AC63="",'Intermediate Data'!AC63="N/A"),"",'Intermediate Data'!AC63)</f>
        <v/>
      </c>
      <c r="AC19" s="519" t="str">
        <f ca="1">IF(OR('Intermediate Data'!AD63="",'Intermediate Data'!AD63="N/A"),"",'Intermediate Data'!AD63)</f>
        <v/>
      </c>
      <c r="AD19" s="111">
        <f ca="1">IF(OR('Intermediate Data'!AE63="",'Intermediate Data'!AE63="N/A"),"",'Intermediate Data'!AE63)</f>
        <v>5.7195024349907107E-2</v>
      </c>
      <c r="AE19" s="161" t="str">
        <f ca="1">IF(OR('Intermediate Data'!AF63="",'Intermediate Data'!AF63="N/A"),"",'Intermediate Data'!AF63)</f>
        <v/>
      </c>
      <c r="AF19" s="520"/>
      <c r="AG19" s="805">
        <f ca="1">IF(OR('Intermediate Data'!AN63="",'Intermediate Data'!AN63="N/A"),"",'Intermediate Data'!AN63)</f>
        <v>6.1477262868794992E-2</v>
      </c>
      <c r="AH19" s="805"/>
      <c r="AI19" s="805"/>
      <c r="AJ19" s="805"/>
      <c r="AK19" s="130"/>
      <c r="AL19" s="529" t="str">
        <f ca="1">IF(OR('Intermediate Data'!AI63="",'Intermediate Data'!AI63="N/A"),"",'Intermediate Data'!AI63)</f>
        <v/>
      </c>
      <c r="AM19" s="132" t="str">
        <f ca="1">IF(OR('Intermediate Data'!AJ63="",'Intermediate Data'!AJ63="N/A"),"",'Intermediate Data'!AJ63)</f>
        <v/>
      </c>
      <c r="AN19" s="529" t="str">
        <f ca="1">IF(OR('Intermediate Data'!AK63="",'Intermediate Data'!AK63="N/A"),"",'Intermediate Data'!AK63)</f>
        <v/>
      </c>
      <c r="AO19" s="132">
        <f ca="1">IF(OR('Intermediate Data'!AL63="",'Intermediate Data'!AL63="N/A"),"",'Intermediate Data'!AL63)</f>
        <v>6.1477262868794992E-2</v>
      </c>
      <c r="AP19" s="163" t="str">
        <f ca="1">IF(OR('Intermediate Data'!AM63="",'Intermediate Data'!AM63="N/A"),"",'Intermediate Data'!AM63)</f>
        <v/>
      </c>
      <c r="AQ19" s="31"/>
      <c r="AR19" s="791" t="str">
        <f ca="1">IF('Intermediate Data'!AP63="","",'Intermediate Data'!AP63)</f>
        <v/>
      </c>
      <c r="AS19" s="791"/>
      <c r="AT19" s="31"/>
      <c r="AU19" s="148"/>
      <c r="AV19" s="804" t="str">
        <f ca="1">'Intermediate Data'!AQ63</f>
        <v/>
      </c>
      <c r="AW19" s="804"/>
      <c r="AX19" s="804"/>
      <c r="AY19" s="804"/>
      <c r="AZ19" s="130"/>
      <c r="BA19" s="150"/>
      <c r="BB19" s="803" t="str">
        <f ca="1">'Intermediate Data'!AR63</f>
        <v/>
      </c>
      <c r="BC19" s="803"/>
      <c r="BD19" s="803"/>
      <c r="BE19" s="803"/>
      <c r="BF19" s="692"/>
      <c r="BG19" s="31"/>
      <c r="BH19" s="31"/>
      <c r="BN19" s="31"/>
    </row>
    <row r="20" spans="1:66" s="30" customFormat="1" x14ac:dyDescent="0.25">
      <c r="A20" s="23"/>
      <c r="B20" s="36"/>
      <c r="C20" s="31"/>
      <c r="D20" s="31"/>
      <c r="E20" s="31"/>
      <c r="F20" s="31"/>
      <c r="G20" s="31"/>
      <c r="H20" s="31"/>
      <c r="I20" s="31"/>
      <c r="J20" s="31"/>
      <c r="L20" s="35"/>
      <c r="M20" s="23"/>
      <c r="N20" s="38" t="str">
        <f ca="1">'Intermediate Data'!AA64</f>
        <v>Boiler</v>
      </c>
      <c r="O20" s="31"/>
      <c r="P20" s="31"/>
      <c r="Q20" s="31"/>
      <c r="R20" s="31"/>
      <c r="S20" s="31"/>
      <c r="T20" s="31"/>
      <c r="U20" s="148"/>
      <c r="V20" s="804">
        <f ca="1">IF(OR('Intermediate Data'!AG64="",'Intermediate Data'!AG64="N/A"),"",'Intermediate Data'!AG64)</f>
        <v>1.473E-2</v>
      </c>
      <c r="W20" s="804"/>
      <c r="X20" s="804"/>
      <c r="Y20" s="804"/>
      <c r="Z20" s="110"/>
      <c r="AA20" s="519">
        <f ca="1">IF(OR('Intermediate Data'!AB64="",'Intermediate Data'!AB64="N/A"),"",'Intermediate Data'!AB64)</f>
        <v>7.5239999999999994E-3</v>
      </c>
      <c r="AB20" s="111">
        <f ca="1">IF(OR('Intermediate Data'!AC64="",'Intermediate Data'!AC64="N/A"),"",'Intermediate Data'!AC64)</f>
        <v>8.1721377068936611E-3</v>
      </c>
      <c r="AC20" s="519">
        <f ca="1">IF(OR('Intermediate Data'!AD64="",'Intermediate Data'!AD64="N/A"),"",'Intermediate Data'!AD64)</f>
        <v>5.9820000000000003E-3</v>
      </c>
      <c r="AD20" s="111">
        <f ca="1">IF(OR('Intermediate Data'!AE64="",'Intermediate Data'!AE64="N/A"),"",'Intermediate Data'!AE64)</f>
        <v>1.1238458891811822E-2</v>
      </c>
      <c r="AE20" s="161">
        <f ca="1">IF(OR('Intermediate Data'!AF64="",'Intermediate Data'!AF64="N/A"),"",'Intermediate Data'!AF64)</f>
        <v>1.473E-2</v>
      </c>
      <c r="AF20" s="520"/>
      <c r="AG20" s="805" t="str">
        <f ca="1">IF(OR('Intermediate Data'!AN64="",'Intermediate Data'!AN64="N/A"),"",'Intermediate Data'!AN64)</f>
        <v/>
      </c>
      <c r="AH20" s="805"/>
      <c r="AI20" s="805"/>
      <c r="AJ20" s="805"/>
      <c r="AK20" s="130"/>
      <c r="AL20" s="529" t="str">
        <f ca="1">IF(OR('Intermediate Data'!AI64="",'Intermediate Data'!AI64="N/A"),"",'Intermediate Data'!AI64)</f>
        <v/>
      </c>
      <c r="AM20" s="132" t="str">
        <f ca="1">IF(OR('Intermediate Data'!AJ64="",'Intermediate Data'!AJ64="N/A"),"",'Intermediate Data'!AJ64)</f>
        <v/>
      </c>
      <c r="AN20" s="529" t="str">
        <f ca="1">IF(OR('Intermediate Data'!AK64="",'Intermediate Data'!AK64="N/A"),"",'Intermediate Data'!AK64)</f>
        <v/>
      </c>
      <c r="AO20" s="132" t="str">
        <f ca="1">IF(OR('Intermediate Data'!AL64="",'Intermediate Data'!AL64="N/A"),"",'Intermediate Data'!AL64)</f>
        <v/>
      </c>
      <c r="AP20" s="163" t="str">
        <f ca="1">IF(OR('Intermediate Data'!AM64="",'Intermediate Data'!AM64="N/A"),"",'Intermediate Data'!AM64)</f>
        <v/>
      </c>
      <c r="AQ20" s="31"/>
      <c r="AR20" s="791" t="str">
        <f ca="1">IF('Intermediate Data'!AP64="","",'Intermediate Data'!AP64)</f>
        <v/>
      </c>
      <c r="AS20" s="791"/>
      <c r="AT20" s="31"/>
      <c r="AU20" s="148"/>
      <c r="AV20" s="804">
        <f ca="1">'Intermediate Data'!AQ64</f>
        <v>0.57999999999999996</v>
      </c>
      <c r="AW20" s="804"/>
      <c r="AX20" s="804"/>
      <c r="AY20" s="804"/>
      <c r="AZ20" s="130"/>
      <c r="BA20" s="150"/>
      <c r="BB20" s="803">
        <f ca="1">'Intermediate Data'!AR64</f>
        <v>13</v>
      </c>
      <c r="BC20" s="803"/>
      <c r="BD20" s="803"/>
      <c r="BE20" s="803"/>
      <c r="BF20" s="692"/>
      <c r="BG20" s="31"/>
      <c r="BH20" s="31"/>
      <c r="BN20" s="31"/>
    </row>
    <row r="21" spans="1:66" s="30" customFormat="1" x14ac:dyDescent="0.25">
      <c r="A21" s="23"/>
      <c r="B21" s="36"/>
      <c r="C21" s="31"/>
      <c r="D21" s="31"/>
      <c r="E21" s="31"/>
      <c r="F21" s="31"/>
      <c r="G21" s="31"/>
      <c r="H21" s="31"/>
      <c r="I21" s="31"/>
      <c r="J21" s="31"/>
      <c r="L21" s="35"/>
      <c r="M21" s="23"/>
      <c r="N21" s="38" t="str">
        <f ca="1">'Intermediate Data'!AA65</f>
        <v>Carbon monoxide detector</v>
      </c>
      <c r="O21" s="31"/>
      <c r="P21" s="31"/>
      <c r="Q21" s="31"/>
      <c r="R21" s="31"/>
      <c r="S21" s="31"/>
      <c r="T21" s="31"/>
      <c r="U21" s="148"/>
      <c r="V21" s="804" t="str">
        <f ca="1">IF(OR('Intermediate Data'!AG65="",'Intermediate Data'!AG65="N/A"),"",'Intermediate Data'!AG65)</f>
        <v/>
      </c>
      <c r="W21" s="804"/>
      <c r="X21" s="804"/>
      <c r="Y21" s="804"/>
      <c r="Z21" s="110"/>
      <c r="AA21" s="519" t="str">
        <f ca="1">IF(OR('Intermediate Data'!AB65="",'Intermediate Data'!AB65="N/A"),"",'Intermediate Data'!AB65)</f>
        <v/>
      </c>
      <c r="AB21" s="111" t="str">
        <f ca="1">IF(OR('Intermediate Data'!AC65="",'Intermediate Data'!AC65="N/A"),"",'Intermediate Data'!AC65)</f>
        <v/>
      </c>
      <c r="AC21" s="519" t="str">
        <f ca="1">IF(OR('Intermediate Data'!AD65="",'Intermediate Data'!AD65="N/A"),"",'Intermediate Data'!AD65)</f>
        <v/>
      </c>
      <c r="AD21" s="111" t="str">
        <f ca="1">IF(OR('Intermediate Data'!AE65="",'Intermediate Data'!AE65="N/A"),"",'Intermediate Data'!AE65)</f>
        <v/>
      </c>
      <c r="AE21" s="161" t="str">
        <f ca="1">IF(OR('Intermediate Data'!AF65="",'Intermediate Data'!AF65="N/A"),"",'Intermediate Data'!AF65)</f>
        <v/>
      </c>
      <c r="AF21" s="520"/>
      <c r="AG21" s="805" t="str">
        <f ca="1">IF(OR('Intermediate Data'!AN65="",'Intermediate Data'!AN65="N/A"),"",'Intermediate Data'!AN65)</f>
        <v/>
      </c>
      <c r="AH21" s="805"/>
      <c r="AI21" s="805"/>
      <c r="AJ21" s="805"/>
      <c r="AK21" s="130"/>
      <c r="AL21" s="529" t="str">
        <f ca="1">IF(OR('Intermediate Data'!AI65="",'Intermediate Data'!AI65="N/A"),"",'Intermediate Data'!AI65)</f>
        <v/>
      </c>
      <c r="AM21" s="132" t="str">
        <f ca="1">IF(OR('Intermediate Data'!AJ65="",'Intermediate Data'!AJ65="N/A"),"",'Intermediate Data'!AJ65)</f>
        <v/>
      </c>
      <c r="AN21" s="529" t="str">
        <f ca="1">IF(OR('Intermediate Data'!AK65="",'Intermediate Data'!AK65="N/A"),"",'Intermediate Data'!AK65)</f>
        <v/>
      </c>
      <c r="AO21" s="132" t="str">
        <f ca="1">IF(OR('Intermediate Data'!AL65="",'Intermediate Data'!AL65="N/A"),"",'Intermediate Data'!AL65)</f>
        <v/>
      </c>
      <c r="AP21" s="163" t="str">
        <f ca="1">IF(OR('Intermediate Data'!AM65="",'Intermediate Data'!AM65="N/A"),"",'Intermediate Data'!AM65)</f>
        <v/>
      </c>
      <c r="AQ21" s="31"/>
      <c r="AR21" s="791" t="str">
        <f ca="1">IF('Intermediate Data'!AP65="","",'Intermediate Data'!AP65)</f>
        <v/>
      </c>
      <c r="AS21" s="791"/>
      <c r="AT21" s="31"/>
      <c r="AU21" s="148"/>
      <c r="AV21" s="804" t="str">
        <f ca="1">'Intermediate Data'!AQ65</f>
        <v/>
      </c>
      <c r="AW21" s="804"/>
      <c r="AX21" s="804"/>
      <c r="AY21" s="804"/>
      <c r="AZ21" s="130"/>
      <c r="BA21" s="150"/>
      <c r="BB21" s="803" t="str">
        <f ca="1">'Intermediate Data'!AR65</f>
        <v/>
      </c>
      <c r="BC21" s="803"/>
      <c r="BD21" s="803"/>
      <c r="BE21" s="803"/>
      <c r="BF21" s="692"/>
      <c r="BG21" s="31"/>
      <c r="BH21" s="31"/>
      <c r="BN21" s="31"/>
    </row>
    <row r="22" spans="1:66" s="30" customFormat="1" x14ac:dyDescent="0.25">
      <c r="A22" s="23"/>
      <c r="B22" s="36"/>
      <c r="C22" s="31"/>
      <c r="D22" s="31"/>
      <c r="E22" s="31"/>
      <c r="F22" s="31"/>
      <c r="G22" s="31"/>
      <c r="H22" s="31"/>
      <c r="I22" s="31"/>
      <c r="J22" s="31"/>
      <c r="L22" s="35"/>
      <c r="M22" s="31"/>
      <c r="N22" s="38" t="str">
        <f ca="1">'Intermediate Data'!AA66</f>
        <v>Ceiling fan</v>
      </c>
      <c r="O22" s="31"/>
      <c r="P22" s="31"/>
      <c r="Q22" s="31"/>
      <c r="R22" s="31"/>
      <c r="S22" s="31"/>
      <c r="T22" s="31"/>
      <c r="U22" s="148"/>
      <c r="V22" s="804">
        <f ca="1">IF(OR('Intermediate Data'!AG66="",'Intermediate Data'!AG66="N/A"),"",'Intermediate Data'!AG66)</f>
        <v>0.56739042252992744</v>
      </c>
      <c r="W22" s="804"/>
      <c r="X22" s="804"/>
      <c r="Y22" s="804"/>
      <c r="Z22" s="110"/>
      <c r="AA22" s="519" t="str">
        <f ca="1">IF(OR('Intermediate Data'!AB66="",'Intermediate Data'!AB66="N/A"),"",'Intermediate Data'!AB66)</f>
        <v/>
      </c>
      <c r="AB22" s="111">
        <f ca="1">IF(OR('Intermediate Data'!AC66="",'Intermediate Data'!AC66="N/A"),"",'Intermediate Data'!AC66)</f>
        <v>0.54472503026679209</v>
      </c>
      <c r="AC22" s="519" t="str">
        <f ca="1">IF(OR('Intermediate Data'!AD66="",'Intermediate Data'!AD66="N/A"),"",'Intermediate Data'!AD66)</f>
        <v/>
      </c>
      <c r="AD22" s="111">
        <f ca="1">IF(OR('Intermediate Data'!AE66="",'Intermediate Data'!AE66="N/A"),"",'Intermediate Data'!AE66)</f>
        <v>0.56739042252992744</v>
      </c>
      <c r="AE22" s="161" t="str">
        <f ca="1">IF(OR('Intermediate Data'!AF66="",'Intermediate Data'!AF66="N/A"),"",'Intermediate Data'!AF66)</f>
        <v/>
      </c>
      <c r="AF22" s="520"/>
      <c r="AG22" s="805">
        <f ca="1">IF(OR('Intermediate Data'!AN66="",'Intermediate Data'!AN66="N/A"),"",'Intermediate Data'!AN66)</f>
        <v>1.1281365978062037</v>
      </c>
      <c r="AH22" s="805"/>
      <c r="AI22" s="805"/>
      <c r="AJ22" s="805"/>
      <c r="AK22" s="130"/>
      <c r="AL22" s="529" t="str">
        <f ca="1">IF(OR('Intermediate Data'!AI66="",'Intermediate Data'!AI66="N/A"),"",'Intermediate Data'!AI66)</f>
        <v/>
      </c>
      <c r="AM22" s="132">
        <f ca="1">IF(OR('Intermediate Data'!AJ66="",'Intermediate Data'!AJ66="N/A"),"",'Intermediate Data'!AJ66)</f>
        <v>1.032643385886048</v>
      </c>
      <c r="AN22" s="529" t="str">
        <f ca="1">IF(OR('Intermediate Data'!AK66="",'Intermediate Data'!AK66="N/A"),"",'Intermediate Data'!AK66)</f>
        <v/>
      </c>
      <c r="AO22" s="132">
        <f ca="1">IF(OR('Intermediate Data'!AL66="",'Intermediate Data'!AL66="N/A"),"",'Intermediate Data'!AL66)</f>
        <v>1.1281365978062037</v>
      </c>
      <c r="AP22" s="163" t="str">
        <f ca="1">IF(OR('Intermediate Data'!AM66="",'Intermediate Data'!AM66="N/A"),"",'Intermediate Data'!AM66)</f>
        <v/>
      </c>
      <c r="AQ22" s="31"/>
      <c r="AR22" s="791" t="str">
        <f ca="1">IF('Intermediate Data'!AP66="","",'Intermediate Data'!AP66)</f>
        <v/>
      </c>
      <c r="AS22" s="791"/>
      <c r="AT22" s="31"/>
      <c r="AU22" s="148"/>
      <c r="AV22" s="804">
        <f ca="1">'Intermediate Data'!AQ66</f>
        <v>0.27</v>
      </c>
      <c r="AW22" s="804"/>
      <c r="AX22" s="804"/>
      <c r="AY22" s="804"/>
      <c r="AZ22" s="130"/>
      <c r="BA22" s="150"/>
      <c r="BB22" s="803">
        <f ca="1">'Intermediate Data'!AR66</f>
        <v>165</v>
      </c>
      <c r="BC22" s="803"/>
      <c r="BD22" s="803"/>
      <c r="BE22" s="803"/>
      <c r="BF22" s="692"/>
      <c r="BG22" s="53"/>
      <c r="BH22" s="31"/>
      <c r="BN22" s="31"/>
    </row>
    <row r="23" spans="1:66" s="30" customFormat="1" x14ac:dyDescent="0.25">
      <c r="A23" s="23"/>
      <c r="B23" s="36"/>
      <c r="C23" s="31"/>
      <c r="D23" s="31"/>
      <c r="E23" s="31"/>
      <c r="F23" s="31"/>
      <c r="G23" s="31"/>
      <c r="H23" s="31"/>
      <c r="I23" s="31"/>
      <c r="J23" s="31"/>
      <c r="L23" s="35"/>
      <c r="M23" s="31"/>
      <c r="N23" s="38" t="str">
        <f ca="1">'Intermediate Data'!AA67</f>
        <v>Cell phone charger</v>
      </c>
      <c r="O23" s="31"/>
      <c r="P23" s="31"/>
      <c r="Q23" s="31"/>
      <c r="R23" s="31"/>
      <c r="S23" s="31"/>
      <c r="T23" s="31"/>
      <c r="U23" s="148"/>
      <c r="V23" s="804" t="str">
        <f ca="1">IF(OR('Intermediate Data'!AG67="",'Intermediate Data'!AG67="N/A"),"",'Intermediate Data'!AG67)</f>
        <v/>
      </c>
      <c r="W23" s="804"/>
      <c r="X23" s="804"/>
      <c r="Y23" s="804"/>
      <c r="Z23" s="110"/>
      <c r="AA23" s="519" t="str">
        <f ca="1">IF(OR('Intermediate Data'!AB67="",'Intermediate Data'!AB67="N/A"),"",'Intermediate Data'!AB67)</f>
        <v/>
      </c>
      <c r="AB23" s="111" t="str">
        <f ca="1">IF(OR('Intermediate Data'!AC67="",'Intermediate Data'!AC67="N/A"),"",'Intermediate Data'!AC67)</f>
        <v/>
      </c>
      <c r="AC23" s="519" t="str">
        <f ca="1">IF(OR('Intermediate Data'!AD67="",'Intermediate Data'!AD67="N/A"),"",'Intermediate Data'!AD67)</f>
        <v/>
      </c>
      <c r="AD23" s="111" t="str">
        <f ca="1">IF(OR('Intermediate Data'!AE67="",'Intermediate Data'!AE67="N/A"),"",'Intermediate Data'!AE67)</f>
        <v/>
      </c>
      <c r="AE23" s="161" t="str">
        <f ca="1">IF(OR('Intermediate Data'!AF67="",'Intermediate Data'!AF67="N/A"),"",'Intermediate Data'!AF67)</f>
        <v/>
      </c>
      <c r="AF23" s="520"/>
      <c r="AG23" s="805" t="str">
        <f ca="1">IF(OR('Intermediate Data'!AN67="",'Intermediate Data'!AN67="N/A"),"",'Intermediate Data'!AN67)</f>
        <v/>
      </c>
      <c r="AH23" s="805"/>
      <c r="AI23" s="805"/>
      <c r="AJ23" s="805"/>
      <c r="AK23" s="130"/>
      <c r="AL23" s="529" t="str">
        <f ca="1">IF(OR('Intermediate Data'!AI67="",'Intermediate Data'!AI67="N/A"),"",'Intermediate Data'!AI67)</f>
        <v/>
      </c>
      <c r="AM23" s="132" t="str">
        <f ca="1">IF(OR('Intermediate Data'!AJ67="",'Intermediate Data'!AJ67="N/A"),"",'Intermediate Data'!AJ67)</f>
        <v/>
      </c>
      <c r="AN23" s="529" t="str">
        <f ca="1">IF(OR('Intermediate Data'!AK67="",'Intermediate Data'!AK67="N/A"),"",'Intermediate Data'!AK67)</f>
        <v/>
      </c>
      <c r="AO23" s="132" t="str">
        <f ca="1">IF(OR('Intermediate Data'!AL67="",'Intermediate Data'!AL67="N/A"),"",'Intermediate Data'!AL67)</f>
        <v/>
      </c>
      <c r="AP23" s="163" t="str">
        <f ca="1">IF(OR('Intermediate Data'!AM67="",'Intermediate Data'!AM67="N/A"),"",'Intermediate Data'!AM67)</f>
        <v/>
      </c>
      <c r="AQ23" s="31"/>
      <c r="AR23" s="791" t="str">
        <f ca="1">IF('Intermediate Data'!AP67="","",'Intermediate Data'!AP67)</f>
        <v/>
      </c>
      <c r="AS23" s="791"/>
      <c r="AT23" s="31"/>
      <c r="AU23" s="148"/>
      <c r="AV23" s="804" t="str">
        <f ca="1">'Intermediate Data'!AQ67</f>
        <v/>
      </c>
      <c r="AW23" s="804"/>
      <c r="AX23" s="804"/>
      <c r="AY23" s="804"/>
      <c r="AZ23" s="130"/>
      <c r="BA23" s="150"/>
      <c r="BB23" s="803" t="str">
        <f ca="1">'Intermediate Data'!AR67</f>
        <v/>
      </c>
      <c r="BC23" s="803"/>
      <c r="BD23" s="803"/>
      <c r="BE23" s="803"/>
      <c r="BF23" s="692"/>
      <c r="BG23" s="31"/>
      <c r="BH23" s="31"/>
      <c r="BN23" s="31"/>
    </row>
    <row r="24" spans="1:66" s="30" customFormat="1" x14ac:dyDescent="0.25">
      <c r="A24" s="23"/>
      <c r="B24" s="36"/>
      <c r="C24" s="31"/>
      <c r="D24" s="31"/>
      <c r="E24" s="31"/>
      <c r="F24" s="31"/>
      <c r="G24" s="31"/>
      <c r="H24" s="31"/>
      <c r="I24" s="31"/>
      <c r="J24" s="31"/>
      <c r="L24" s="35"/>
      <c r="M24" s="31"/>
      <c r="N24" s="38" t="str">
        <f ca="1">'Intermediate Data'!AA68</f>
        <v>Central AC</v>
      </c>
      <c r="O24" s="31"/>
      <c r="P24" s="31"/>
      <c r="Q24" s="31"/>
      <c r="R24" s="31"/>
      <c r="S24" s="31"/>
      <c r="T24" s="31"/>
      <c r="U24" s="148"/>
      <c r="V24" s="804">
        <f ca="1">IF(OR('Intermediate Data'!AG68="",'Intermediate Data'!AG68="N/A"),"",'Intermediate Data'!AG68)</f>
        <v>0.5441207733508614</v>
      </c>
      <c r="W24" s="804"/>
      <c r="X24" s="804"/>
      <c r="Y24" s="804"/>
      <c r="Z24" s="110"/>
      <c r="AA24" s="519">
        <f ca="1">IF(OR('Intermediate Data'!AB68="",'Intermediate Data'!AB68="N/A"),"",'Intermediate Data'!AB68)</f>
        <v>0.29399999999999998</v>
      </c>
      <c r="AB24" s="111">
        <f ca="1">IF(OR('Intermediate Data'!AC68="",'Intermediate Data'!AC68="N/A"),"",'Intermediate Data'!AC68)</f>
        <v>0.45629088951766317</v>
      </c>
      <c r="AC24" s="519" t="str">
        <f ca="1">IF(OR('Intermediate Data'!AD68="",'Intermediate Data'!AD68="N/A"),"",'Intermediate Data'!AD68)</f>
        <v/>
      </c>
      <c r="AD24" s="111">
        <f ca="1">IF(OR('Intermediate Data'!AE68="",'Intermediate Data'!AE68="N/A"),"",'Intermediate Data'!AE68)</f>
        <v>0.5441207733508614</v>
      </c>
      <c r="AE24" s="161" t="str">
        <f ca="1">IF(OR('Intermediate Data'!AF68="",'Intermediate Data'!AF68="N/A"),"",'Intermediate Data'!AF68)</f>
        <v/>
      </c>
      <c r="AF24" s="520"/>
      <c r="AG24" s="805">
        <f ca="1">IF(OR('Intermediate Data'!AN68="",'Intermediate Data'!AN68="N/A"),"",'Intermediate Data'!AN68)</f>
        <v>0.57346727671045294</v>
      </c>
      <c r="AH24" s="805"/>
      <c r="AI24" s="805"/>
      <c r="AJ24" s="805"/>
      <c r="AK24" s="130"/>
      <c r="AL24" s="529" t="str">
        <f ca="1">IF(OR('Intermediate Data'!AI68="",'Intermediate Data'!AI68="N/A"),"",'Intermediate Data'!AI68)</f>
        <v/>
      </c>
      <c r="AM24" s="132">
        <f ca="1">IF(OR('Intermediate Data'!AJ68="",'Intermediate Data'!AJ68="N/A"),"",'Intermediate Data'!AJ68)</f>
        <v>0.47891956990484952</v>
      </c>
      <c r="AN24" s="529" t="str">
        <f ca="1">IF(OR('Intermediate Data'!AK68="",'Intermediate Data'!AK68="N/A"),"",'Intermediate Data'!AK68)</f>
        <v/>
      </c>
      <c r="AO24" s="132">
        <f ca="1">IF(OR('Intermediate Data'!AL68="",'Intermediate Data'!AL68="N/A"),"",'Intermediate Data'!AL68)</f>
        <v>0.57346727671045294</v>
      </c>
      <c r="AP24" s="163" t="str">
        <f ca="1">IF(OR('Intermediate Data'!AM68="",'Intermediate Data'!AM68="N/A"),"",'Intermediate Data'!AM68)</f>
        <v/>
      </c>
      <c r="AQ24" s="31"/>
      <c r="AR24" s="791" t="str">
        <f ca="1">IF('Intermediate Data'!AP68="","",'Intermediate Data'!AP68)</f>
        <v/>
      </c>
      <c r="AS24" s="791"/>
      <c r="AT24" s="31"/>
      <c r="AU24" s="148"/>
      <c r="AV24" s="804">
        <f ca="1">'Intermediate Data'!AQ68</f>
        <v>0.18</v>
      </c>
      <c r="AW24" s="804"/>
      <c r="AX24" s="804"/>
      <c r="AY24" s="804"/>
      <c r="AZ24" s="130"/>
      <c r="BA24" s="150"/>
      <c r="BB24" s="803">
        <f ca="1">'Intermediate Data'!AR68</f>
        <v>440</v>
      </c>
      <c r="BC24" s="803"/>
      <c r="BD24" s="803"/>
      <c r="BE24" s="803"/>
      <c r="BF24" s="692"/>
      <c r="BG24" s="31"/>
      <c r="BH24" s="31"/>
      <c r="BN24" s="31"/>
    </row>
    <row r="25" spans="1:66" s="30" customFormat="1" x14ac:dyDescent="0.25">
      <c r="A25" s="23"/>
      <c r="B25" s="46"/>
      <c r="C25" s="47"/>
      <c r="D25" s="47"/>
      <c r="E25" s="47"/>
      <c r="F25" s="47"/>
      <c r="G25" s="47"/>
      <c r="H25" s="47"/>
      <c r="I25" s="47"/>
      <c r="J25" s="47"/>
      <c r="K25" s="47"/>
      <c r="L25" s="48"/>
      <c r="M25" s="31"/>
      <c r="N25" s="38" t="str">
        <f ca="1">'Intermediate Data'!AA69</f>
        <v>Ceramics - Kiln - Electric</v>
      </c>
      <c r="U25" s="148"/>
      <c r="V25" s="804">
        <f ca="1">IF(OR('Intermediate Data'!AG69="",'Intermediate Data'!AG69="N/A"),"",'Intermediate Data'!AG69)</f>
        <v>1.6986509075526315E-2</v>
      </c>
      <c r="W25" s="804"/>
      <c r="X25" s="804"/>
      <c r="Y25" s="804"/>
      <c r="Z25" s="111"/>
      <c r="AA25" s="519" t="str">
        <f ca="1">IF(OR('Intermediate Data'!AB69="",'Intermediate Data'!AB69="N/A"),"",'Intermediate Data'!AB69)</f>
        <v/>
      </c>
      <c r="AB25" s="111">
        <f ca="1">IF(OR('Intermediate Data'!AC69="",'Intermediate Data'!AC69="N/A"),"",'Intermediate Data'!AC69)</f>
        <v>1.504527058943011E-2</v>
      </c>
      <c r="AC25" s="519" t="str">
        <f ca="1">IF(OR('Intermediate Data'!AD69="",'Intermediate Data'!AD69="N/A"),"",'Intermediate Data'!AD69)</f>
        <v/>
      </c>
      <c r="AD25" s="111">
        <f ca="1">IF(OR('Intermediate Data'!AE69="",'Intermediate Data'!AE69="N/A"),"",'Intermediate Data'!AE69)</f>
        <v>1.6986509075526315E-2</v>
      </c>
      <c r="AE25" s="161" t="str">
        <f ca="1">IF(OR('Intermediate Data'!AF69="",'Intermediate Data'!AF69="N/A"),"",'Intermediate Data'!AF69)</f>
        <v/>
      </c>
      <c r="AF25" s="521"/>
      <c r="AG25" s="805" t="str">
        <f ca="1">IF(OR('Intermediate Data'!AN69="",'Intermediate Data'!AN69="N/A"),"",'Intermediate Data'!AN69)</f>
        <v/>
      </c>
      <c r="AH25" s="805"/>
      <c r="AI25" s="805"/>
      <c r="AJ25" s="805"/>
      <c r="AK25" s="106"/>
      <c r="AL25" s="529" t="str">
        <f ca="1">IF(OR('Intermediate Data'!AI69="",'Intermediate Data'!AI69="N/A"),"",'Intermediate Data'!AI69)</f>
        <v/>
      </c>
      <c r="AM25" s="132" t="str">
        <f ca="1">IF(OR('Intermediate Data'!AJ69="",'Intermediate Data'!AJ69="N/A"),"",'Intermediate Data'!AJ69)</f>
        <v/>
      </c>
      <c r="AN25" s="529" t="str">
        <f ca="1">IF(OR('Intermediate Data'!AK69="",'Intermediate Data'!AK69="N/A"),"",'Intermediate Data'!AK69)</f>
        <v/>
      </c>
      <c r="AO25" s="132" t="str">
        <f ca="1">IF(OR('Intermediate Data'!AL69="",'Intermediate Data'!AL69="N/A"),"",'Intermediate Data'!AL69)</f>
        <v/>
      </c>
      <c r="AP25" s="163" t="str">
        <f ca="1">IF(OR('Intermediate Data'!AM69="",'Intermediate Data'!AM69="N/A"),"",'Intermediate Data'!AM69)</f>
        <v/>
      </c>
      <c r="AQ25" s="24"/>
      <c r="AR25" s="792" t="str">
        <f ca="1">IF('Intermediate Data'!AP69="","",'Intermediate Data'!AP69)</f>
        <v/>
      </c>
      <c r="AS25" s="792"/>
      <c r="AT25" s="24"/>
      <c r="AU25" s="149"/>
      <c r="AV25" s="804" t="str">
        <f ca="1">'Intermediate Data'!AQ69</f>
        <v/>
      </c>
      <c r="AW25" s="804"/>
      <c r="AX25" s="804"/>
      <c r="AY25" s="804"/>
      <c r="AZ25" s="130"/>
      <c r="BA25" s="150"/>
      <c r="BB25" s="803" t="str">
        <f ca="1">'Intermediate Data'!AR69</f>
        <v/>
      </c>
      <c r="BC25" s="803"/>
      <c r="BD25" s="803"/>
      <c r="BE25" s="803"/>
      <c r="BF25" s="692"/>
      <c r="BG25" s="31"/>
      <c r="BH25" s="31"/>
      <c r="BN25" s="31"/>
    </row>
    <row r="26" spans="1:66" s="30" customFormat="1" x14ac:dyDescent="0.25">
      <c r="A26" s="23"/>
      <c r="B26" s="23"/>
      <c r="C26" s="23"/>
      <c r="D26" s="23"/>
      <c r="E26" s="23"/>
      <c r="F26" s="23"/>
      <c r="G26" s="23"/>
      <c r="H26" s="23"/>
      <c r="I26" s="23"/>
      <c r="J26" s="23"/>
      <c r="K26" s="23"/>
      <c r="L26" s="23"/>
      <c r="M26" s="31"/>
      <c r="N26" s="38" t="str">
        <f ca="1">'Intermediate Data'!AA70</f>
        <v>Ceramics - Pottery wheel</v>
      </c>
      <c r="U26" s="148"/>
      <c r="V26" s="804" t="str">
        <f ca="1">IF(OR('Intermediate Data'!AG70="",'Intermediate Data'!AG70="N/A"),"",'Intermediate Data'!AG70)</f>
        <v/>
      </c>
      <c r="W26" s="804"/>
      <c r="X26" s="804"/>
      <c r="Y26" s="804"/>
      <c r="Z26" s="111"/>
      <c r="AA26" s="519" t="str">
        <f ca="1">IF(OR('Intermediate Data'!AB70="",'Intermediate Data'!AB70="N/A"),"",'Intermediate Data'!AB70)</f>
        <v/>
      </c>
      <c r="AB26" s="111" t="str">
        <f ca="1">IF(OR('Intermediate Data'!AC70="",'Intermediate Data'!AC70="N/A"),"",'Intermediate Data'!AC70)</f>
        <v/>
      </c>
      <c r="AC26" s="519" t="str">
        <f ca="1">IF(OR('Intermediate Data'!AD70="",'Intermediate Data'!AD70="N/A"),"",'Intermediate Data'!AD70)</f>
        <v/>
      </c>
      <c r="AD26" s="111" t="str">
        <f ca="1">IF(OR('Intermediate Data'!AE70="",'Intermediate Data'!AE70="N/A"),"",'Intermediate Data'!AE70)</f>
        <v/>
      </c>
      <c r="AE26" s="161" t="str">
        <f ca="1">IF(OR('Intermediate Data'!AF70="",'Intermediate Data'!AF70="N/A"),"",'Intermediate Data'!AF70)</f>
        <v/>
      </c>
      <c r="AF26" s="521"/>
      <c r="AG26" s="805" t="str">
        <f ca="1">IF(OR('Intermediate Data'!AN70="",'Intermediate Data'!AN70="N/A"),"",'Intermediate Data'!AN70)</f>
        <v/>
      </c>
      <c r="AH26" s="805"/>
      <c r="AI26" s="805"/>
      <c r="AJ26" s="805"/>
      <c r="AK26" s="120"/>
      <c r="AL26" s="529" t="str">
        <f ca="1">IF(OR('Intermediate Data'!AI70="",'Intermediate Data'!AI70="N/A"),"",'Intermediate Data'!AI70)</f>
        <v/>
      </c>
      <c r="AM26" s="132" t="str">
        <f ca="1">IF(OR('Intermediate Data'!AJ70="",'Intermediate Data'!AJ70="N/A"),"",'Intermediate Data'!AJ70)</f>
        <v/>
      </c>
      <c r="AN26" s="529" t="str">
        <f ca="1">IF(OR('Intermediate Data'!AK70="",'Intermediate Data'!AK70="N/A"),"",'Intermediate Data'!AK70)</f>
        <v/>
      </c>
      <c r="AO26" s="132" t="str">
        <f ca="1">IF(OR('Intermediate Data'!AL70="",'Intermediate Data'!AL70="N/A"),"",'Intermediate Data'!AL70)</f>
        <v/>
      </c>
      <c r="AP26" s="163" t="str">
        <f ca="1">IF(OR('Intermediate Data'!AM70="",'Intermediate Data'!AM70="N/A"),"",'Intermediate Data'!AM70)</f>
        <v/>
      </c>
      <c r="AQ26" s="24"/>
      <c r="AR26" s="792" t="str">
        <f ca="1">IF('Intermediate Data'!AP70="","",'Intermediate Data'!AP70)</f>
        <v/>
      </c>
      <c r="AS26" s="792"/>
      <c r="AT26" s="24"/>
      <c r="AU26" s="149"/>
      <c r="AV26" s="804" t="str">
        <f ca="1">'Intermediate Data'!AQ70</f>
        <v/>
      </c>
      <c r="AW26" s="804"/>
      <c r="AX26" s="804"/>
      <c r="AY26" s="804"/>
      <c r="AZ26" s="130"/>
      <c r="BA26" s="150"/>
      <c r="BB26" s="803" t="str">
        <f ca="1">'Intermediate Data'!AR70</f>
        <v/>
      </c>
      <c r="BC26" s="803"/>
      <c r="BD26" s="803"/>
      <c r="BE26" s="803"/>
      <c r="BF26" s="692"/>
      <c r="BG26" s="31"/>
      <c r="BH26" s="31"/>
      <c r="BN26" s="31"/>
    </row>
    <row r="27" spans="1:66" s="30" customFormat="1" x14ac:dyDescent="0.25">
      <c r="A27" s="23"/>
      <c r="M27" s="31"/>
      <c r="N27" s="38" t="str">
        <f ca="1">'Intermediate Data'!AA71</f>
        <v>Clock</v>
      </c>
      <c r="U27" s="148"/>
      <c r="V27" s="804" t="str">
        <f ca="1">IF(OR('Intermediate Data'!AG71="",'Intermediate Data'!AG71="N/A"),"",'Intermediate Data'!AG71)</f>
        <v/>
      </c>
      <c r="W27" s="804"/>
      <c r="X27" s="804"/>
      <c r="Y27" s="804"/>
      <c r="Z27" s="111"/>
      <c r="AA27" s="519" t="str">
        <f ca="1">IF(OR('Intermediate Data'!AB71="",'Intermediate Data'!AB71="N/A"),"",'Intermediate Data'!AB71)</f>
        <v/>
      </c>
      <c r="AB27" s="111" t="str">
        <f ca="1">IF(OR('Intermediate Data'!AC71="",'Intermediate Data'!AC71="N/A"),"",'Intermediate Data'!AC71)</f>
        <v/>
      </c>
      <c r="AC27" s="519" t="str">
        <f ca="1">IF(OR('Intermediate Data'!AD71="",'Intermediate Data'!AD71="N/A"),"",'Intermediate Data'!AD71)</f>
        <v/>
      </c>
      <c r="AD27" s="111" t="str">
        <f ca="1">IF(OR('Intermediate Data'!AE71="",'Intermediate Data'!AE71="N/A"),"",'Intermediate Data'!AE71)</f>
        <v/>
      </c>
      <c r="AE27" s="161" t="str">
        <f ca="1">IF(OR('Intermediate Data'!AF71="",'Intermediate Data'!AF71="N/A"),"",'Intermediate Data'!AF71)</f>
        <v/>
      </c>
      <c r="AF27" s="521"/>
      <c r="AG27" s="805" t="str">
        <f ca="1">IF(OR('Intermediate Data'!AN71="",'Intermediate Data'!AN71="N/A"),"",'Intermediate Data'!AN71)</f>
        <v/>
      </c>
      <c r="AH27" s="805"/>
      <c r="AI27" s="805"/>
      <c r="AJ27" s="805"/>
      <c r="AK27" s="120"/>
      <c r="AL27" s="529" t="str">
        <f ca="1">IF(OR('Intermediate Data'!AI71="",'Intermediate Data'!AI71="N/A"),"",'Intermediate Data'!AI71)</f>
        <v/>
      </c>
      <c r="AM27" s="132" t="str">
        <f ca="1">IF(OR('Intermediate Data'!AJ71="",'Intermediate Data'!AJ71="N/A"),"",'Intermediate Data'!AJ71)</f>
        <v/>
      </c>
      <c r="AN27" s="529" t="str">
        <f ca="1">IF(OR('Intermediate Data'!AK71="",'Intermediate Data'!AK71="N/A"),"",'Intermediate Data'!AK71)</f>
        <v/>
      </c>
      <c r="AO27" s="132" t="str">
        <f ca="1">IF(OR('Intermediate Data'!AL71="",'Intermediate Data'!AL71="N/A"),"",'Intermediate Data'!AL71)</f>
        <v/>
      </c>
      <c r="AP27" s="163" t="str">
        <f ca="1">IF(OR('Intermediate Data'!AM71="",'Intermediate Data'!AM71="N/A"),"",'Intermediate Data'!AM71)</f>
        <v/>
      </c>
      <c r="AQ27" s="24"/>
      <c r="AR27" s="792" t="str">
        <f ca="1">IF('Intermediate Data'!AP71="","",'Intermediate Data'!AP71)</f>
        <v/>
      </c>
      <c r="AS27" s="792"/>
      <c r="AT27" s="24"/>
      <c r="AU27" s="149"/>
      <c r="AV27" s="804" t="str">
        <f ca="1">'Intermediate Data'!AQ71</f>
        <v/>
      </c>
      <c r="AW27" s="804"/>
      <c r="AX27" s="804"/>
      <c r="AY27" s="804"/>
      <c r="AZ27" s="130"/>
      <c r="BA27" s="150"/>
      <c r="BB27" s="803" t="str">
        <f ca="1">'Intermediate Data'!AR71</f>
        <v/>
      </c>
      <c r="BC27" s="803"/>
      <c r="BD27" s="803"/>
      <c r="BE27" s="803"/>
      <c r="BF27" s="692"/>
      <c r="BG27" s="31"/>
      <c r="BH27" s="31"/>
      <c r="BN27" s="31"/>
    </row>
    <row r="28" spans="1:66" s="30" customFormat="1" x14ac:dyDescent="0.25">
      <c r="A28" s="23"/>
      <c r="M28" s="31"/>
      <c r="N28" s="38" t="str">
        <f ca="1">'Intermediate Data'!AA72</f>
        <v>Clothes dryer - Electric</v>
      </c>
      <c r="U28" s="148"/>
      <c r="V28" s="804">
        <f ca="1">IF(OR('Intermediate Data'!AG72="",'Intermediate Data'!AG72="N/A"),"",'Intermediate Data'!AG72)</f>
        <v>0.27181</v>
      </c>
      <c r="W28" s="804"/>
      <c r="X28" s="804"/>
      <c r="Y28" s="804"/>
      <c r="Z28" s="111"/>
      <c r="AA28" s="519">
        <f ca="1">IF(OR('Intermediate Data'!AB72="",'Intermediate Data'!AB72="N/A"),"",'Intermediate Data'!AB72)</f>
        <v>0.294904</v>
      </c>
      <c r="AB28" s="111">
        <f ca="1">IF(OR('Intermediate Data'!AC72="",'Intermediate Data'!AC72="N/A"),"",'Intermediate Data'!AC72)</f>
        <v>0.31014796666629402</v>
      </c>
      <c r="AC28" s="519">
        <f ca="1">IF(OR('Intermediate Data'!AD72="",'Intermediate Data'!AD72="N/A"),"",'Intermediate Data'!AD72)</f>
        <v>0.32840999999999998</v>
      </c>
      <c r="AD28" s="111">
        <f ca="1">IF(OR('Intermediate Data'!AE72="",'Intermediate Data'!AE72="N/A"),"",'Intermediate Data'!AE72)</f>
        <v>0.31706218820121751</v>
      </c>
      <c r="AE28" s="161">
        <f ca="1">IF(OR('Intermediate Data'!AF72="",'Intermediate Data'!AF72="N/A"),"",'Intermediate Data'!AF72)</f>
        <v>0.27181</v>
      </c>
      <c r="AF28" s="521"/>
      <c r="AG28" s="805" t="str">
        <f ca="1">IF(OR('Intermediate Data'!AN72="",'Intermediate Data'!AN72="N/A"),"",'Intermediate Data'!AN72)</f>
        <v/>
      </c>
      <c r="AH28" s="805"/>
      <c r="AI28" s="805"/>
      <c r="AJ28" s="805"/>
      <c r="AK28" s="120"/>
      <c r="AL28" s="529" t="str">
        <f ca="1">IF(OR('Intermediate Data'!AI72="",'Intermediate Data'!AI72="N/A"),"",'Intermediate Data'!AI72)</f>
        <v/>
      </c>
      <c r="AM28" s="132" t="str">
        <f ca="1">IF(OR('Intermediate Data'!AJ72="",'Intermediate Data'!AJ72="N/A"),"",'Intermediate Data'!AJ72)</f>
        <v/>
      </c>
      <c r="AN28" s="529" t="str">
        <f ca="1">IF(OR('Intermediate Data'!AK72="",'Intermediate Data'!AK72="N/A"),"",'Intermediate Data'!AK72)</f>
        <v/>
      </c>
      <c r="AO28" s="132" t="str">
        <f ca="1">IF(OR('Intermediate Data'!AL72="",'Intermediate Data'!AL72="N/A"),"",'Intermediate Data'!AL72)</f>
        <v/>
      </c>
      <c r="AP28" s="163" t="str">
        <f ca="1">IF(OR('Intermediate Data'!AM72="",'Intermediate Data'!AM72="N/A"),"",'Intermediate Data'!AM72)</f>
        <v/>
      </c>
      <c r="AQ28" s="24"/>
      <c r="AR28" s="792" t="str">
        <f ca="1">IF('Intermediate Data'!AP72="","",'Intermediate Data'!AP72)</f>
        <v/>
      </c>
      <c r="AS28" s="792"/>
      <c r="AT28" s="24"/>
      <c r="AU28" s="149"/>
      <c r="AV28" s="804" t="str">
        <f ca="1">'Intermediate Data'!AQ72</f>
        <v/>
      </c>
      <c r="AW28" s="804"/>
      <c r="AX28" s="804"/>
      <c r="AY28" s="804"/>
      <c r="AZ28" s="130"/>
      <c r="BA28" s="150"/>
      <c r="BB28" s="803">
        <f ca="1">'Intermediate Data'!AR72</f>
        <v>160</v>
      </c>
      <c r="BC28" s="803"/>
      <c r="BD28" s="803"/>
      <c r="BE28" s="803"/>
      <c r="BF28" s="692"/>
      <c r="BG28" s="31"/>
      <c r="BH28" s="31"/>
      <c r="BN28" s="31"/>
    </row>
    <row r="29" spans="1:66" s="30" customFormat="1" x14ac:dyDescent="0.25">
      <c r="A29" s="23"/>
      <c r="B29" s="23"/>
      <c r="C29" s="23"/>
      <c r="D29" s="23"/>
      <c r="E29" s="23"/>
      <c r="F29" s="23"/>
      <c r="G29" s="23"/>
      <c r="H29" s="23"/>
      <c r="I29" s="23"/>
      <c r="J29" s="23"/>
      <c r="K29" s="23"/>
      <c r="L29" s="23"/>
      <c r="M29" s="31"/>
      <c r="N29" s="38" t="str">
        <f ca="1">'Intermediate Data'!AA73</f>
        <v>Clothes dryer - Gas</v>
      </c>
      <c r="U29" s="148"/>
      <c r="V29" s="804">
        <f ca="1">IF(OR('Intermediate Data'!AG73="",'Intermediate Data'!AG73="N/A"),"",'Intermediate Data'!AG73)</f>
        <v>0.47971000000000003</v>
      </c>
      <c r="W29" s="804"/>
      <c r="X29" s="804"/>
      <c r="Y29" s="804"/>
      <c r="Z29" s="111"/>
      <c r="AA29" s="519">
        <f ca="1">IF(OR('Intermediate Data'!AB73="",'Intermediate Data'!AB73="N/A"),"",'Intermediate Data'!AB73)</f>
        <v>0.46069199999999999</v>
      </c>
      <c r="AB29" s="111">
        <f ca="1">IF(OR('Intermediate Data'!AC73="",'Intermediate Data'!AC73="N/A"),"",'Intermediate Data'!AC73)</f>
        <v>0.40553722744741555</v>
      </c>
      <c r="AC29" s="519">
        <f ca="1">IF(OR('Intermediate Data'!AD73="",'Intermediate Data'!AD73="N/A"),"",'Intermediate Data'!AD73)</f>
        <v>0.45977400000000002</v>
      </c>
      <c r="AD29" s="111">
        <f ca="1">IF(OR('Intermediate Data'!AE73="",'Intermediate Data'!AE73="N/A"),"",'Intermediate Data'!AE73)</f>
        <v>0.45913595064815682</v>
      </c>
      <c r="AE29" s="161">
        <f ca="1">IF(OR('Intermediate Data'!AF73="",'Intermediate Data'!AF73="N/A"),"",'Intermediate Data'!AF73)</f>
        <v>0.47971000000000003</v>
      </c>
      <c r="AF29" s="520"/>
      <c r="AG29" s="805" t="str">
        <f ca="1">IF(OR('Intermediate Data'!AN73="",'Intermediate Data'!AN73="N/A"),"",'Intermediate Data'!AN73)</f>
        <v/>
      </c>
      <c r="AH29" s="805"/>
      <c r="AI29" s="805"/>
      <c r="AJ29" s="805"/>
      <c r="AK29" s="130"/>
      <c r="AL29" s="529" t="str">
        <f ca="1">IF(OR('Intermediate Data'!AI73="",'Intermediate Data'!AI73="N/A"),"",'Intermediate Data'!AI73)</f>
        <v/>
      </c>
      <c r="AM29" s="132" t="str">
        <f ca="1">IF(OR('Intermediate Data'!AJ73="",'Intermediate Data'!AJ73="N/A"),"",'Intermediate Data'!AJ73)</f>
        <v/>
      </c>
      <c r="AN29" s="529" t="str">
        <f ca="1">IF(OR('Intermediate Data'!AK73="",'Intermediate Data'!AK73="N/A"),"",'Intermediate Data'!AK73)</f>
        <v/>
      </c>
      <c r="AO29" s="132" t="str">
        <f ca="1">IF(OR('Intermediate Data'!AL73="",'Intermediate Data'!AL73="N/A"),"",'Intermediate Data'!AL73)</f>
        <v/>
      </c>
      <c r="AP29" s="163" t="str">
        <f ca="1">IF(OR('Intermediate Data'!AM73="",'Intermediate Data'!AM73="N/A"),"",'Intermediate Data'!AM73)</f>
        <v/>
      </c>
      <c r="AQ29" s="31"/>
      <c r="AR29" s="791" t="str">
        <f ca="1">IF('Intermediate Data'!AP73="","",'Intermediate Data'!AP73)</f>
        <v/>
      </c>
      <c r="AS29" s="791"/>
      <c r="AT29" s="31"/>
      <c r="AU29" s="148"/>
      <c r="AV29" s="804" t="str">
        <f ca="1">'Intermediate Data'!AQ73</f>
        <v/>
      </c>
      <c r="AW29" s="804"/>
      <c r="AX29" s="804"/>
      <c r="AY29" s="804"/>
      <c r="AZ29" s="130"/>
      <c r="BA29" s="150"/>
      <c r="BB29" s="803">
        <f ca="1">'Intermediate Data'!AR73</f>
        <v>30</v>
      </c>
      <c r="BC29" s="803"/>
      <c r="BD29" s="803"/>
      <c r="BE29" s="803"/>
      <c r="BF29" s="692"/>
      <c r="BG29" s="31"/>
      <c r="BH29" s="31"/>
      <c r="BN29" s="31"/>
    </row>
    <row r="30" spans="1:66" s="30" customFormat="1" x14ac:dyDescent="0.25">
      <c r="A30" s="23"/>
      <c r="B30" s="23"/>
      <c r="C30" s="23"/>
      <c r="D30" s="23"/>
      <c r="E30" s="23"/>
      <c r="F30" s="23"/>
      <c r="G30" s="23"/>
      <c r="H30" s="23"/>
      <c r="I30" s="23"/>
      <c r="J30" s="23"/>
      <c r="K30" s="23"/>
      <c r="L30" s="23"/>
      <c r="M30" s="31"/>
      <c r="N30" s="38" t="str">
        <f ca="1">'Intermediate Data'!AA74</f>
        <v>Clothes iron</v>
      </c>
      <c r="U30" s="148"/>
      <c r="V30" s="804" t="str">
        <f ca="1">IF(OR('Intermediate Data'!AG74="",'Intermediate Data'!AG74="N/A"),"",'Intermediate Data'!AG74)</f>
        <v/>
      </c>
      <c r="W30" s="804"/>
      <c r="X30" s="804"/>
      <c r="Y30" s="804"/>
      <c r="Z30" s="111"/>
      <c r="AA30" s="519" t="str">
        <f ca="1">IF(OR('Intermediate Data'!AB74="",'Intermediate Data'!AB74="N/A"),"",'Intermediate Data'!AB74)</f>
        <v/>
      </c>
      <c r="AB30" s="111" t="str">
        <f ca="1">IF(OR('Intermediate Data'!AC74="",'Intermediate Data'!AC74="N/A"),"",'Intermediate Data'!AC74)</f>
        <v/>
      </c>
      <c r="AC30" s="519" t="str">
        <f ca="1">IF(OR('Intermediate Data'!AD74="",'Intermediate Data'!AD74="N/A"),"",'Intermediate Data'!AD74)</f>
        <v/>
      </c>
      <c r="AD30" s="111" t="str">
        <f ca="1">IF(OR('Intermediate Data'!AE74="",'Intermediate Data'!AE74="N/A"),"",'Intermediate Data'!AE74)</f>
        <v/>
      </c>
      <c r="AE30" s="161" t="str">
        <f ca="1">IF(OR('Intermediate Data'!AF74="",'Intermediate Data'!AF74="N/A"),"",'Intermediate Data'!AF74)</f>
        <v/>
      </c>
      <c r="AF30" s="520"/>
      <c r="AG30" s="805" t="str">
        <f ca="1">IF(OR('Intermediate Data'!AN74="",'Intermediate Data'!AN74="N/A"),"",'Intermediate Data'!AN74)</f>
        <v/>
      </c>
      <c r="AH30" s="805"/>
      <c r="AI30" s="805"/>
      <c r="AJ30" s="805"/>
      <c r="AK30" s="130"/>
      <c r="AL30" s="529" t="str">
        <f ca="1">IF(OR('Intermediate Data'!AI74="",'Intermediate Data'!AI74="N/A"),"",'Intermediate Data'!AI74)</f>
        <v/>
      </c>
      <c r="AM30" s="132" t="str">
        <f ca="1">IF(OR('Intermediate Data'!AJ74="",'Intermediate Data'!AJ74="N/A"),"",'Intermediate Data'!AJ74)</f>
        <v/>
      </c>
      <c r="AN30" s="529" t="str">
        <f ca="1">IF(OR('Intermediate Data'!AK74="",'Intermediate Data'!AK74="N/A"),"",'Intermediate Data'!AK74)</f>
        <v/>
      </c>
      <c r="AO30" s="132" t="str">
        <f ca="1">IF(OR('Intermediate Data'!AL74="",'Intermediate Data'!AL74="N/A"),"",'Intermediate Data'!AL74)</f>
        <v/>
      </c>
      <c r="AP30" s="163" t="str">
        <f ca="1">IF(OR('Intermediate Data'!AM74="",'Intermediate Data'!AM74="N/A"),"",'Intermediate Data'!AM74)</f>
        <v/>
      </c>
      <c r="AQ30" s="31"/>
      <c r="AR30" s="791" t="str">
        <f ca="1">IF('Intermediate Data'!AP74="","",'Intermediate Data'!AP74)</f>
        <v/>
      </c>
      <c r="AS30" s="791"/>
      <c r="AT30" s="31"/>
      <c r="AU30" s="148"/>
      <c r="AV30" s="804" t="str">
        <f ca="1">'Intermediate Data'!AQ74</f>
        <v/>
      </c>
      <c r="AW30" s="804"/>
      <c r="AX30" s="804"/>
      <c r="AY30" s="804"/>
      <c r="AZ30" s="130"/>
      <c r="BA30" s="150"/>
      <c r="BB30" s="803" t="str">
        <f ca="1">'Intermediate Data'!AR74</f>
        <v/>
      </c>
      <c r="BC30" s="803"/>
      <c r="BD30" s="803"/>
      <c r="BE30" s="803"/>
      <c r="BF30" s="692"/>
      <c r="BG30" s="31"/>
      <c r="BH30" s="31"/>
      <c r="BN30" s="31"/>
    </row>
    <row r="31" spans="1:66" s="30" customFormat="1" x14ac:dyDescent="0.25">
      <c r="A31" s="23"/>
      <c r="B31" s="23"/>
      <c r="C31" s="23"/>
      <c r="D31" s="23"/>
      <c r="E31" s="23"/>
      <c r="F31" s="23"/>
      <c r="G31" s="23"/>
      <c r="H31" s="23"/>
      <c r="I31" s="23"/>
      <c r="J31" s="23"/>
      <c r="K31" s="23"/>
      <c r="L31" s="23"/>
      <c r="M31" s="31"/>
      <c r="N31" s="38" t="str">
        <f ca="1">'Intermediate Data'!AA75</f>
        <v>Clothes washer</v>
      </c>
      <c r="U31" s="148"/>
      <c r="V31" s="804">
        <f ca="1">IF(OR('Intermediate Data'!AG75="",'Intermediate Data'!AG75="N/A"),"",'Intermediate Data'!AG75)</f>
        <v>0.78900000000000003</v>
      </c>
      <c r="W31" s="804"/>
      <c r="X31" s="804"/>
      <c r="Y31" s="804"/>
      <c r="Z31" s="111"/>
      <c r="AA31" s="519">
        <f ca="1">IF(OR('Intermediate Data'!AB75="",'Intermediate Data'!AB75="N/A"),"",'Intermediate Data'!AB75)</f>
        <v>0.79300000000000004</v>
      </c>
      <c r="AB31" s="111">
        <f ca="1">IF(OR('Intermediate Data'!AC75="",'Intermediate Data'!AC75="N/A"),"",'Intermediate Data'!AC75)</f>
        <v>0.7706411905121594</v>
      </c>
      <c r="AC31" s="519">
        <f ca="1">IF(OR('Intermediate Data'!AD75="",'Intermediate Data'!AD75="N/A"),"",'Intermediate Data'!AD75)</f>
        <v>0.82099999999999995</v>
      </c>
      <c r="AD31" s="111">
        <f ca="1">IF(OR('Intermediate Data'!AE75="",'Intermediate Data'!AE75="N/A"),"",'Intermediate Data'!AE75)</f>
        <v>0.81276296876179988</v>
      </c>
      <c r="AE31" s="161">
        <f ca="1">IF(OR('Intermediate Data'!AF75="",'Intermediate Data'!AF75="N/A"),"",'Intermediate Data'!AF75)</f>
        <v>0.78900000000000003</v>
      </c>
      <c r="AF31" s="520"/>
      <c r="AG31" s="805" t="str">
        <f ca="1">IF(OR('Intermediate Data'!AN75="",'Intermediate Data'!AN75="N/A"),"",'Intermediate Data'!AN75)</f>
        <v/>
      </c>
      <c r="AH31" s="805"/>
      <c r="AI31" s="805"/>
      <c r="AJ31" s="805"/>
      <c r="AK31" s="130"/>
      <c r="AL31" s="529" t="str">
        <f ca="1">IF(OR('Intermediate Data'!AI75="",'Intermediate Data'!AI75="N/A"),"",'Intermediate Data'!AI75)</f>
        <v/>
      </c>
      <c r="AM31" s="132" t="str">
        <f ca="1">IF(OR('Intermediate Data'!AJ75="",'Intermediate Data'!AJ75="N/A"),"",'Intermediate Data'!AJ75)</f>
        <v/>
      </c>
      <c r="AN31" s="529" t="str">
        <f ca="1">IF(OR('Intermediate Data'!AK75="",'Intermediate Data'!AK75="N/A"),"",'Intermediate Data'!AK75)</f>
        <v/>
      </c>
      <c r="AO31" s="132" t="str">
        <f ca="1">IF(OR('Intermediate Data'!AL75="",'Intermediate Data'!AL75="N/A"),"",'Intermediate Data'!AL75)</f>
        <v/>
      </c>
      <c r="AP31" s="163" t="str">
        <f ca="1">IF(OR('Intermediate Data'!AM75="",'Intermediate Data'!AM75="N/A"),"",'Intermediate Data'!AM75)</f>
        <v/>
      </c>
      <c r="AQ31" s="31"/>
      <c r="AR31" s="791">
        <f ca="1">IF('Intermediate Data'!AP75="","",'Intermediate Data'!AP75)</f>
        <v>0.15000000000000002</v>
      </c>
      <c r="AS31" s="791"/>
      <c r="AT31" s="31"/>
      <c r="AU31" s="148"/>
      <c r="AV31" s="804">
        <f ca="1">'Intermediate Data'!AQ75</f>
        <v>0.66</v>
      </c>
      <c r="AW31" s="804"/>
      <c r="AX31" s="804"/>
      <c r="AY31" s="804"/>
      <c r="AZ31" s="130"/>
      <c r="BA31" s="150"/>
      <c r="BB31" s="803">
        <f ca="1">'Intermediate Data'!AR75</f>
        <v>310</v>
      </c>
      <c r="BC31" s="803"/>
      <c r="BD31" s="803"/>
      <c r="BE31" s="803"/>
      <c r="BF31" s="692"/>
      <c r="BG31" s="31"/>
      <c r="BH31" s="31"/>
      <c r="BN31" s="31"/>
    </row>
    <row r="32" spans="1:66" s="30" customFormat="1" x14ac:dyDescent="0.25">
      <c r="A32" s="23"/>
      <c r="B32" s="23"/>
      <c r="C32" s="23"/>
      <c r="D32" s="23"/>
      <c r="E32" s="23"/>
      <c r="F32" s="23"/>
      <c r="G32" s="23"/>
      <c r="H32" s="23"/>
      <c r="I32" s="23"/>
      <c r="J32" s="23"/>
      <c r="K32" s="23"/>
      <c r="L32" s="23"/>
      <c r="M32" s="31"/>
      <c r="N32" s="38" t="str">
        <f ca="1">'Intermediate Data'!AA76</f>
        <v>Coffee maker</v>
      </c>
      <c r="U32" s="148"/>
      <c r="V32" s="804" t="str">
        <f ca="1">IF(OR('Intermediate Data'!AG76="",'Intermediate Data'!AG76="N/A"),"",'Intermediate Data'!AG76)</f>
        <v/>
      </c>
      <c r="W32" s="804"/>
      <c r="X32" s="804"/>
      <c r="Y32" s="804"/>
      <c r="Z32" s="111"/>
      <c r="AA32" s="519" t="str">
        <f ca="1">IF(OR('Intermediate Data'!AB76="",'Intermediate Data'!AB76="N/A"),"",'Intermediate Data'!AB76)</f>
        <v/>
      </c>
      <c r="AB32" s="111" t="str">
        <f ca="1">IF(OR('Intermediate Data'!AC76="",'Intermediate Data'!AC76="N/A"),"",'Intermediate Data'!AC76)</f>
        <v/>
      </c>
      <c r="AC32" s="519" t="str">
        <f ca="1">IF(OR('Intermediate Data'!AD76="",'Intermediate Data'!AD76="N/A"),"",'Intermediate Data'!AD76)</f>
        <v/>
      </c>
      <c r="AD32" s="111" t="str">
        <f ca="1">IF(OR('Intermediate Data'!AE76="",'Intermediate Data'!AE76="N/A"),"",'Intermediate Data'!AE76)</f>
        <v/>
      </c>
      <c r="AE32" s="161" t="str">
        <f ca="1">IF(OR('Intermediate Data'!AF76="",'Intermediate Data'!AF76="N/A"),"",'Intermediate Data'!AF76)</f>
        <v/>
      </c>
      <c r="AF32" s="520"/>
      <c r="AG32" s="805" t="str">
        <f ca="1">IF(OR('Intermediate Data'!AN76="",'Intermediate Data'!AN76="N/A"),"",'Intermediate Data'!AN76)</f>
        <v/>
      </c>
      <c r="AH32" s="805"/>
      <c r="AI32" s="805"/>
      <c r="AJ32" s="805"/>
      <c r="AK32" s="130"/>
      <c r="AL32" s="529" t="str">
        <f ca="1">IF(OR('Intermediate Data'!AI76="",'Intermediate Data'!AI76="N/A"),"",'Intermediate Data'!AI76)</f>
        <v/>
      </c>
      <c r="AM32" s="132" t="str">
        <f ca="1">IF(OR('Intermediate Data'!AJ76="",'Intermediate Data'!AJ76="N/A"),"",'Intermediate Data'!AJ76)</f>
        <v/>
      </c>
      <c r="AN32" s="529" t="str">
        <f ca="1">IF(OR('Intermediate Data'!AK76="",'Intermediate Data'!AK76="N/A"),"",'Intermediate Data'!AK76)</f>
        <v/>
      </c>
      <c r="AO32" s="132" t="str">
        <f ca="1">IF(OR('Intermediate Data'!AL76="",'Intermediate Data'!AL76="N/A"),"",'Intermediate Data'!AL76)</f>
        <v/>
      </c>
      <c r="AP32" s="163" t="str">
        <f ca="1">IF(OR('Intermediate Data'!AM76="",'Intermediate Data'!AM76="N/A"),"",'Intermediate Data'!AM76)</f>
        <v/>
      </c>
      <c r="AQ32" s="31"/>
      <c r="AR32" s="791" t="str">
        <f ca="1">IF('Intermediate Data'!AP76="","",'Intermediate Data'!AP76)</f>
        <v/>
      </c>
      <c r="AS32" s="791"/>
      <c r="AT32" s="31"/>
      <c r="AU32" s="148"/>
      <c r="AV32" s="804" t="str">
        <f ca="1">'Intermediate Data'!AQ76</f>
        <v/>
      </c>
      <c r="AW32" s="804"/>
      <c r="AX32" s="804"/>
      <c r="AY32" s="804"/>
      <c r="AZ32" s="130"/>
      <c r="BA32" s="150"/>
      <c r="BB32" s="803" t="str">
        <f ca="1">'Intermediate Data'!AR76</f>
        <v/>
      </c>
      <c r="BC32" s="803"/>
      <c r="BD32" s="803"/>
      <c r="BE32" s="803"/>
      <c r="BF32" s="692"/>
      <c r="BG32" s="31"/>
      <c r="BH32" s="31"/>
      <c r="BN32" s="31"/>
    </row>
    <row r="33" spans="1:74" s="30" customFormat="1" x14ac:dyDescent="0.25">
      <c r="A33" s="23"/>
      <c r="B33" s="23"/>
      <c r="C33" s="23"/>
      <c r="D33" s="23"/>
      <c r="E33" s="23"/>
      <c r="F33" s="23"/>
      <c r="G33" s="23"/>
      <c r="H33" s="23"/>
      <c r="I33" s="23"/>
      <c r="J33" s="23"/>
      <c r="K33" s="23"/>
      <c r="L33" s="23"/>
      <c r="M33" s="31"/>
      <c r="N33" s="38" t="str">
        <f ca="1">'Intermediate Data'!AA77</f>
        <v>Compact audio</v>
      </c>
      <c r="U33" s="148"/>
      <c r="V33" s="804">
        <f ca="1">IF(OR('Intermediate Data'!AG77="",'Intermediate Data'!AG77="N/A"),"",'Intermediate Data'!AG77)</f>
        <v>0.32373509479064932</v>
      </c>
      <c r="W33" s="804"/>
      <c r="X33" s="804"/>
      <c r="Y33" s="804"/>
      <c r="Z33" s="111"/>
      <c r="AA33" s="519" t="str">
        <f ca="1">IF(OR('Intermediate Data'!AB77="",'Intermediate Data'!AB77="N/A"),"",'Intermediate Data'!AB77)</f>
        <v/>
      </c>
      <c r="AB33" s="111">
        <f ca="1">IF(OR('Intermediate Data'!AC77="",'Intermediate Data'!AC77="N/A"),"",'Intermediate Data'!AC77)</f>
        <v>0.66939067709045774</v>
      </c>
      <c r="AC33" s="519" t="str">
        <f ca="1">IF(OR('Intermediate Data'!AD77="",'Intermediate Data'!AD77="N/A"),"",'Intermediate Data'!AD77)</f>
        <v/>
      </c>
      <c r="AD33" s="111">
        <f ca="1">IF(OR('Intermediate Data'!AE77="",'Intermediate Data'!AE77="N/A"),"",'Intermediate Data'!AE77)</f>
        <v>0.32373509479064932</v>
      </c>
      <c r="AE33" s="161" t="str">
        <f ca="1">IF(OR('Intermediate Data'!AF77="",'Intermediate Data'!AF77="N/A"),"",'Intermediate Data'!AF77)</f>
        <v/>
      </c>
      <c r="AF33" s="520"/>
      <c r="AG33" s="805">
        <f ca="1">IF(OR('Intermediate Data'!AN77="",'Intermediate Data'!AN77="N/A"),"",'Intermediate Data'!AN77)</f>
        <v>0.4418494481165896</v>
      </c>
      <c r="AH33" s="805"/>
      <c r="AI33" s="805"/>
      <c r="AJ33" s="805"/>
      <c r="AK33" s="130"/>
      <c r="AL33" s="529" t="str">
        <f ca="1">IF(OR('Intermediate Data'!AI77="",'Intermediate Data'!AI77="N/A"),"",'Intermediate Data'!AI77)</f>
        <v/>
      </c>
      <c r="AM33" s="132">
        <f ca="1">IF(OR('Intermediate Data'!AJ77="",'Intermediate Data'!AJ77="N/A"),"",'Intermediate Data'!AJ77)</f>
        <v>0.88662016732526805</v>
      </c>
      <c r="AN33" s="529" t="str">
        <f ca="1">IF(OR('Intermediate Data'!AK77="",'Intermediate Data'!AK77="N/A"),"",'Intermediate Data'!AK77)</f>
        <v/>
      </c>
      <c r="AO33" s="132">
        <f ca="1">IF(OR('Intermediate Data'!AL77="",'Intermediate Data'!AL77="N/A"),"",'Intermediate Data'!AL77)</f>
        <v>0.4418494481165896</v>
      </c>
      <c r="AP33" s="163" t="str">
        <f ca="1">IF(OR('Intermediate Data'!AM77="",'Intermediate Data'!AM77="N/A"),"",'Intermediate Data'!AM77)</f>
        <v/>
      </c>
      <c r="AQ33" s="31"/>
      <c r="AR33" s="791" t="str">
        <f ca="1">IF('Intermediate Data'!AP77="","",'Intermediate Data'!AP77)</f>
        <v/>
      </c>
      <c r="AS33" s="791"/>
      <c r="AT33" s="31"/>
      <c r="AU33" s="148"/>
      <c r="AV33" s="804">
        <f ca="1">'Intermediate Data'!AQ77</f>
        <v>0.02</v>
      </c>
      <c r="AW33" s="804"/>
      <c r="AX33" s="804"/>
      <c r="AY33" s="804"/>
      <c r="AZ33" s="130"/>
      <c r="BA33" s="150"/>
      <c r="BB33" s="803">
        <f ca="1">'Intermediate Data'!AR77</f>
        <v>70</v>
      </c>
      <c r="BC33" s="803"/>
      <c r="BD33" s="803"/>
      <c r="BE33" s="803"/>
      <c r="BF33" s="692"/>
      <c r="BG33" s="31"/>
      <c r="BH33" s="31"/>
      <c r="BN33" s="31"/>
    </row>
    <row r="34" spans="1:74" s="30" customFormat="1" x14ac:dyDescent="0.25">
      <c r="A34" s="23"/>
      <c r="B34" s="23"/>
      <c r="C34" s="23"/>
      <c r="D34" s="23"/>
      <c r="E34" s="23"/>
      <c r="F34" s="23"/>
      <c r="G34" s="23"/>
      <c r="H34" s="23"/>
      <c r="I34" s="23"/>
      <c r="J34" s="23"/>
      <c r="K34" s="23"/>
      <c r="L34" s="23"/>
      <c r="M34" s="31"/>
      <c r="N34" s="38" t="str">
        <f ca="1">'Intermediate Data'!AA78</f>
        <v>Copier</v>
      </c>
      <c r="U34" s="148"/>
      <c r="V34" s="804">
        <f ca="1">IF(OR('Intermediate Data'!AG78="",'Intermediate Data'!AG78="N/A"),"",'Intermediate Data'!AG78)</f>
        <v>0.11008543765353025</v>
      </c>
      <c r="W34" s="804"/>
      <c r="X34" s="804"/>
      <c r="Y34" s="804"/>
      <c r="Z34" s="111"/>
      <c r="AA34" s="519" t="str">
        <f ca="1">IF(OR('Intermediate Data'!AB78="",'Intermediate Data'!AB78="N/A"),"",'Intermediate Data'!AB78)</f>
        <v/>
      </c>
      <c r="AB34" s="111">
        <f ca="1">IF(OR('Intermediate Data'!AC78="",'Intermediate Data'!AC78="N/A"),"",'Intermediate Data'!AC78)</f>
        <v>0.110102559030024</v>
      </c>
      <c r="AC34" s="519" t="str">
        <f ca="1">IF(OR('Intermediate Data'!AD78="",'Intermediate Data'!AD78="N/A"),"",'Intermediate Data'!AD78)</f>
        <v/>
      </c>
      <c r="AD34" s="111">
        <f ca="1">IF(OR('Intermediate Data'!AE78="",'Intermediate Data'!AE78="N/A"),"",'Intermediate Data'!AE78)</f>
        <v>0.11008543765353025</v>
      </c>
      <c r="AE34" s="161" t="str">
        <f ca="1">IF(OR('Intermediate Data'!AF78="",'Intermediate Data'!AF78="N/A"),"",'Intermediate Data'!AF78)</f>
        <v/>
      </c>
      <c r="AF34" s="520"/>
      <c r="AG34" s="805">
        <f ca="1">IF(OR('Intermediate Data'!AN78="",'Intermediate Data'!AN78="N/A"),"",'Intermediate Data'!AN78)</f>
        <v>0.11734146377682651</v>
      </c>
      <c r="AH34" s="805"/>
      <c r="AI34" s="805"/>
      <c r="AJ34" s="805"/>
      <c r="AK34" s="130"/>
      <c r="AL34" s="529" t="str">
        <f ca="1">IF(OR('Intermediate Data'!AI78="",'Intermediate Data'!AI78="N/A"),"",'Intermediate Data'!AI78)</f>
        <v/>
      </c>
      <c r="AM34" s="132">
        <f ca="1">IF(OR('Intermediate Data'!AJ78="",'Intermediate Data'!AJ78="N/A"),"",'Intermediate Data'!AJ78)</f>
        <v>0.11584965202713961</v>
      </c>
      <c r="AN34" s="529" t="str">
        <f ca="1">IF(OR('Intermediate Data'!AK78="",'Intermediate Data'!AK78="N/A"),"",'Intermediate Data'!AK78)</f>
        <v/>
      </c>
      <c r="AO34" s="132">
        <f ca="1">IF(OR('Intermediate Data'!AL78="",'Intermediate Data'!AL78="N/A"),"",'Intermediate Data'!AL78)</f>
        <v>0.11734146377682651</v>
      </c>
      <c r="AP34" s="163" t="str">
        <f ca="1">IF(OR('Intermediate Data'!AM78="",'Intermediate Data'!AM78="N/A"),"",'Intermediate Data'!AM78)</f>
        <v/>
      </c>
      <c r="AQ34" s="31"/>
      <c r="AR34" s="791" t="str">
        <f ca="1">IF('Intermediate Data'!AP78="","",'Intermediate Data'!AP78)</f>
        <v/>
      </c>
      <c r="AS34" s="791"/>
      <c r="AT34" s="31"/>
      <c r="AU34" s="148"/>
      <c r="AV34" s="804">
        <f ca="1">'Intermediate Data'!AQ78</f>
        <v>0.7</v>
      </c>
      <c r="AW34" s="804"/>
      <c r="AX34" s="804"/>
      <c r="AY34" s="804"/>
      <c r="AZ34" s="130"/>
      <c r="BA34" s="150"/>
      <c r="BB34" s="803">
        <f ca="1">'Intermediate Data'!AR78</f>
        <v>175</v>
      </c>
      <c r="BC34" s="803"/>
      <c r="BD34" s="803"/>
      <c r="BE34" s="803"/>
      <c r="BF34" s="692"/>
      <c r="BG34" s="31"/>
      <c r="BH34" s="31"/>
      <c r="BN34" s="31"/>
    </row>
    <row r="35" spans="1:74" s="30" customFormat="1" x14ac:dyDescent="0.25">
      <c r="A35" s="23"/>
      <c r="B35" s="23"/>
      <c r="C35" s="23"/>
      <c r="D35" s="23"/>
      <c r="E35" s="23"/>
      <c r="F35" s="23"/>
      <c r="G35" s="23"/>
      <c r="H35" s="23"/>
      <c r="I35" s="23"/>
      <c r="J35" s="23"/>
      <c r="K35" s="23"/>
      <c r="L35" s="23"/>
      <c r="M35" s="31"/>
      <c r="N35" s="38" t="str">
        <f ca="1">'Intermediate Data'!AA79</f>
        <v>Crockpot</v>
      </c>
      <c r="U35" s="148"/>
      <c r="V35" s="804" t="str">
        <f ca="1">IF(OR('Intermediate Data'!AG79="",'Intermediate Data'!AG79="N/A"),"",'Intermediate Data'!AG79)</f>
        <v/>
      </c>
      <c r="W35" s="804"/>
      <c r="X35" s="804"/>
      <c r="Y35" s="804"/>
      <c r="Z35" s="111"/>
      <c r="AA35" s="519" t="str">
        <f ca="1">IF(OR('Intermediate Data'!AB79="",'Intermediate Data'!AB79="N/A"),"",'Intermediate Data'!AB79)</f>
        <v/>
      </c>
      <c r="AB35" s="111" t="str">
        <f ca="1">IF(OR('Intermediate Data'!AC79="",'Intermediate Data'!AC79="N/A"),"",'Intermediate Data'!AC79)</f>
        <v/>
      </c>
      <c r="AC35" s="519" t="str">
        <f ca="1">IF(OR('Intermediate Data'!AD79="",'Intermediate Data'!AD79="N/A"),"",'Intermediate Data'!AD79)</f>
        <v/>
      </c>
      <c r="AD35" s="111" t="str">
        <f ca="1">IF(OR('Intermediate Data'!AE79="",'Intermediate Data'!AE79="N/A"),"",'Intermediate Data'!AE79)</f>
        <v/>
      </c>
      <c r="AE35" s="161" t="str">
        <f ca="1">IF(OR('Intermediate Data'!AF79="",'Intermediate Data'!AF79="N/A"),"",'Intermediate Data'!AF79)</f>
        <v/>
      </c>
      <c r="AF35" s="520"/>
      <c r="AG35" s="805" t="str">
        <f ca="1">IF(OR('Intermediate Data'!AN79="",'Intermediate Data'!AN79="N/A"),"",'Intermediate Data'!AN79)</f>
        <v/>
      </c>
      <c r="AH35" s="805"/>
      <c r="AI35" s="805"/>
      <c r="AJ35" s="805"/>
      <c r="AK35" s="130"/>
      <c r="AL35" s="529" t="str">
        <f ca="1">IF(OR('Intermediate Data'!AI79="",'Intermediate Data'!AI79="N/A"),"",'Intermediate Data'!AI79)</f>
        <v/>
      </c>
      <c r="AM35" s="132" t="str">
        <f ca="1">IF(OR('Intermediate Data'!AJ79="",'Intermediate Data'!AJ79="N/A"),"",'Intermediate Data'!AJ79)</f>
        <v/>
      </c>
      <c r="AN35" s="529" t="str">
        <f ca="1">IF(OR('Intermediate Data'!AK79="",'Intermediate Data'!AK79="N/A"),"",'Intermediate Data'!AK79)</f>
        <v/>
      </c>
      <c r="AO35" s="132" t="str">
        <f ca="1">IF(OR('Intermediate Data'!AL79="",'Intermediate Data'!AL79="N/A"),"",'Intermediate Data'!AL79)</f>
        <v/>
      </c>
      <c r="AP35" s="163" t="str">
        <f ca="1">IF(OR('Intermediate Data'!AM79="",'Intermediate Data'!AM79="N/A"),"",'Intermediate Data'!AM79)</f>
        <v/>
      </c>
      <c r="AQ35" s="31"/>
      <c r="AR35" s="791" t="str">
        <f ca="1">IF('Intermediate Data'!AP79="","",'Intermediate Data'!AP79)</f>
        <v/>
      </c>
      <c r="AS35" s="791"/>
      <c r="AT35" s="31"/>
      <c r="AU35" s="148"/>
      <c r="AV35" s="804" t="str">
        <f ca="1">'Intermediate Data'!AQ79</f>
        <v/>
      </c>
      <c r="AW35" s="804"/>
      <c r="AX35" s="804"/>
      <c r="AY35" s="804"/>
      <c r="AZ35" s="130"/>
      <c r="BA35" s="150"/>
      <c r="BB35" s="803" t="str">
        <f ca="1">'Intermediate Data'!AR79</f>
        <v/>
      </c>
      <c r="BC35" s="803"/>
      <c r="BD35" s="803"/>
      <c r="BE35" s="803"/>
      <c r="BF35" s="692"/>
      <c r="BG35" s="31"/>
      <c r="BH35" s="31"/>
      <c r="BN35" s="31"/>
    </row>
    <row r="36" spans="1:74" s="30" customFormat="1" x14ac:dyDescent="0.25">
      <c r="A36" s="23"/>
      <c r="B36" s="23"/>
      <c r="C36" s="23"/>
      <c r="D36" s="23"/>
      <c r="E36" s="23"/>
      <c r="F36" s="23"/>
      <c r="G36" s="23"/>
      <c r="H36" s="23"/>
      <c r="I36" s="23"/>
      <c r="J36" s="23"/>
      <c r="K36" s="23"/>
      <c r="L36" s="23"/>
      <c r="M36" s="31"/>
      <c r="N36" s="38" t="str">
        <f ca="1">'Intermediate Data'!AA80</f>
        <v>Curling iron</v>
      </c>
      <c r="U36" s="148"/>
      <c r="V36" s="804" t="str">
        <f ca="1">IF(OR('Intermediate Data'!AG80="",'Intermediate Data'!AG80="N/A"),"",'Intermediate Data'!AG80)</f>
        <v/>
      </c>
      <c r="W36" s="804"/>
      <c r="X36" s="804"/>
      <c r="Y36" s="804"/>
      <c r="Z36" s="111"/>
      <c r="AA36" s="519" t="str">
        <f ca="1">IF(OR('Intermediate Data'!AB80="",'Intermediate Data'!AB80="N/A"),"",'Intermediate Data'!AB80)</f>
        <v/>
      </c>
      <c r="AB36" s="111" t="str">
        <f ca="1">IF(OR('Intermediate Data'!AC80="",'Intermediate Data'!AC80="N/A"),"",'Intermediate Data'!AC80)</f>
        <v/>
      </c>
      <c r="AC36" s="519" t="str">
        <f ca="1">IF(OR('Intermediate Data'!AD80="",'Intermediate Data'!AD80="N/A"),"",'Intermediate Data'!AD80)</f>
        <v/>
      </c>
      <c r="AD36" s="111" t="str">
        <f ca="1">IF(OR('Intermediate Data'!AE80="",'Intermediate Data'!AE80="N/A"),"",'Intermediate Data'!AE80)</f>
        <v/>
      </c>
      <c r="AE36" s="161" t="str">
        <f ca="1">IF(OR('Intermediate Data'!AF80="",'Intermediate Data'!AF80="N/A"),"",'Intermediate Data'!AF80)</f>
        <v/>
      </c>
      <c r="AF36" s="520"/>
      <c r="AG36" s="805" t="str">
        <f ca="1">IF(OR('Intermediate Data'!AN80="",'Intermediate Data'!AN80="N/A"),"",'Intermediate Data'!AN80)</f>
        <v/>
      </c>
      <c r="AH36" s="805"/>
      <c r="AI36" s="805"/>
      <c r="AJ36" s="805"/>
      <c r="AK36" s="130"/>
      <c r="AL36" s="529" t="str">
        <f ca="1">IF(OR('Intermediate Data'!AI80="",'Intermediate Data'!AI80="N/A"),"",'Intermediate Data'!AI80)</f>
        <v/>
      </c>
      <c r="AM36" s="132" t="str">
        <f ca="1">IF(OR('Intermediate Data'!AJ80="",'Intermediate Data'!AJ80="N/A"),"",'Intermediate Data'!AJ80)</f>
        <v/>
      </c>
      <c r="AN36" s="529" t="str">
        <f ca="1">IF(OR('Intermediate Data'!AK80="",'Intermediate Data'!AK80="N/A"),"",'Intermediate Data'!AK80)</f>
        <v/>
      </c>
      <c r="AO36" s="132" t="str">
        <f ca="1">IF(OR('Intermediate Data'!AL80="",'Intermediate Data'!AL80="N/A"),"",'Intermediate Data'!AL80)</f>
        <v/>
      </c>
      <c r="AP36" s="163" t="str">
        <f ca="1">IF(OR('Intermediate Data'!AM80="",'Intermediate Data'!AM80="N/A"),"",'Intermediate Data'!AM80)</f>
        <v/>
      </c>
      <c r="AQ36" s="31"/>
      <c r="AR36" s="791" t="str">
        <f ca="1">IF('Intermediate Data'!AP80="","",'Intermediate Data'!AP80)</f>
        <v/>
      </c>
      <c r="AS36" s="791"/>
      <c r="AT36" s="31"/>
      <c r="AU36" s="148"/>
      <c r="AV36" s="804" t="str">
        <f ca="1">'Intermediate Data'!AQ80</f>
        <v/>
      </c>
      <c r="AW36" s="804"/>
      <c r="AX36" s="804"/>
      <c r="AY36" s="804"/>
      <c r="AZ36" s="130"/>
      <c r="BA36" s="150"/>
      <c r="BB36" s="803" t="str">
        <f ca="1">'Intermediate Data'!AR80</f>
        <v/>
      </c>
      <c r="BC36" s="803"/>
      <c r="BD36" s="803"/>
      <c r="BE36" s="803"/>
      <c r="BF36" s="692"/>
      <c r="BG36" s="31"/>
      <c r="BH36" s="31"/>
      <c r="BN36" s="31"/>
    </row>
    <row r="37" spans="1:74" s="30" customFormat="1" x14ac:dyDescent="0.25">
      <c r="A37" s="23"/>
      <c r="B37" s="23"/>
      <c r="C37" s="23"/>
      <c r="D37" s="23"/>
      <c r="E37" s="23"/>
      <c r="F37" s="23"/>
      <c r="G37" s="23"/>
      <c r="H37" s="23"/>
      <c r="I37" s="23"/>
      <c r="J37" s="23"/>
      <c r="K37" s="23"/>
      <c r="L37" s="23"/>
      <c r="M37" s="31"/>
      <c r="N37" s="38" t="str">
        <f ca="1">'Intermediate Data'!AA81</f>
        <v>Decorative lighting</v>
      </c>
      <c r="U37" s="148"/>
      <c r="V37" s="804" t="str">
        <f ca="1">IF(OR('Intermediate Data'!AG81="",'Intermediate Data'!AG81="N/A"),"",'Intermediate Data'!AG81)</f>
        <v/>
      </c>
      <c r="W37" s="804"/>
      <c r="X37" s="804"/>
      <c r="Y37" s="804"/>
      <c r="Z37" s="111"/>
      <c r="AA37" s="519" t="str">
        <f ca="1">IF(OR('Intermediate Data'!AB81="",'Intermediate Data'!AB81="N/A"),"",'Intermediate Data'!AB81)</f>
        <v/>
      </c>
      <c r="AB37" s="111" t="str">
        <f ca="1">IF(OR('Intermediate Data'!AC81="",'Intermediate Data'!AC81="N/A"),"",'Intermediate Data'!AC81)</f>
        <v/>
      </c>
      <c r="AC37" s="519" t="str">
        <f ca="1">IF(OR('Intermediate Data'!AD81="",'Intermediate Data'!AD81="N/A"),"",'Intermediate Data'!AD81)</f>
        <v/>
      </c>
      <c r="AD37" s="111" t="str">
        <f ca="1">IF(OR('Intermediate Data'!AE81="",'Intermediate Data'!AE81="N/A"),"",'Intermediate Data'!AE81)</f>
        <v/>
      </c>
      <c r="AE37" s="161" t="str">
        <f ca="1">IF(OR('Intermediate Data'!AF81="",'Intermediate Data'!AF81="N/A"),"",'Intermediate Data'!AF81)</f>
        <v/>
      </c>
      <c r="AF37" s="520"/>
      <c r="AG37" s="805" t="str">
        <f ca="1">IF(OR('Intermediate Data'!AN81="",'Intermediate Data'!AN81="N/A"),"",'Intermediate Data'!AN81)</f>
        <v/>
      </c>
      <c r="AH37" s="805"/>
      <c r="AI37" s="805"/>
      <c r="AJ37" s="805"/>
      <c r="AK37" s="130"/>
      <c r="AL37" s="529" t="str">
        <f ca="1">IF(OR('Intermediate Data'!AI81="",'Intermediate Data'!AI81="N/A"),"",'Intermediate Data'!AI81)</f>
        <v/>
      </c>
      <c r="AM37" s="132" t="str">
        <f ca="1">IF(OR('Intermediate Data'!AJ81="",'Intermediate Data'!AJ81="N/A"),"",'Intermediate Data'!AJ81)</f>
        <v/>
      </c>
      <c r="AN37" s="529" t="str">
        <f ca="1">IF(OR('Intermediate Data'!AK81="",'Intermediate Data'!AK81="N/A"),"",'Intermediate Data'!AK81)</f>
        <v/>
      </c>
      <c r="AO37" s="132" t="str">
        <f ca="1">IF(OR('Intermediate Data'!AL81="",'Intermediate Data'!AL81="N/A"),"",'Intermediate Data'!AL81)</f>
        <v/>
      </c>
      <c r="AP37" s="163" t="str">
        <f ca="1">IF(OR('Intermediate Data'!AM81="",'Intermediate Data'!AM81="N/A"),"",'Intermediate Data'!AM81)</f>
        <v/>
      </c>
      <c r="AQ37" s="31"/>
      <c r="AR37" s="791" t="str">
        <f ca="1">IF('Intermediate Data'!AP81="","",'Intermediate Data'!AP81)</f>
        <v/>
      </c>
      <c r="AS37" s="791"/>
      <c r="AT37" s="31"/>
      <c r="AU37" s="148"/>
      <c r="AV37" s="804" t="str">
        <f ca="1">'Intermediate Data'!AQ81</f>
        <v/>
      </c>
      <c r="AW37" s="804"/>
      <c r="AX37" s="804"/>
      <c r="AY37" s="804"/>
      <c r="AZ37" s="130"/>
      <c r="BA37" s="150"/>
      <c r="BB37" s="803" t="str">
        <f ca="1">'Intermediate Data'!AR81</f>
        <v/>
      </c>
      <c r="BC37" s="803"/>
      <c r="BD37" s="803"/>
      <c r="BE37" s="803"/>
      <c r="BF37" s="692"/>
      <c r="BG37" s="31"/>
      <c r="BH37" s="31"/>
      <c r="BN37" s="31"/>
    </row>
    <row r="38" spans="1:74" s="30" customFormat="1" x14ac:dyDescent="0.25">
      <c r="A38" s="23"/>
      <c r="B38" s="23"/>
      <c r="C38" s="23"/>
      <c r="D38" s="23"/>
      <c r="E38" s="23"/>
      <c r="F38" s="23"/>
      <c r="G38" s="23"/>
      <c r="H38" s="23"/>
      <c r="I38" s="23"/>
      <c r="J38" s="23"/>
      <c r="K38" s="23"/>
      <c r="L38" s="23"/>
      <c r="M38" s="31"/>
      <c r="N38" s="38" t="str">
        <f ca="1">'Intermediate Data'!AA82</f>
        <v>Dehumidifier</v>
      </c>
      <c r="U38" s="148"/>
      <c r="V38" s="804">
        <f ca="1">IF(OR('Intermediate Data'!AG82="",'Intermediate Data'!AG82="N/A"),"",'Intermediate Data'!AG82)</f>
        <v>1.0073942579849681E-2</v>
      </c>
      <c r="W38" s="804"/>
      <c r="X38" s="804"/>
      <c r="Y38" s="804"/>
      <c r="Z38" s="111"/>
      <c r="AA38" s="519" t="str">
        <f ca="1">IF(OR('Intermediate Data'!AB82="",'Intermediate Data'!AB82="N/A"),"",'Intermediate Data'!AB82)</f>
        <v/>
      </c>
      <c r="AB38" s="111">
        <f ca="1">IF(OR('Intermediate Data'!AC82="",'Intermediate Data'!AC82="N/A"),"",'Intermediate Data'!AC82)</f>
        <v>1.0073942579849681E-2</v>
      </c>
      <c r="AC38" s="519" t="str">
        <f ca="1">IF(OR('Intermediate Data'!AD82="",'Intermediate Data'!AD82="N/A"),"",'Intermediate Data'!AD82)</f>
        <v/>
      </c>
      <c r="AD38" s="111" t="str">
        <f ca="1">IF(OR('Intermediate Data'!AE82="",'Intermediate Data'!AE82="N/A"),"",'Intermediate Data'!AE82)</f>
        <v/>
      </c>
      <c r="AE38" s="161" t="str">
        <f ca="1">IF(OR('Intermediate Data'!AF82="",'Intermediate Data'!AF82="N/A"),"",'Intermediate Data'!AF82)</f>
        <v/>
      </c>
      <c r="AF38" s="520"/>
      <c r="AG38" s="805">
        <f ca="1">IF(OR('Intermediate Data'!AN82="",'Intermediate Data'!AN82="N/A"),"",'Intermediate Data'!AN82)</f>
        <v>1.0681076803695913E-2</v>
      </c>
      <c r="AH38" s="805"/>
      <c r="AI38" s="805"/>
      <c r="AJ38" s="805"/>
      <c r="AK38" s="130"/>
      <c r="AL38" s="529" t="str">
        <f ca="1">IF(OR('Intermediate Data'!AI82="",'Intermediate Data'!AI82="N/A"),"",'Intermediate Data'!AI82)</f>
        <v/>
      </c>
      <c r="AM38" s="132">
        <f ca="1">IF(OR('Intermediate Data'!AJ82="",'Intermediate Data'!AJ82="N/A"),"",'Intermediate Data'!AJ82)</f>
        <v>1.0681076803695913E-2</v>
      </c>
      <c r="AN38" s="529" t="str">
        <f ca="1">IF(OR('Intermediate Data'!AK82="",'Intermediate Data'!AK82="N/A"),"",'Intermediate Data'!AK82)</f>
        <v/>
      </c>
      <c r="AO38" s="132" t="str">
        <f ca="1">IF(OR('Intermediate Data'!AL82="",'Intermediate Data'!AL82="N/A"),"",'Intermediate Data'!AL82)</f>
        <v/>
      </c>
      <c r="AP38" s="163" t="str">
        <f ca="1">IF(OR('Intermediate Data'!AM82="",'Intermediate Data'!AM82="N/A"),"",'Intermediate Data'!AM82)</f>
        <v/>
      </c>
      <c r="AQ38" s="31"/>
      <c r="AR38" s="791" t="str">
        <f ca="1">IF('Intermediate Data'!AP82="","",'Intermediate Data'!AP82)</f>
        <v/>
      </c>
      <c r="AS38" s="791"/>
      <c r="AT38" s="31"/>
      <c r="AU38" s="148"/>
      <c r="AV38" s="804">
        <f ca="1">'Intermediate Data'!AQ82</f>
        <v>0.99</v>
      </c>
      <c r="AW38" s="804"/>
      <c r="AX38" s="804"/>
      <c r="AY38" s="804"/>
      <c r="AZ38" s="130"/>
      <c r="BA38" s="150"/>
      <c r="BB38" s="803">
        <f ca="1">'Intermediate Data'!AR82</f>
        <v>140</v>
      </c>
      <c r="BC38" s="803"/>
      <c r="BD38" s="803"/>
      <c r="BE38" s="803"/>
      <c r="BF38" s="692"/>
      <c r="BG38" s="31"/>
      <c r="BH38" s="31"/>
      <c r="BN38" s="31"/>
    </row>
    <row r="39" spans="1:74" s="30" customFormat="1" x14ac:dyDescent="0.25">
      <c r="M39" s="31"/>
      <c r="N39" s="38" t="str">
        <f ca="1">'Intermediate Data'!AA83</f>
        <v>Desktop (non-portable computer)</v>
      </c>
      <c r="U39" s="148"/>
      <c r="V39" s="804">
        <f ca="1">IF(OR('Intermediate Data'!AG83="",'Intermediate Data'!AG83="N/A"),"",'Intermediate Data'!AG83)</f>
        <v>0.43874800000000003</v>
      </c>
      <c r="W39" s="804"/>
      <c r="X39" s="804"/>
      <c r="Y39" s="804"/>
      <c r="Z39" s="111"/>
      <c r="AA39" s="519" t="str">
        <f ca="1">IF(OR('Intermediate Data'!AB83="",'Intermediate Data'!AB83="N/A"),"",'Intermediate Data'!AB83)</f>
        <v/>
      </c>
      <c r="AB39" s="111" t="str">
        <f ca="1">IF(OR('Intermediate Data'!AC83="",'Intermediate Data'!AC83="N/A"),"",'Intermediate Data'!AC83)</f>
        <v/>
      </c>
      <c r="AC39" s="519" t="str">
        <f ca="1">IF(OR('Intermediate Data'!AD83="",'Intermediate Data'!AD83="N/A"),"",'Intermediate Data'!AD83)</f>
        <v/>
      </c>
      <c r="AD39" s="111">
        <f ca="1">IF(OR('Intermediate Data'!AE83="",'Intermediate Data'!AE83="N/A"),"",'Intermediate Data'!AE83)</f>
        <v>0.67522694191320654</v>
      </c>
      <c r="AE39" s="161">
        <f ca="1">IF(OR('Intermediate Data'!AF83="",'Intermediate Data'!AF83="N/A"),"",'Intermediate Data'!AF83)</f>
        <v>0.43874800000000003</v>
      </c>
      <c r="AF39" s="520"/>
      <c r="AG39" s="805">
        <f ca="1">IF(OR('Intermediate Data'!AN83="",'Intermediate Data'!AN83="N/A"),"",'Intermediate Data'!AN83)</f>
        <v>0.85004380227807019</v>
      </c>
      <c r="AH39" s="805"/>
      <c r="AI39" s="805"/>
      <c r="AJ39" s="805"/>
      <c r="AK39" s="130"/>
      <c r="AL39" s="529" t="str">
        <f ca="1">IF(OR('Intermediate Data'!AI83="",'Intermediate Data'!AI83="N/A"),"",'Intermediate Data'!AI83)</f>
        <v/>
      </c>
      <c r="AM39" s="132" t="str">
        <f ca="1">IF(OR('Intermediate Data'!AJ83="",'Intermediate Data'!AJ83="N/A"),"",'Intermediate Data'!AJ83)</f>
        <v/>
      </c>
      <c r="AN39" s="529" t="str">
        <f ca="1">IF(OR('Intermediate Data'!AK83="",'Intermediate Data'!AK83="N/A"),"",'Intermediate Data'!AK83)</f>
        <v/>
      </c>
      <c r="AO39" s="132">
        <f ca="1">IF(OR('Intermediate Data'!AL83="",'Intermediate Data'!AL83="N/A"),"",'Intermediate Data'!AL83)</f>
        <v>0.85004380227807019</v>
      </c>
      <c r="AP39" s="163" t="str">
        <f ca="1">IF(OR('Intermediate Data'!AM83="",'Intermediate Data'!AM83="N/A"),"",'Intermediate Data'!AM83)</f>
        <v/>
      </c>
      <c r="AQ39" s="31"/>
      <c r="AR39" s="791" t="str">
        <f ca="1">IF('Intermediate Data'!AP83="","",'Intermediate Data'!AP83)</f>
        <v/>
      </c>
      <c r="AS39" s="791"/>
      <c r="AT39" s="31"/>
      <c r="AU39" s="148"/>
      <c r="AV39" s="804">
        <f ca="1">'Intermediate Data'!AQ83</f>
        <v>0.25</v>
      </c>
      <c r="AW39" s="804"/>
      <c r="AX39" s="804"/>
      <c r="AY39" s="804"/>
      <c r="AZ39" s="130"/>
      <c r="BA39" s="150"/>
      <c r="BB39" s="803">
        <f ca="1">'Intermediate Data'!AR83</f>
        <v>66</v>
      </c>
      <c r="BC39" s="803"/>
      <c r="BD39" s="803"/>
      <c r="BE39" s="803"/>
      <c r="BF39" s="692"/>
      <c r="BG39" s="31"/>
      <c r="BH39" s="31"/>
      <c r="BN39" s="31"/>
    </row>
    <row r="40" spans="1:74" s="30" customFormat="1" x14ac:dyDescent="0.25">
      <c r="M40" s="31"/>
      <c r="N40" s="38" t="str">
        <f ca="1">'Intermediate Data'!AA84</f>
        <v>Digital photo frame</v>
      </c>
      <c r="U40" s="148"/>
      <c r="V40" s="804" t="str">
        <f ca="1">IF(OR('Intermediate Data'!AG84="",'Intermediate Data'!AG84="N/A"),"",'Intermediate Data'!AG84)</f>
        <v/>
      </c>
      <c r="W40" s="804"/>
      <c r="X40" s="804"/>
      <c r="Y40" s="804"/>
      <c r="Z40" s="111"/>
      <c r="AA40" s="519" t="str">
        <f ca="1">IF(OR('Intermediate Data'!AB84="",'Intermediate Data'!AB84="N/A"),"",'Intermediate Data'!AB84)</f>
        <v/>
      </c>
      <c r="AB40" s="111" t="str">
        <f ca="1">IF(OR('Intermediate Data'!AC84="",'Intermediate Data'!AC84="N/A"),"",'Intermediate Data'!AC84)</f>
        <v/>
      </c>
      <c r="AC40" s="519" t="str">
        <f ca="1">IF(OR('Intermediate Data'!AD84="",'Intermediate Data'!AD84="N/A"),"",'Intermediate Data'!AD84)</f>
        <v/>
      </c>
      <c r="AD40" s="111" t="str">
        <f ca="1">IF(OR('Intermediate Data'!AE84="",'Intermediate Data'!AE84="N/A"),"",'Intermediate Data'!AE84)</f>
        <v/>
      </c>
      <c r="AE40" s="161" t="str">
        <f ca="1">IF(OR('Intermediate Data'!AF84="",'Intermediate Data'!AF84="N/A"),"",'Intermediate Data'!AF84)</f>
        <v/>
      </c>
      <c r="AF40" s="520"/>
      <c r="AG40" s="805" t="str">
        <f ca="1">IF(OR('Intermediate Data'!AN84="",'Intermediate Data'!AN84="N/A"),"",'Intermediate Data'!AN84)</f>
        <v/>
      </c>
      <c r="AH40" s="805"/>
      <c r="AI40" s="805"/>
      <c r="AJ40" s="805"/>
      <c r="AK40" s="130"/>
      <c r="AL40" s="529" t="str">
        <f ca="1">IF(OR('Intermediate Data'!AI84="",'Intermediate Data'!AI84="N/A"),"",'Intermediate Data'!AI84)</f>
        <v/>
      </c>
      <c r="AM40" s="132" t="str">
        <f ca="1">IF(OR('Intermediate Data'!AJ84="",'Intermediate Data'!AJ84="N/A"),"",'Intermediate Data'!AJ84)</f>
        <v/>
      </c>
      <c r="AN40" s="529" t="str">
        <f ca="1">IF(OR('Intermediate Data'!AK84="",'Intermediate Data'!AK84="N/A"),"",'Intermediate Data'!AK84)</f>
        <v/>
      </c>
      <c r="AO40" s="132" t="str">
        <f ca="1">IF(OR('Intermediate Data'!AL84="",'Intermediate Data'!AL84="N/A"),"",'Intermediate Data'!AL84)</f>
        <v/>
      </c>
      <c r="AP40" s="163" t="str">
        <f ca="1">IF(OR('Intermediate Data'!AM84="",'Intermediate Data'!AM84="N/A"),"",'Intermediate Data'!AM84)</f>
        <v/>
      </c>
      <c r="AQ40" s="31"/>
      <c r="AR40" s="791" t="str">
        <f ca="1">IF('Intermediate Data'!AP84="","",'Intermediate Data'!AP84)</f>
        <v/>
      </c>
      <c r="AS40" s="791"/>
      <c r="AT40" s="31"/>
      <c r="AU40" s="148"/>
      <c r="AV40" s="804">
        <f ca="1">'Intermediate Data'!AQ84</f>
        <v>0</v>
      </c>
      <c r="AW40" s="804"/>
      <c r="AX40" s="804"/>
      <c r="AY40" s="804"/>
      <c r="AZ40" s="130"/>
      <c r="BA40" s="150"/>
      <c r="BB40" s="803">
        <f ca="1">'Intermediate Data'!AR84</f>
        <v>13</v>
      </c>
      <c r="BC40" s="803"/>
      <c r="BD40" s="803"/>
      <c r="BE40" s="803"/>
      <c r="BF40" s="692"/>
      <c r="BG40" s="31"/>
      <c r="BH40" s="31"/>
      <c r="BI40" s="31"/>
      <c r="BJ40" s="31"/>
      <c r="BK40" s="31"/>
      <c r="BL40" s="31"/>
      <c r="BM40" s="31"/>
      <c r="BN40" s="31"/>
    </row>
    <row r="41" spans="1:74" s="30" customFormat="1" x14ac:dyDescent="0.25">
      <c r="N41" s="38" t="str">
        <f ca="1">'Intermediate Data'!AA85</f>
        <v>Dishwasher</v>
      </c>
      <c r="U41" s="148"/>
      <c r="V41" s="804">
        <f ca="1">IF(OR('Intermediate Data'!AG85="",'Intermediate Data'!AG85="N/A"),"",'Intermediate Data'!AG85)</f>
        <v>0.71</v>
      </c>
      <c r="W41" s="804"/>
      <c r="X41" s="804"/>
      <c r="Y41" s="804"/>
      <c r="Z41" s="111"/>
      <c r="AA41" s="519">
        <f ca="1">IF(OR('Intermediate Data'!AB85="",'Intermediate Data'!AB85="N/A"),"",'Intermediate Data'!AB85)</f>
        <v>0.69699999999999995</v>
      </c>
      <c r="AB41" s="111">
        <f ca="1">IF(OR('Intermediate Data'!AC85="",'Intermediate Data'!AC85="N/A"),"",'Intermediate Data'!AC85)</f>
        <v>0.63564418108614706</v>
      </c>
      <c r="AC41" s="519">
        <f ca="1">IF(OR('Intermediate Data'!AD85="",'Intermediate Data'!AD85="N/A"),"",'Intermediate Data'!AD85)</f>
        <v>0.68799999999999994</v>
      </c>
      <c r="AD41" s="111">
        <f ca="1">IF(OR('Intermediate Data'!AE85="",'Intermediate Data'!AE85="N/A"),"",'Intermediate Data'!AE85)</f>
        <v>0.69530310814947072</v>
      </c>
      <c r="AE41" s="161">
        <f ca="1">IF(OR('Intermediate Data'!AF85="",'Intermediate Data'!AF85="N/A"),"",'Intermediate Data'!AF85)</f>
        <v>0.71</v>
      </c>
      <c r="AF41" s="520"/>
      <c r="AG41" s="805" t="str">
        <f ca="1">IF(OR('Intermediate Data'!AN85="",'Intermediate Data'!AN85="N/A"),"",'Intermediate Data'!AN85)</f>
        <v/>
      </c>
      <c r="AH41" s="805"/>
      <c r="AI41" s="805"/>
      <c r="AJ41" s="805"/>
      <c r="AK41" s="130"/>
      <c r="AL41" s="529" t="str">
        <f ca="1">IF(OR('Intermediate Data'!AI85="",'Intermediate Data'!AI85="N/A"),"",'Intermediate Data'!AI85)</f>
        <v/>
      </c>
      <c r="AM41" s="132" t="str">
        <f ca="1">IF(OR('Intermediate Data'!AJ85="",'Intermediate Data'!AJ85="N/A"),"",'Intermediate Data'!AJ85)</f>
        <v/>
      </c>
      <c r="AN41" s="529" t="str">
        <f ca="1">IF(OR('Intermediate Data'!AK85="",'Intermediate Data'!AK85="N/A"),"",'Intermediate Data'!AK85)</f>
        <v/>
      </c>
      <c r="AO41" s="132" t="str">
        <f ca="1">IF(OR('Intermediate Data'!AL85="",'Intermediate Data'!AL85="N/A"),"",'Intermediate Data'!AL85)</f>
        <v/>
      </c>
      <c r="AP41" s="163" t="str">
        <f ca="1">IF(OR('Intermediate Data'!AM85="",'Intermediate Data'!AM85="N/A"),"",'Intermediate Data'!AM85)</f>
        <v/>
      </c>
      <c r="AQ41" s="31"/>
      <c r="AR41" s="791">
        <f ca="1">IF('Intermediate Data'!AP85="","",'Intermediate Data'!AP85)</f>
        <v>-0.10299999999999998</v>
      </c>
      <c r="AS41" s="791"/>
      <c r="AT41" s="31"/>
      <c r="AU41" s="148"/>
      <c r="AV41" s="804">
        <f ca="1">'Intermediate Data'!AQ85</f>
        <v>0.9</v>
      </c>
      <c r="AW41" s="804"/>
      <c r="AX41" s="804"/>
      <c r="AY41" s="804"/>
      <c r="AZ41" s="130"/>
      <c r="BA41" s="150"/>
      <c r="BB41" s="803">
        <f ca="1">'Intermediate Data'!AR85</f>
        <v>8</v>
      </c>
      <c r="BC41" s="803"/>
      <c r="BD41" s="803"/>
      <c r="BE41" s="803"/>
      <c r="BF41" s="692"/>
      <c r="BG41" s="31"/>
      <c r="BH41" s="31"/>
    </row>
    <row r="42" spans="1:74" x14ac:dyDescent="0.25">
      <c r="A42" s="30"/>
      <c r="B42" s="30"/>
      <c r="C42" s="30"/>
      <c r="D42" s="30"/>
      <c r="E42" s="30"/>
      <c r="F42" s="30"/>
      <c r="G42" s="30"/>
      <c r="H42" s="30"/>
      <c r="I42" s="30"/>
      <c r="J42" s="30"/>
      <c r="K42" s="30"/>
      <c r="L42" s="30"/>
      <c r="M42" s="30"/>
      <c r="N42" s="38" t="str">
        <f ca="1">'Intermediate Data'!AA86</f>
        <v>Display</v>
      </c>
      <c r="O42" s="31"/>
      <c r="P42" s="31"/>
      <c r="Q42" s="31"/>
      <c r="R42" s="31"/>
      <c r="S42" s="31"/>
      <c r="T42" s="31"/>
      <c r="U42" s="148"/>
      <c r="V42" s="804" t="str">
        <f ca="1">IF(OR('Intermediate Data'!AG86="",'Intermediate Data'!AG86="N/A"),"",'Intermediate Data'!AG86)</f>
        <v/>
      </c>
      <c r="W42" s="804"/>
      <c r="X42" s="804"/>
      <c r="Y42" s="804"/>
      <c r="Z42" s="110"/>
      <c r="AA42" s="519" t="str">
        <f ca="1">IF(OR('Intermediate Data'!AB86="",'Intermediate Data'!AB86="N/A"),"",'Intermediate Data'!AB86)</f>
        <v/>
      </c>
      <c r="AB42" s="111" t="str">
        <f ca="1">IF(OR('Intermediate Data'!AC86="",'Intermediate Data'!AC86="N/A"),"",'Intermediate Data'!AC86)</f>
        <v/>
      </c>
      <c r="AC42" s="519" t="str">
        <f ca="1">IF(OR('Intermediate Data'!AD86="",'Intermediate Data'!AD86="N/A"),"",'Intermediate Data'!AD86)</f>
        <v/>
      </c>
      <c r="AD42" s="111" t="str">
        <f ca="1">IF(OR('Intermediate Data'!AE86="",'Intermediate Data'!AE86="N/A"),"",'Intermediate Data'!AE86)</f>
        <v/>
      </c>
      <c r="AE42" s="161" t="str">
        <f ca="1">IF(OR('Intermediate Data'!AF86="",'Intermediate Data'!AF86="N/A"),"",'Intermediate Data'!AF86)</f>
        <v/>
      </c>
      <c r="AF42" s="520"/>
      <c r="AG42" s="805" t="str">
        <f ca="1">IF(OR('Intermediate Data'!AN86="",'Intermediate Data'!AN86="N/A"),"",'Intermediate Data'!AN86)</f>
        <v/>
      </c>
      <c r="AH42" s="805"/>
      <c r="AI42" s="805"/>
      <c r="AJ42" s="805"/>
      <c r="AK42" s="130"/>
      <c r="AL42" s="529" t="str">
        <f ca="1">IF(OR('Intermediate Data'!AI86="",'Intermediate Data'!AI86="N/A"),"",'Intermediate Data'!AI86)</f>
        <v/>
      </c>
      <c r="AM42" s="132" t="str">
        <f ca="1">IF(OR('Intermediate Data'!AJ86="",'Intermediate Data'!AJ86="N/A"),"",'Intermediate Data'!AJ86)</f>
        <v/>
      </c>
      <c r="AN42" s="529" t="str">
        <f ca="1">IF(OR('Intermediate Data'!AK86="",'Intermediate Data'!AK86="N/A"),"",'Intermediate Data'!AK86)</f>
        <v/>
      </c>
      <c r="AO42" s="132" t="str">
        <f ca="1">IF(OR('Intermediate Data'!AL86="",'Intermediate Data'!AL86="N/A"),"",'Intermediate Data'!AL86)</f>
        <v/>
      </c>
      <c r="AP42" s="163" t="str">
        <f ca="1">IF(OR('Intermediate Data'!AM86="",'Intermediate Data'!AM86="N/A"),"",'Intermediate Data'!AM86)</f>
        <v/>
      </c>
      <c r="AQ42" s="31"/>
      <c r="AR42" s="791" t="str">
        <f ca="1">IF('Intermediate Data'!AP86="","",'Intermediate Data'!AP86)</f>
        <v/>
      </c>
      <c r="AS42" s="791"/>
      <c r="AT42" s="31"/>
      <c r="AU42" s="148"/>
      <c r="AV42" s="804">
        <f ca="1">'Intermediate Data'!AQ86</f>
        <v>0.82</v>
      </c>
      <c r="AW42" s="804"/>
      <c r="AX42" s="804"/>
      <c r="AY42" s="804"/>
      <c r="AZ42" s="130"/>
      <c r="BA42" s="150"/>
      <c r="BB42" s="803">
        <f ca="1">'Intermediate Data'!AR86</f>
        <v>9</v>
      </c>
      <c r="BC42" s="803"/>
      <c r="BD42" s="803"/>
      <c r="BE42" s="803"/>
      <c r="BF42" s="692"/>
      <c r="BG42" s="31"/>
      <c r="BH42" s="31"/>
      <c r="BI42" s="30"/>
      <c r="BJ42" s="30"/>
      <c r="BK42" s="30"/>
      <c r="BL42" s="30"/>
      <c r="BM42" s="30"/>
      <c r="BN42" s="30"/>
      <c r="BO42" s="30"/>
      <c r="BP42" s="30"/>
      <c r="BQ42" s="30"/>
      <c r="BR42" s="30"/>
      <c r="BS42" s="30"/>
      <c r="BT42" s="30"/>
      <c r="BU42" s="30"/>
      <c r="BV42" s="30"/>
    </row>
    <row r="43" spans="1:74" x14ac:dyDescent="0.25">
      <c r="A43" s="30"/>
      <c r="B43" s="30"/>
      <c r="C43" s="30"/>
      <c r="D43" s="30"/>
      <c r="E43" s="30"/>
      <c r="F43" s="30"/>
      <c r="G43" s="30"/>
      <c r="H43" s="30"/>
      <c r="I43" s="30"/>
      <c r="J43" s="30"/>
      <c r="K43" s="30"/>
      <c r="L43" s="30"/>
      <c r="M43" s="30"/>
      <c r="N43" s="38" t="str">
        <f ca="1">'Intermediate Data'!AA87</f>
        <v>Door bell</v>
      </c>
      <c r="O43" s="31"/>
      <c r="P43" s="31"/>
      <c r="Q43" s="31"/>
      <c r="R43" s="31"/>
      <c r="S43" s="31"/>
      <c r="T43" s="31"/>
      <c r="U43" s="148"/>
      <c r="V43" s="804" t="str">
        <f ca="1">IF(OR('Intermediate Data'!AG87="",'Intermediate Data'!AG87="N/A"),"",'Intermediate Data'!AG87)</f>
        <v/>
      </c>
      <c r="W43" s="804"/>
      <c r="X43" s="804"/>
      <c r="Y43" s="804"/>
      <c r="Z43" s="110"/>
      <c r="AA43" s="519" t="str">
        <f ca="1">IF(OR('Intermediate Data'!AB87="",'Intermediate Data'!AB87="N/A"),"",'Intermediate Data'!AB87)</f>
        <v/>
      </c>
      <c r="AB43" s="111" t="str">
        <f ca="1">IF(OR('Intermediate Data'!AC87="",'Intermediate Data'!AC87="N/A"),"",'Intermediate Data'!AC87)</f>
        <v/>
      </c>
      <c r="AC43" s="519" t="str">
        <f ca="1">IF(OR('Intermediate Data'!AD87="",'Intermediate Data'!AD87="N/A"),"",'Intermediate Data'!AD87)</f>
        <v/>
      </c>
      <c r="AD43" s="111" t="str">
        <f ca="1">IF(OR('Intermediate Data'!AE87="",'Intermediate Data'!AE87="N/A"),"",'Intermediate Data'!AE87)</f>
        <v/>
      </c>
      <c r="AE43" s="161" t="str">
        <f ca="1">IF(OR('Intermediate Data'!AF87="",'Intermediate Data'!AF87="N/A"),"",'Intermediate Data'!AF87)</f>
        <v/>
      </c>
      <c r="AF43" s="520"/>
      <c r="AG43" s="805" t="str">
        <f ca="1">IF(OR('Intermediate Data'!AN87="",'Intermediate Data'!AN87="N/A"),"",'Intermediate Data'!AN87)</f>
        <v/>
      </c>
      <c r="AH43" s="805"/>
      <c r="AI43" s="805"/>
      <c r="AJ43" s="805"/>
      <c r="AK43" s="130"/>
      <c r="AL43" s="529" t="str">
        <f ca="1">IF(OR('Intermediate Data'!AI87="",'Intermediate Data'!AI87="N/A"),"",'Intermediate Data'!AI87)</f>
        <v/>
      </c>
      <c r="AM43" s="132" t="str">
        <f ca="1">IF(OR('Intermediate Data'!AJ87="",'Intermediate Data'!AJ87="N/A"),"",'Intermediate Data'!AJ87)</f>
        <v/>
      </c>
      <c r="AN43" s="529" t="str">
        <f ca="1">IF(OR('Intermediate Data'!AK87="",'Intermediate Data'!AK87="N/A"),"",'Intermediate Data'!AK87)</f>
        <v/>
      </c>
      <c r="AO43" s="132" t="str">
        <f ca="1">IF(OR('Intermediate Data'!AL87="",'Intermediate Data'!AL87="N/A"),"",'Intermediate Data'!AL87)</f>
        <v/>
      </c>
      <c r="AP43" s="163" t="str">
        <f ca="1">IF(OR('Intermediate Data'!AM87="",'Intermediate Data'!AM87="N/A"),"",'Intermediate Data'!AM87)</f>
        <v/>
      </c>
      <c r="AQ43" s="31"/>
      <c r="AR43" s="791" t="str">
        <f ca="1">IF('Intermediate Data'!AP87="","",'Intermediate Data'!AP87)</f>
        <v/>
      </c>
      <c r="AS43" s="791"/>
      <c r="AT43" s="31"/>
      <c r="AU43" s="148"/>
      <c r="AV43" s="804" t="str">
        <f ca="1">'Intermediate Data'!AQ87</f>
        <v/>
      </c>
      <c r="AW43" s="804"/>
      <c r="AX43" s="804"/>
      <c r="AY43" s="804"/>
      <c r="AZ43" s="117"/>
      <c r="BA43" s="150"/>
      <c r="BB43" s="803" t="str">
        <f ca="1">'Intermediate Data'!AR87</f>
        <v/>
      </c>
      <c r="BC43" s="803"/>
      <c r="BD43" s="803"/>
      <c r="BE43" s="803"/>
      <c r="BF43" s="692"/>
      <c r="BG43" s="31"/>
      <c r="BH43" s="31"/>
      <c r="BI43" s="30"/>
      <c r="BJ43" s="30"/>
      <c r="BK43" s="30"/>
      <c r="BL43" s="30"/>
      <c r="BM43" s="30"/>
      <c r="BN43" s="30"/>
      <c r="BO43" s="30"/>
      <c r="BP43" s="30"/>
      <c r="BQ43" s="30"/>
      <c r="BR43" s="30"/>
      <c r="BS43" s="30"/>
      <c r="BT43" s="30"/>
      <c r="BU43" s="30"/>
      <c r="BV43" s="30"/>
    </row>
    <row r="44" spans="1:74" x14ac:dyDescent="0.25">
      <c r="A44" s="30"/>
      <c r="B44" s="30"/>
      <c r="C44" s="30"/>
      <c r="D44" s="30"/>
      <c r="E44" s="30"/>
      <c r="F44" s="30"/>
      <c r="G44" s="30"/>
      <c r="H44" s="30"/>
      <c r="I44" s="30"/>
      <c r="J44" s="30"/>
      <c r="K44" s="30"/>
      <c r="L44" s="30"/>
      <c r="M44" s="30"/>
      <c r="N44" s="38" t="str">
        <f ca="1">'Intermediate Data'!AA88</f>
        <v>Electric blanket</v>
      </c>
      <c r="O44" s="31"/>
      <c r="P44" s="31"/>
      <c r="Q44" s="31"/>
      <c r="R44" s="31"/>
      <c r="S44" s="31"/>
      <c r="T44" s="31"/>
      <c r="U44" s="148"/>
      <c r="V44" s="804">
        <f ca="1">IF(OR('Intermediate Data'!AG88="",'Intermediate Data'!AG88="N/A"),"",'Intermediate Data'!AG88)</f>
        <v>0.11783335477774069</v>
      </c>
      <c r="W44" s="804"/>
      <c r="X44" s="804"/>
      <c r="Y44" s="804"/>
      <c r="Z44" s="110"/>
      <c r="AA44" s="519" t="str">
        <f ca="1">IF(OR('Intermediate Data'!AB88="",'Intermediate Data'!AB88="N/A"),"",'Intermediate Data'!AB88)</f>
        <v/>
      </c>
      <c r="AB44" s="111">
        <f ca="1">IF(OR('Intermediate Data'!AC88="",'Intermediate Data'!AC88="N/A"),"",'Intermediate Data'!AC88)</f>
        <v>0.14215189523905944</v>
      </c>
      <c r="AC44" s="519" t="str">
        <f ca="1">IF(OR('Intermediate Data'!AD88="",'Intermediate Data'!AD88="N/A"),"",'Intermediate Data'!AD88)</f>
        <v/>
      </c>
      <c r="AD44" s="111">
        <f ca="1">IF(OR('Intermediate Data'!AE88="",'Intermediate Data'!AE88="N/A"),"",'Intermediate Data'!AE88)</f>
        <v>0.11783335477774069</v>
      </c>
      <c r="AE44" s="161" t="str">
        <f ca="1">IF(OR('Intermediate Data'!AF88="",'Intermediate Data'!AF88="N/A"),"",'Intermediate Data'!AF88)</f>
        <v/>
      </c>
      <c r="AF44" s="520"/>
      <c r="AG44" s="805">
        <f ca="1">IF(OR('Intermediate Data'!AN88="",'Intermediate Data'!AN88="N/A"),"",'Intermediate Data'!AN88)</f>
        <v>0.13691565333293473</v>
      </c>
      <c r="AH44" s="805"/>
      <c r="AI44" s="805"/>
      <c r="AJ44" s="805"/>
      <c r="AK44" s="130"/>
      <c r="AL44" s="529" t="str">
        <f ca="1">IF(OR('Intermediate Data'!AI88="",'Intermediate Data'!AI88="N/A"),"",'Intermediate Data'!AI88)</f>
        <v/>
      </c>
      <c r="AM44" s="132">
        <f ca="1">IF(OR('Intermediate Data'!AJ88="",'Intermediate Data'!AJ88="N/A"),"",'Intermediate Data'!AJ88)</f>
        <v>0.17665676781019246</v>
      </c>
      <c r="AN44" s="529" t="str">
        <f ca="1">IF(OR('Intermediate Data'!AK88="",'Intermediate Data'!AK88="N/A"),"",'Intermediate Data'!AK88)</f>
        <v/>
      </c>
      <c r="AO44" s="132">
        <f ca="1">IF(OR('Intermediate Data'!AL88="",'Intermediate Data'!AL88="N/A"),"",'Intermediate Data'!AL88)</f>
        <v>0.13691565333293473</v>
      </c>
      <c r="AP44" s="163" t="str">
        <f ca="1">IF(OR('Intermediate Data'!AM88="",'Intermediate Data'!AM88="N/A"),"",'Intermediate Data'!AM88)</f>
        <v/>
      </c>
      <c r="AQ44" s="31"/>
      <c r="AR44" s="791" t="str">
        <f ca="1">IF('Intermediate Data'!AP88="","",'Intermediate Data'!AP88)</f>
        <v/>
      </c>
      <c r="AS44" s="791"/>
      <c r="AT44" s="31"/>
      <c r="AU44" s="148"/>
      <c r="AV44" s="804" t="str">
        <f ca="1">'Intermediate Data'!AQ88</f>
        <v/>
      </c>
      <c r="AW44" s="804"/>
      <c r="AX44" s="804"/>
      <c r="AY44" s="804"/>
      <c r="AZ44" s="117"/>
      <c r="BA44" s="150"/>
      <c r="BB44" s="803" t="str">
        <f ca="1">'Intermediate Data'!AR88</f>
        <v/>
      </c>
      <c r="BC44" s="803"/>
      <c r="BD44" s="803"/>
      <c r="BE44" s="803"/>
      <c r="BF44" s="692"/>
      <c r="BG44" s="31"/>
      <c r="BH44" s="31"/>
      <c r="BI44" s="30"/>
      <c r="BJ44" s="30"/>
      <c r="BK44" s="30"/>
      <c r="BL44" s="30"/>
      <c r="BM44" s="30"/>
      <c r="BN44" s="30"/>
      <c r="BO44" s="30"/>
      <c r="BP44" s="30"/>
      <c r="BQ44" s="30"/>
      <c r="BR44" s="30"/>
      <c r="BS44" s="30"/>
      <c r="BT44" s="30"/>
      <c r="BU44" s="30"/>
      <c r="BV44" s="30"/>
    </row>
    <row r="45" spans="1:74" x14ac:dyDescent="0.25">
      <c r="A45" s="30"/>
      <c r="B45" s="30"/>
      <c r="C45" s="30"/>
      <c r="D45" s="30"/>
      <c r="E45" s="30"/>
      <c r="F45" s="30"/>
      <c r="G45" s="30"/>
      <c r="H45" s="30"/>
      <c r="I45" s="30"/>
      <c r="J45" s="30"/>
      <c r="K45" s="30"/>
      <c r="L45" s="30"/>
      <c r="M45" s="30"/>
      <c r="N45" s="38" t="str">
        <f ca="1">'Intermediate Data'!AA89</f>
        <v>Electric can opener</v>
      </c>
      <c r="O45" s="31"/>
      <c r="P45" s="31"/>
      <c r="Q45" s="31"/>
      <c r="R45" s="31"/>
      <c r="S45" s="31"/>
      <c r="T45" s="31"/>
      <c r="U45" s="148"/>
      <c r="V45" s="804" t="str">
        <f ca="1">IF(OR('Intermediate Data'!AG89="",'Intermediate Data'!AG89="N/A"),"",'Intermediate Data'!AG89)</f>
        <v/>
      </c>
      <c r="W45" s="804"/>
      <c r="X45" s="804"/>
      <c r="Y45" s="804"/>
      <c r="Z45" s="110"/>
      <c r="AA45" s="519" t="str">
        <f ca="1">IF(OR('Intermediate Data'!AB89="",'Intermediate Data'!AB89="N/A"),"",'Intermediate Data'!AB89)</f>
        <v/>
      </c>
      <c r="AB45" s="111" t="str">
        <f ca="1">IF(OR('Intermediate Data'!AC89="",'Intermediate Data'!AC89="N/A"),"",'Intermediate Data'!AC89)</f>
        <v/>
      </c>
      <c r="AC45" s="519" t="str">
        <f ca="1">IF(OR('Intermediate Data'!AD89="",'Intermediate Data'!AD89="N/A"),"",'Intermediate Data'!AD89)</f>
        <v/>
      </c>
      <c r="AD45" s="111" t="str">
        <f ca="1">IF(OR('Intermediate Data'!AE89="",'Intermediate Data'!AE89="N/A"),"",'Intermediate Data'!AE89)</f>
        <v/>
      </c>
      <c r="AE45" s="161" t="str">
        <f ca="1">IF(OR('Intermediate Data'!AF89="",'Intermediate Data'!AF89="N/A"),"",'Intermediate Data'!AF89)</f>
        <v/>
      </c>
      <c r="AF45" s="520"/>
      <c r="AG45" s="805" t="str">
        <f ca="1">IF(OR('Intermediate Data'!AN89="",'Intermediate Data'!AN89="N/A"),"",'Intermediate Data'!AN89)</f>
        <v/>
      </c>
      <c r="AH45" s="805"/>
      <c r="AI45" s="805"/>
      <c r="AJ45" s="805"/>
      <c r="AK45" s="130"/>
      <c r="AL45" s="529" t="str">
        <f ca="1">IF(OR('Intermediate Data'!AI89="",'Intermediate Data'!AI89="N/A"),"",'Intermediate Data'!AI89)</f>
        <v/>
      </c>
      <c r="AM45" s="132" t="str">
        <f ca="1">IF(OR('Intermediate Data'!AJ89="",'Intermediate Data'!AJ89="N/A"),"",'Intermediate Data'!AJ89)</f>
        <v/>
      </c>
      <c r="AN45" s="529" t="str">
        <f ca="1">IF(OR('Intermediate Data'!AK89="",'Intermediate Data'!AK89="N/A"),"",'Intermediate Data'!AK89)</f>
        <v/>
      </c>
      <c r="AO45" s="132" t="str">
        <f ca="1">IF(OR('Intermediate Data'!AL89="",'Intermediate Data'!AL89="N/A"),"",'Intermediate Data'!AL89)</f>
        <v/>
      </c>
      <c r="AP45" s="163" t="str">
        <f ca="1">IF(OR('Intermediate Data'!AM89="",'Intermediate Data'!AM89="N/A"),"",'Intermediate Data'!AM89)</f>
        <v/>
      </c>
      <c r="AQ45" s="31"/>
      <c r="AR45" s="791" t="str">
        <f ca="1">IF('Intermediate Data'!AP89="","",'Intermediate Data'!AP89)</f>
        <v/>
      </c>
      <c r="AS45" s="791"/>
      <c r="AT45" s="31"/>
      <c r="AU45" s="148"/>
      <c r="AV45" s="804" t="str">
        <f ca="1">'Intermediate Data'!AQ89</f>
        <v/>
      </c>
      <c r="AW45" s="804"/>
      <c r="AX45" s="804"/>
      <c r="AY45" s="804"/>
      <c r="AZ45" s="117"/>
      <c r="BA45" s="150"/>
      <c r="BB45" s="803" t="str">
        <f ca="1">'Intermediate Data'!AR89</f>
        <v/>
      </c>
      <c r="BC45" s="803"/>
      <c r="BD45" s="803"/>
      <c r="BE45" s="803"/>
      <c r="BF45" s="692"/>
      <c r="BG45" s="31"/>
      <c r="BH45" s="31"/>
      <c r="BI45" s="30"/>
      <c r="BJ45" s="30"/>
      <c r="BK45" s="30"/>
      <c r="BL45" s="30"/>
      <c r="BM45" s="30"/>
      <c r="BN45" s="30"/>
      <c r="BO45" s="30"/>
      <c r="BP45" s="30"/>
      <c r="BQ45" s="30"/>
      <c r="BR45" s="30"/>
      <c r="BS45" s="30"/>
      <c r="BT45" s="30"/>
      <c r="BU45" s="30"/>
      <c r="BV45" s="30"/>
    </row>
    <row r="46" spans="1:74" x14ac:dyDescent="0.25">
      <c r="A46" s="30"/>
      <c r="B46" s="30"/>
      <c r="C46" s="30"/>
      <c r="D46" s="30"/>
      <c r="E46" s="30"/>
      <c r="F46" s="30"/>
      <c r="G46" s="30"/>
      <c r="H46" s="30"/>
      <c r="I46" s="30"/>
      <c r="J46" s="30"/>
      <c r="K46" s="30"/>
      <c r="L46" s="30"/>
      <c r="M46" s="30"/>
      <c r="N46" s="38" t="str">
        <f ca="1">'Intermediate Data'!AA90</f>
        <v>Electric car</v>
      </c>
      <c r="O46" s="30"/>
      <c r="P46" s="30"/>
      <c r="Q46" s="30"/>
      <c r="R46" s="30"/>
      <c r="S46" s="30"/>
      <c r="T46" s="30"/>
      <c r="U46" s="148"/>
      <c r="V46" s="804" t="str">
        <f ca="1">IF(OR('Intermediate Data'!AG90="",'Intermediate Data'!AG90="N/A"),"",'Intermediate Data'!AG90)</f>
        <v/>
      </c>
      <c r="W46" s="804"/>
      <c r="X46" s="804"/>
      <c r="Y46" s="804"/>
      <c r="Z46" s="111"/>
      <c r="AA46" s="519" t="str">
        <f ca="1">IF(OR('Intermediate Data'!AB90="",'Intermediate Data'!AB90="N/A"),"",'Intermediate Data'!AB90)</f>
        <v/>
      </c>
      <c r="AB46" s="111" t="str">
        <f ca="1">IF(OR('Intermediate Data'!AC90="",'Intermediate Data'!AC90="N/A"),"",'Intermediate Data'!AC90)</f>
        <v/>
      </c>
      <c r="AC46" s="519" t="str">
        <f ca="1">IF(OR('Intermediate Data'!AD90="",'Intermediate Data'!AD90="N/A"),"",'Intermediate Data'!AD90)</f>
        <v/>
      </c>
      <c r="AD46" s="111" t="str">
        <f ca="1">IF(OR('Intermediate Data'!AE90="",'Intermediate Data'!AE90="N/A"),"",'Intermediate Data'!AE90)</f>
        <v/>
      </c>
      <c r="AE46" s="161" t="str">
        <f ca="1">IF(OR('Intermediate Data'!AF90="",'Intermediate Data'!AF90="N/A"),"",'Intermediate Data'!AF90)</f>
        <v/>
      </c>
      <c r="AF46" s="520"/>
      <c r="AG46" s="805" t="str">
        <f ca="1">IF(OR('Intermediate Data'!AN90="",'Intermediate Data'!AN90="N/A"),"",'Intermediate Data'!AN90)</f>
        <v/>
      </c>
      <c r="AH46" s="805"/>
      <c r="AI46" s="805"/>
      <c r="AJ46" s="805"/>
      <c r="AK46" s="117"/>
      <c r="AL46" s="529" t="str">
        <f ca="1">IF(OR('Intermediate Data'!AI90="",'Intermediate Data'!AI90="N/A"),"",'Intermediate Data'!AI90)</f>
        <v/>
      </c>
      <c r="AM46" s="132" t="str">
        <f ca="1">IF(OR('Intermediate Data'!AJ90="",'Intermediate Data'!AJ90="N/A"),"",'Intermediate Data'!AJ90)</f>
        <v/>
      </c>
      <c r="AN46" s="529" t="str">
        <f ca="1">IF(OR('Intermediate Data'!AK90="",'Intermediate Data'!AK90="N/A"),"",'Intermediate Data'!AK90)</f>
        <v/>
      </c>
      <c r="AO46" s="132" t="str">
        <f ca="1">IF(OR('Intermediate Data'!AL90="",'Intermediate Data'!AL90="N/A"),"",'Intermediate Data'!AL90)</f>
        <v/>
      </c>
      <c r="AP46" s="163" t="str">
        <f ca="1">IF(OR('Intermediate Data'!AM90="",'Intermediate Data'!AM90="N/A"),"",'Intermediate Data'!AM90)</f>
        <v/>
      </c>
      <c r="AQ46" s="31"/>
      <c r="AR46" s="791" t="str">
        <f ca="1">IF('Intermediate Data'!AP90="","",'Intermediate Data'!AP90)</f>
        <v/>
      </c>
      <c r="AS46" s="791"/>
      <c r="AT46" s="31"/>
      <c r="AU46" s="148"/>
      <c r="AV46" s="804" t="str">
        <f ca="1">'Intermediate Data'!AQ90</f>
        <v/>
      </c>
      <c r="AW46" s="804"/>
      <c r="AX46" s="804"/>
      <c r="AY46" s="804"/>
      <c r="AZ46" s="117"/>
      <c r="BA46" s="150"/>
      <c r="BB46" s="803" t="str">
        <f ca="1">'Intermediate Data'!AR90</f>
        <v/>
      </c>
      <c r="BC46" s="803"/>
      <c r="BD46" s="803"/>
      <c r="BE46" s="803"/>
      <c r="BF46" s="692"/>
      <c r="BG46" s="31"/>
      <c r="BH46" s="31"/>
      <c r="BI46" s="30"/>
      <c r="BJ46" s="30"/>
      <c r="BK46" s="30"/>
      <c r="BL46" s="30"/>
      <c r="BM46" s="30"/>
      <c r="BN46" s="30"/>
      <c r="BO46" s="30"/>
      <c r="BP46" s="30"/>
      <c r="BQ46" s="30"/>
      <c r="BR46" s="30"/>
      <c r="BS46" s="30"/>
      <c r="BT46" s="30"/>
      <c r="BU46" s="30"/>
      <c r="BV46" s="30"/>
    </row>
    <row r="47" spans="1:74" x14ac:dyDescent="0.25">
      <c r="A47" s="30"/>
      <c r="B47" s="30"/>
      <c r="C47" s="30"/>
      <c r="D47" s="30"/>
      <c r="E47" s="30"/>
      <c r="F47" s="30"/>
      <c r="G47" s="30"/>
      <c r="H47" s="30"/>
      <c r="I47" s="30"/>
      <c r="J47" s="30"/>
      <c r="K47" s="30"/>
      <c r="L47" s="30"/>
      <c r="M47" s="30"/>
      <c r="N47" s="38" t="str">
        <f ca="1">'Intermediate Data'!AA91</f>
        <v>Electric fence</v>
      </c>
      <c r="O47" s="30"/>
      <c r="P47" s="30"/>
      <c r="Q47" s="30"/>
      <c r="R47" s="30"/>
      <c r="S47" s="30"/>
      <c r="T47" s="30"/>
      <c r="U47" s="148"/>
      <c r="V47" s="804" t="str">
        <f ca="1">IF(OR('Intermediate Data'!AG91="",'Intermediate Data'!AG91="N/A"),"",'Intermediate Data'!AG91)</f>
        <v/>
      </c>
      <c r="W47" s="804"/>
      <c r="X47" s="804"/>
      <c r="Y47" s="804"/>
      <c r="Z47" s="111"/>
      <c r="AA47" s="519" t="str">
        <f ca="1">IF(OR('Intermediate Data'!AB91="",'Intermediate Data'!AB91="N/A"),"",'Intermediate Data'!AB91)</f>
        <v/>
      </c>
      <c r="AB47" s="111" t="str">
        <f ca="1">IF(OR('Intermediate Data'!AC91="",'Intermediate Data'!AC91="N/A"),"",'Intermediate Data'!AC91)</f>
        <v/>
      </c>
      <c r="AC47" s="519" t="str">
        <f ca="1">IF(OR('Intermediate Data'!AD91="",'Intermediate Data'!AD91="N/A"),"",'Intermediate Data'!AD91)</f>
        <v/>
      </c>
      <c r="AD47" s="111" t="str">
        <f ca="1">IF(OR('Intermediate Data'!AE91="",'Intermediate Data'!AE91="N/A"),"",'Intermediate Data'!AE91)</f>
        <v/>
      </c>
      <c r="AE47" s="161" t="str">
        <f ca="1">IF(OR('Intermediate Data'!AF91="",'Intermediate Data'!AF91="N/A"),"",'Intermediate Data'!AF91)</f>
        <v/>
      </c>
      <c r="AF47" s="520"/>
      <c r="AG47" s="805" t="str">
        <f ca="1">IF(OR('Intermediate Data'!AN91="",'Intermediate Data'!AN91="N/A"),"",'Intermediate Data'!AN91)</f>
        <v/>
      </c>
      <c r="AH47" s="805"/>
      <c r="AI47" s="805"/>
      <c r="AJ47" s="805"/>
      <c r="AK47" s="117"/>
      <c r="AL47" s="529" t="str">
        <f ca="1">IF(OR('Intermediate Data'!AI91="",'Intermediate Data'!AI91="N/A"),"",'Intermediate Data'!AI91)</f>
        <v/>
      </c>
      <c r="AM47" s="132" t="str">
        <f ca="1">IF(OR('Intermediate Data'!AJ91="",'Intermediate Data'!AJ91="N/A"),"",'Intermediate Data'!AJ91)</f>
        <v/>
      </c>
      <c r="AN47" s="529" t="str">
        <f ca="1">IF(OR('Intermediate Data'!AK91="",'Intermediate Data'!AK91="N/A"),"",'Intermediate Data'!AK91)</f>
        <v/>
      </c>
      <c r="AO47" s="132" t="str">
        <f ca="1">IF(OR('Intermediate Data'!AL91="",'Intermediate Data'!AL91="N/A"),"",'Intermediate Data'!AL91)</f>
        <v/>
      </c>
      <c r="AP47" s="163" t="str">
        <f ca="1">IF(OR('Intermediate Data'!AM91="",'Intermediate Data'!AM91="N/A"),"",'Intermediate Data'!AM91)</f>
        <v/>
      </c>
      <c r="AQ47" s="31"/>
      <c r="AR47" s="791" t="str">
        <f ca="1">IF('Intermediate Data'!AP91="","",'Intermediate Data'!AP91)</f>
        <v/>
      </c>
      <c r="AS47" s="791"/>
      <c r="AT47" s="31"/>
      <c r="AU47" s="148"/>
      <c r="AV47" s="804" t="str">
        <f ca="1">'Intermediate Data'!AQ91</f>
        <v/>
      </c>
      <c r="AW47" s="804"/>
      <c r="AX47" s="804"/>
      <c r="AY47" s="804"/>
      <c r="AZ47" s="117"/>
      <c r="BA47" s="150"/>
      <c r="BB47" s="803" t="str">
        <f ca="1">'Intermediate Data'!AR91</f>
        <v/>
      </c>
      <c r="BC47" s="803"/>
      <c r="BD47" s="803"/>
      <c r="BE47" s="803"/>
      <c r="BF47" s="692"/>
      <c r="BG47" s="31"/>
      <c r="BH47" s="31"/>
      <c r="BI47" s="30"/>
      <c r="BJ47" s="30"/>
      <c r="BK47" s="30"/>
      <c r="BL47" s="30"/>
      <c r="BM47" s="30"/>
      <c r="BN47" s="30"/>
      <c r="BO47" s="30"/>
      <c r="BP47" s="30"/>
      <c r="BQ47" s="30"/>
      <c r="BR47" s="30"/>
      <c r="BS47" s="30"/>
      <c r="BT47" s="30"/>
      <c r="BU47" s="30"/>
      <c r="BV47" s="30"/>
    </row>
    <row r="48" spans="1:74" x14ac:dyDescent="0.25">
      <c r="A48" s="30"/>
      <c r="B48" s="30"/>
      <c r="C48" s="30"/>
      <c r="D48" s="30"/>
      <c r="E48" s="30"/>
      <c r="F48" s="30"/>
      <c r="G48" s="30"/>
      <c r="H48" s="30"/>
      <c r="I48" s="30"/>
      <c r="J48" s="30"/>
      <c r="K48" s="30"/>
      <c r="L48" s="30"/>
      <c r="M48" s="30"/>
      <c r="N48" s="38" t="str">
        <f ca="1">'Intermediate Data'!AA92</f>
        <v>Electric grill</v>
      </c>
      <c r="O48" s="30"/>
      <c r="P48" s="30"/>
      <c r="Q48" s="30"/>
      <c r="R48" s="30"/>
      <c r="S48" s="30"/>
      <c r="T48" s="30"/>
      <c r="U48" s="148"/>
      <c r="V48" s="804" t="str">
        <f ca="1">IF(OR('Intermediate Data'!AG92="",'Intermediate Data'!AG92="N/A"),"",'Intermediate Data'!AG92)</f>
        <v/>
      </c>
      <c r="W48" s="804"/>
      <c r="X48" s="804"/>
      <c r="Y48" s="804"/>
      <c r="Z48" s="111"/>
      <c r="AA48" s="519" t="str">
        <f ca="1">IF(OR('Intermediate Data'!AB92="",'Intermediate Data'!AB92="N/A"),"",'Intermediate Data'!AB92)</f>
        <v/>
      </c>
      <c r="AB48" s="111" t="str">
        <f ca="1">IF(OR('Intermediate Data'!AC92="",'Intermediate Data'!AC92="N/A"),"",'Intermediate Data'!AC92)</f>
        <v/>
      </c>
      <c r="AC48" s="519" t="str">
        <f ca="1">IF(OR('Intermediate Data'!AD92="",'Intermediate Data'!AD92="N/A"),"",'Intermediate Data'!AD92)</f>
        <v/>
      </c>
      <c r="AD48" s="111" t="str">
        <f ca="1">IF(OR('Intermediate Data'!AE92="",'Intermediate Data'!AE92="N/A"),"",'Intermediate Data'!AE92)</f>
        <v/>
      </c>
      <c r="AE48" s="161" t="str">
        <f ca="1">IF(OR('Intermediate Data'!AF92="",'Intermediate Data'!AF92="N/A"),"",'Intermediate Data'!AF92)</f>
        <v/>
      </c>
      <c r="AF48" s="520"/>
      <c r="AG48" s="805" t="str">
        <f ca="1">IF(OR('Intermediate Data'!AN92="",'Intermediate Data'!AN92="N/A"),"",'Intermediate Data'!AN92)</f>
        <v/>
      </c>
      <c r="AH48" s="805"/>
      <c r="AI48" s="805"/>
      <c r="AJ48" s="805"/>
      <c r="AK48" s="117"/>
      <c r="AL48" s="529" t="str">
        <f ca="1">IF(OR('Intermediate Data'!AI92="",'Intermediate Data'!AI92="N/A"),"",'Intermediate Data'!AI92)</f>
        <v/>
      </c>
      <c r="AM48" s="132" t="str">
        <f ca="1">IF(OR('Intermediate Data'!AJ92="",'Intermediate Data'!AJ92="N/A"),"",'Intermediate Data'!AJ92)</f>
        <v/>
      </c>
      <c r="AN48" s="529" t="str">
        <f ca="1">IF(OR('Intermediate Data'!AK92="",'Intermediate Data'!AK92="N/A"),"",'Intermediate Data'!AK92)</f>
        <v/>
      </c>
      <c r="AO48" s="132" t="str">
        <f ca="1">IF(OR('Intermediate Data'!AL92="",'Intermediate Data'!AL92="N/A"),"",'Intermediate Data'!AL92)</f>
        <v/>
      </c>
      <c r="AP48" s="163" t="str">
        <f ca="1">IF(OR('Intermediate Data'!AM92="",'Intermediate Data'!AM92="N/A"),"",'Intermediate Data'!AM92)</f>
        <v/>
      </c>
      <c r="AQ48" s="31"/>
      <c r="AR48" s="791" t="str">
        <f ca="1">IF('Intermediate Data'!AP92="","",'Intermediate Data'!AP92)</f>
        <v/>
      </c>
      <c r="AS48" s="791"/>
      <c r="AT48" s="31"/>
      <c r="AU48" s="148"/>
      <c r="AV48" s="804" t="str">
        <f ca="1">'Intermediate Data'!AQ92</f>
        <v/>
      </c>
      <c r="AW48" s="804"/>
      <c r="AX48" s="804"/>
      <c r="AY48" s="804"/>
      <c r="AZ48" s="117"/>
      <c r="BA48" s="150"/>
      <c r="BB48" s="803" t="str">
        <f ca="1">'Intermediate Data'!AR92</f>
        <v/>
      </c>
      <c r="BC48" s="803"/>
      <c r="BD48" s="803"/>
      <c r="BE48" s="803"/>
      <c r="BF48" s="692"/>
      <c r="BG48" s="31"/>
      <c r="BH48" s="31"/>
      <c r="BI48" s="30"/>
      <c r="BJ48" s="30"/>
      <c r="BK48" s="30"/>
      <c r="BL48" s="30"/>
      <c r="BM48" s="30"/>
      <c r="BN48" s="30"/>
      <c r="BO48" s="30"/>
      <c r="BP48" s="30"/>
      <c r="BQ48" s="30"/>
      <c r="BR48" s="30"/>
      <c r="BS48" s="30"/>
      <c r="BT48" s="30"/>
      <c r="BU48" s="30"/>
      <c r="BV48" s="30"/>
    </row>
    <row r="49" spans="1:74" x14ac:dyDescent="0.25">
      <c r="A49" s="30"/>
      <c r="B49" s="30"/>
      <c r="C49" s="30"/>
      <c r="D49" s="30"/>
      <c r="E49" s="30"/>
      <c r="F49" s="30"/>
      <c r="G49" s="30"/>
      <c r="H49" s="30"/>
      <c r="I49" s="30"/>
      <c r="J49" s="30"/>
      <c r="K49" s="30"/>
      <c r="L49" s="30"/>
      <c r="M49" s="30"/>
      <c r="N49" s="38" t="str">
        <f ca="1">'Intermediate Data'!AA93</f>
        <v>Electric kettle</v>
      </c>
      <c r="O49" s="30"/>
      <c r="P49" s="30"/>
      <c r="Q49" s="30"/>
      <c r="R49" s="30"/>
      <c r="S49" s="30"/>
      <c r="T49" s="30"/>
      <c r="U49" s="148"/>
      <c r="V49" s="804" t="str">
        <f ca="1">IF(OR('Intermediate Data'!AG93="",'Intermediate Data'!AG93="N/A"),"",'Intermediate Data'!AG93)</f>
        <v/>
      </c>
      <c r="W49" s="804"/>
      <c r="X49" s="804"/>
      <c r="Y49" s="804"/>
      <c r="Z49" s="111"/>
      <c r="AA49" s="519" t="str">
        <f ca="1">IF(OR('Intermediate Data'!AB93="",'Intermediate Data'!AB93="N/A"),"",'Intermediate Data'!AB93)</f>
        <v/>
      </c>
      <c r="AB49" s="111" t="str">
        <f ca="1">IF(OR('Intermediate Data'!AC93="",'Intermediate Data'!AC93="N/A"),"",'Intermediate Data'!AC93)</f>
        <v/>
      </c>
      <c r="AC49" s="519" t="str">
        <f ca="1">IF(OR('Intermediate Data'!AD93="",'Intermediate Data'!AD93="N/A"),"",'Intermediate Data'!AD93)</f>
        <v/>
      </c>
      <c r="AD49" s="111" t="str">
        <f ca="1">IF(OR('Intermediate Data'!AE93="",'Intermediate Data'!AE93="N/A"),"",'Intermediate Data'!AE93)</f>
        <v/>
      </c>
      <c r="AE49" s="161" t="str">
        <f ca="1">IF(OR('Intermediate Data'!AF93="",'Intermediate Data'!AF93="N/A"),"",'Intermediate Data'!AF93)</f>
        <v/>
      </c>
      <c r="AF49" s="520"/>
      <c r="AG49" s="805" t="str">
        <f ca="1">IF(OR('Intermediate Data'!AN93="",'Intermediate Data'!AN93="N/A"),"",'Intermediate Data'!AN93)</f>
        <v/>
      </c>
      <c r="AH49" s="805"/>
      <c r="AI49" s="805"/>
      <c r="AJ49" s="805"/>
      <c r="AK49" s="117"/>
      <c r="AL49" s="529" t="str">
        <f ca="1">IF(OR('Intermediate Data'!AI93="",'Intermediate Data'!AI93="N/A"),"",'Intermediate Data'!AI93)</f>
        <v/>
      </c>
      <c r="AM49" s="132" t="str">
        <f ca="1">IF(OR('Intermediate Data'!AJ93="",'Intermediate Data'!AJ93="N/A"),"",'Intermediate Data'!AJ93)</f>
        <v/>
      </c>
      <c r="AN49" s="529" t="str">
        <f ca="1">IF(OR('Intermediate Data'!AK93="",'Intermediate Data'!AK93="N/A"),"",'Intermediate Data'!AK93)</f>
        <v/>
      </c>
      <c r="AO49" s="132" t="str">
        <f ca="1">IF(OR('Intermediate Data'!AL93="",'Intermediate Data'!AL93="N/A"),"",'Intermediate Data'!AL93)</f>
        <v/>
      </c>
      <c r="AP49" s="163" t="str">
        <f ca="1">IF(OR('Intermediate Data'!AM93="",'Intermediate Data'!AM93="N/A"),"",'Intermediate Data'!AM93)</f>
        <v/>
      </c>
      <c r="AQ49" s="31"/>
      <c r="AR49" s="791" t="str">
        <f ca="1">IF('Intermediate Data'!AP93="","",'Intermediate Data'!AP93)</f>
        <v/>
      </c>
      <c r="AS49" s="791"/>
      <c r="AT49" s="31"/>
      <c r="AU49" s="148"/>
      <c r="AV49" s="804" t="str">
        <f ca="1">'Intermediate Data'!AQ93</f>
        <v/>
      </c>
      <c r="AW49" s="804"/>
      <c r="AX49" s="804"/>
      <c r="AY49" s="804"/>
      <c r="AZ49" s="117"/>
      <c r="BA49" s="150"/>
      <c r="BB49" s="803" t="str">
        <f ca="1">'Intermediate Data'!AR93</f>
        <v/>
      </c>
      <c r="BC49" s="803"/>
      <c r="BD49" s="803"/>
      <c r="BE49" s="803"/>
      <c r="BF49" s="692"/>
      <c r="BG49" s="31"/>
      <c r="BH49" s="31"/>
      <c r="BI49" s="30"/>
      <c r="BJ49" s="30"/>
      <c r="BK49" s="30"/>
      <c r="BL49" s="30"/>
      <c r="BM49" s="30"/>
      <c r="BN49" s="30"/>
      <c r="BO49" s="30"/>
      <c r="BP49" s="30"/>
      <c r="BQ49" s="30"/>
      <c r="BR49" s="30"/>
      <c r="BS49" s="30"/>
      <c r="BT49" s="30"/>
      <c r="BU49" s="30"/>
      <c r="BV49" s="30"/>
    </row>
    <row r="50" spans="1:74" x14ac:dyDescent="0.25">
      <c r="A50" s="30"/>
      <c r="B50" s="30"/>
      <c r="C50" s="30"/>
      <c r="D50" s="30"/>
      <c r="E50" s="30"/>
      <c r="F50" s="30"/>
      <c r="G50" s="30"/>
      <c r="H50" s="30"/>
      <c r="I50" s="30"/>
      <c r="J50" s="30"/>
      <c r="K50" s="30"/>
      <c r="L50" s="30"/>
      <c r="M50" s="30"/>
      <c r="N50" s="38" t="str">
        <f ca="1">'Intermediate Data'!AA94</f>
        <v>Electric warmer/serving tray</v>
      </c>
      <c r="O50" s="30"/>
      <c r="P50" s="30"/>
      <c r="Q50" s="30"/>
      <c r="R50" s="30"/>
      <c r="S50" s="30"/>
      <c r="T50" s="30"/>
      <c r="U50" s="148"/>
      <c r="V50" s="804" t="str">
        <f ca="1">IF(OR('Intermediate Data'!AG94="",'Intermediate Data'!AG94="N/A"),"",'Intermediate Data'!AG94)</f>
        <v/>
      </c>
      <c r="W50" s="804"/>
      <c r="X50" s="804"/>
      <c r="Y50" s="804"/>
      <c r="Z50" s="111"/>
      <c r="AA50" s="519" t="str">
        <f ca="1">IF(OR('Intermediate Data'!AB94="",'Intermediate Data'!AB94="N/A"),"",'Intermediate Data'!AB94)</f>
        <v/>
      </c>
      <c r="AB50" s="111" t="str">
        <f ca="1">IF(OR('Intermediate Data'!AC94="",'Intermediate Data'!AC94="N/A"),"",'Intermediate Data'!AC94)</f>
        <v/>
      </c>
      <c r="AC50" s="519" t="str">
        <f ca="1">IF(OR('Intermediate Data'!AD94="",'Intermediate Data'!AD94="N/A"),"",'Intermediate Data'!AD94)</f>
        <v/>
      </c>
      <c r="AD50" s="111" t="str">
        <f ca="1">IF(OR('Intermediate Data'!AE94="",'Intermediate Data'!AE94="N/A"),"",'Intermediate Data'!AE94)</f>
        <v/>
      </c>
      <c r="AE50" s="161" t="str">
        <f ca="1">IF(OR('Intermediate Data'!AF94="",'Intermediate Data'!AF94="N/A"),"",'Intermediate Data'!AF94)</f>
        <v/>
      </c>
      <c r="AF50" s="520"/>
      <c r="AG50" s="805" t="str">
        <f ca="1">IF(OR('Intermediate Data'!AN94="",'Intermediate Data'!AN94="N/A"),"",'Intermediate Data'!AN94)</f>
        <v/>
      </c>
      <c r="AH50" s="805"/>
      <c r="AI50" s="805"/>
      <c r="AJ50" s="805"/>
      <c r="AK50" s="117"/>
      <c r="AL50" s="529" t="str">
        <f ca="1">IF(OR('Intermediate Data'!AI94="",'Intermediate Data'!AI94="N/A"),"",'Intermediate Data'!AI94)</f>
        <v/>
      </c>
      <c r="AM50" s="132" t="str">
        <f ca="1">IF(OR('Intermediate Data'!AJ94="",'Intermediate Data'!AJ94="N/A"),"",'Intermediate Data'!AJ94)</f>
        <v/>
      </c>
      <c r="AN50" s="529" t="str">
        <f ca="1">IF(OR('Intermediate Data'!AK94="",'Intermediate Data'!AK94="N/A"),"",'Intermediate Data'!AK94)</f>
        <v/>
      </c>
      <c r="AO50" s="132" t="str">
        <f ca="1">IF(OR('Intermediate Data'!AL94="",'Intermediate Data'!AL94="N/A"),"",'Intermediate Data'!AL94)</f>
        <v/>
      </c>
      <c r="AP50" s="163" t="str">
        <f ca="1">IF(OR('Intermediate Data'!AM94="",'Intermediate Data'!AM94="N/A"),"",'Intermediate Data'!AM94)</f>
        <v/>
      </c>
      <c r="AQ50" s="31"/>
      <c r="AR50" s="791" t="str">
        <f ca="1">IF('Intermediate Data'!AP94="","",'Intermediate Data'!AP94)</f>
        <v/>
      </c>
      <c r="AS50" s="791"/>
      <c r="AT50" s="31"/>
      <c r="AU50" s="148"/>
      <c r="AV50" s="804" t="str">
        <f ca="1">'Intermediate Data'!AQ94</f>
        <v/>
      </c>
      <c r="AW50" s="804"/>
      <c r="AX50" s="804"/>
      <c r="AY50" s="804"/>
      <c r="AZ50" s="117"/>
      <c r="BA50" s="150"/>
      <c r="BB50" s="803" t="str">
        <f ca="1">'Intermediate Data'!AR94</f>
        <v/>
      </c>
      <c r="BC50" s="803"/>
      <c r="BD50" s="803"/>
      <c r="BE50" s="803"/>
      <c r="BF50" s="692"/>
      <c r="BG50" s="31"/>
      <c r="BH50" s="31"/>
      <c r="BI50" s="30"/>
      <c r="BJ50" s="30"/>
      <c r="BK50" s="30"/>
      <c r="BL50" s="30"/>
      <c r="BM50" s="30"/>
      <c r="BN50" s="30"/>
      <c r="BO50" s="30"/>
      <c r="BP50" s="30"/>
      <c r="BQ50" s="30"/>
      <c r="BR50" s="30"/>
      <c r="BS50" s="30"/>
      <c r="BT50" s="30"/>
      <c r="BU50" s="30"/>
      <c r="BV50" s="30"/>
    </row>
    <row r="51" spans="1:74" x14ac:dyDescent="0.25">
      <c r="A51" s="30"/>
      <c r="B51" s="30"/>
      <c r="C51" s="30"/>
      <c r="D51" s="30"/>
      <c r="E51" s="30"/>
      <c r="F51" s="30"/>
      <c r="G51" s="30"/>
      <c r="H51" s="30"/>
      <c r="I51" s="30"/>
      <c r="J51" s="30"/>
      <c r="K51" s="30"/>
      <c r="L51" s="30"/>
      <c r="M51" s="30"/>
      <c r="N51" s="38" t="str">
        <f ca="1">'Intermediate Data'!AA95</f>
        <v>Espresso machine</v>
      </c>
      <c r="O51" s="30"/>
      <c r="P51" s="30"/>
      <c r="Q51" s="30"/>
      <c r="R51" s="30"/>
      <c r="S51" s="30"/>
      <c r="T51" s="30"/>
      <c r="U51" s="148"/>
      <c r="V51" s="804" t="str">
        <f ca="1">IF(OR('Intermediate Data'!AG95="",'Intermediate Data'!AG95="N/A"),"",'Intermediate Data'!AG95)</f>
        <v/>
      </c>
      <c r="W51" s="804"/>
      <c r="X51" s="804"/>
      <c r="Y51" s="804"/>
      <c r="Z51" s="111"/>
      <c r="AA51" s="519" t="str">
        <f ca="1">IF(OR('Intermediate Data'!AB95="",'Intermediate Data'!AB95="N/A"),"",'Intermediate Data'!AB95)</f>
        <v/>
      </c>
      <c r="AB51" s="111" t="str">
        <f ca="1">IF(OR('Intermediate Data'!AC95="",'Intermediate Data'!AC95="N/A"),"",'Intermediate Data'!AC95)</f>
        <v/>
      </c>
      <c r="AC51" s="519" t="str">
        <f ca="1">IF(OR('Intermediate Data'!AD95="",'Intermediate Data'!AD95="N/A"),"",'Intermediate Data'!AD95)</f>
        <v/>
      </c>
      <c r="AD51" s="111" t="str">
        <f ca="1">IF(OR('Intermediate Data'!AE95="",'Intermediate Data'!AE95="N/A"),"",'Intermediate Data'!AE95)</f>
        <v/>
      </c>
      <c r="AE51" s="161" t="str">
        <f ca="1">IF(OR('Intermediate Data'!AF95="",'Intermediate Data'!AF95="N/A"),"",'Intermediate Data'!AF95)</f>
        <v/>
      </c>
      <c r="AF51" s="520"/>
      <c r="AG51" s="805" t="str">
        <f ca="1">IF(OR('Intermediate Data'!AN95="",'Intermediate Data'!AN95="N/A"),"",'Intermediate Data'!AN95)</f>
        <v/>
      </c>
      <c r="AH51" s="805"/>
      <c r="AI51" s="805"/>
      <c r="AJ51" s="805"/>
      <c r="AK51" s="117"/>
      <c r="AL51" s="529" t="str">
        <f ca="1">IF(OR('Intermediate Data'!AI95="",'Intermediate Data'!AI95="N/A"),"",'Intermediate Data'!AI95)</f>
        <v/>
      </c>
      <c r="AM51" s="132" t="str">
        <f ca="1">IF(OR('Intermediate Data'!AJ95="",'Intermediate Data'!AJ95="N/A"),"",'Intermediate Data'!AJ95)</f>
        <v/>
      </c>
      <c r="AN51" s="529" t="str">
        <f ca="1">IF(OR('Intermediate Data'!AK95="",'Intermediate Data'!AK95="N/A"),"",'Intermediate Data'!AK95)</f>
        <v/>
      </c>
      <c r="AO51" s="132" t="str">
        <f ca="1">IF(OR('Intermediate Data'!AL95="",'Intermediate Data'!AL95="N/A"),"",'Intermediate Data'!AL95)</f>
        <v/>
      </c>
      <c r="AP51" s="163" t="str">
        <f ca="1">IF(OR('Intermediate Data'!AM95="",'Intermediate Data'!AM95="N/A"),"",'Intermediate Data'!AM95)</f>
        <v/>
      </c>
      <c r="AQ51" s="31"/>
      <c r="AR51" s="791" t="str">
        <f ca="1">IF('Intermediate Data'!AP95="","",'Intermediate Data'!AP95)</f>
        <v/>
      </c>
      <c r="AS51" s="791"/>
      <c r="AT51" s="31"/>
      <c r="AU51" s="148"/>
      <c r="AV51" s="804" t="str">
        <f ca="1">'Intermediate Data'!AQ95</f>
        <v/>
      </c>
      <c r="AW51" s="804"/>
      <c r="AX51" s="804"/>
      <c r="AY51" s="804"/>
      <c r="AZ51" s="117"/>
      <c r="BA51" s="150"/>
      <c r="BB51" s="803" t="str">
        <f ca="1">'Intermediate Data'!AR95</f>
        <v/>
      </c>
      <c r="BC51" s="803"/>
      <c r="BD51" s="803"/>
      <c r="BE51" s="803"/>
      <c r="BF51" s="692"/>
      <c r="BG51" s="31"/>
      <c r="BH51" s="31"/>
      <c r="BI51" s="30"/>
      <c r="BJ51" s="30"/>
      <c r="BK51" s="30"/>
      <c r="BL51" s="30"/>
      <c r="BM51" s="30"/>
      <c r="BN51" s="30"/>
      <c r="BO51" s="30"/>
      <c r="BP51" s="30"/>
      <c r="BQ51" s="30"/>
      <c r="BR51" s="30"/>
      <c r="BS51" s="30"/>
      <c r="BT51" s="30"/>
      <c r="BU51" s="30"/>
      <c r="BV51" s="30"/>
    </row>
    <row r="52" spans="1:74" x14ac:dyDescent="0.25">
      <c r="A52" s="30"/>
      <c r="B52" s="30"/>
      <c r="C52" s="30"/>
      <c r="D52" s="30"/>
      <c r="E52" s="30"/>
      <c r="F52" s="30"/>
      <c r="G52" s="30"/>
      <c r="H52" s="30"/>
      <c r="I52" s="30"/>
      <c r="J52" s="30"/>
      <c r="K52" s="30"/>
      <c r="L52" s="30"/>
      <c r="M52" s="30"/>
      <c r="N52" s="38" t="str">
        <f ca="1">'Intermediate Data'!AA96</f>
        <v>Evaporative cooler</v>
      </c>
      <c r="O52" s="30"/>
      <c r="P52" s="30"/>
      <c r="Q52" s="30"/>
      <c r="R52" s="30"/>
      <c r="S52" s="30"/>
      <c r="T52" s="30"/>
      <c r="U52" s="148"/>
      <c r="V52" s="804">
        <f ca="1">IF(OR('Intermediate Data'!AG96="",'Intermediate Data'!AG96="N/A"),"",'Intermediate Data'!AG96)</f>
        <v>4.8223933953954405E-2</v>
      </c>
      <c r="W52" s="804"/>
      <c r="X52" s="804"/>
      <c r="Y52" s="804"/>
      <c r="Z52" s="111"/>
      <c r="AA52" s="519">
        <f ca="1">IF(OR('Intermediate Data'!AB96="",'Intermediate Data'!AB96="N/A"),"",'Intermediate Data'!AB96)</f>
        <v>3.2000000000000001E-2</v>
      </c>
      <c r="AB52" s="111">
        <f ca="1">IF(OR('Intermediate Data'!AC96="",'Intermediate Data'!AC96="N/A"),"",'Intermediate Data'!AC96)</f>
        <v>4.9346286092956798E-2</v>
      </c>
      <c r="AC52" s="519" t="str">
        <f ca="1">IF(OR('Intermediate Data'!AD96="",'Intermediate Data'!AD96="N/A"),"",'Intermediate Data'!AD96)</f>
        <v/>
      </c>
      <c r="AD52" s="111">
        <f ca="1">IF(OR('Intermediate Data'!AE96="",'Intermediate Data'!AE96="N/A"),"",'Intermediate Data'!AE96)</f>
        <v>4.8223933953954405E-2</v>
      </c>
      <c r="AE52" s="161" t="str">
        <f ca="1">IF(OR('Intermediate Data'!AF96="",'Intermediate Data'!AF96="N/A"),"",'Intermediate Data'!AF96)</f>
        <v/>
      </c>
      <c r="AF52" s="520"/>
      <c r="AG52" s="805">
        <f ca="1">IF(OR('Intermediate Data'!AN96="",'Intermediate Data'!AN96="N/A"),"",'Intermediate Data'!AN96)</f>
        <v>5.4316197866149371E-2</v>
      </c>
      <c r="AH52" s="805"/>
      <c r="AI52" s="805"/>
      <c r="AJ52" s="805"/>
      <c r="AK52" s="117"/>
      <c r="AL52" s="529" t="str">
        <f ca="1">IF(OR('Intermediate Data'!AI96="",'Intermediate Data'!AI96="N/A"),"",'Intermediate Data'!AI96)</f>
        <v/>
      </c>
      <c r="AM52" s="132">
        <f ca="1">IF(OR('Intermediate Data'!AJ96="",'Intermediate Data'!AJ96="N/A"),"",'Intermediate Data'!AJ96)</f>
        <v>5.5545740507961509E-2</v>
      </c>
      <c r="AN52" s="529" t="str">
        <f ca="1">IF(OR('Intermediate Data'!AK96="",'Intermediate Data'!AK96="N/A"),"",'Intermediate Data'!AK96)</f>
        <v/>
      </c>
      <c r="AO52" s="132">
        <f ca="1">IF(OR('Intermediate Data'!AL96="",'Intermediate Data'!AL96="N/A"),"",'Intermediate Data'!AL96)</f>
        <v>5.4316197866149371E-2</v>
      </c>
      <c r="AP52" s="163" t="str">
        <f ca="1">IF(OR('Intermediate Data'!AM96="",'Intermediate Data'!AM96="N/A"),"",'Intermediate Data'!AM96)</f>
        <v/>
      </c>
      <c r="AQ52" s="31"/>
      <c r="AR52" s="791" t="str">
        <f ca="1">IF('Intermediate Data'!AP96="","",'Intermediate Data'!AP96)</f>
        <v/>
      </c>
      <c r="AS52" s="791"/>
      <c r="AT52" s="31"/>
      <c r="AU52" s="148"/>
      <c r="AV52" s="804" t="str">
        <f ca="1">'Intermediate Data'!AQ96</f>
        <v/>
      </c>
      <c r="AW52" s="804"/>
      <c r="AX52" s="804"/>
      <c r="AY52" s="804"/>
      <c r="AZ52" s="117"/>
      <c r="BA52" s="150"/>
      <c r="BB52" s="803" t="str">
        <f ca="1">'Intermediate Data'!AR96</f>
        <v/>
      </c>
      <c r="BC52" s="803"/>
      <c r="BD52" s="803"/>
      <c r="BE52" s="803"/>
      <c r="BF52" s="692"/>
      <c r="BG52" s="31"/>
      <c r="BH52" s="31"/>
      <c r="BI52" s="30"/>
      <c r="BJ52" s="30"/>
      <c r="BK52" s="30"/>
      <c r="BL52" s="30"/>
      <c r="BM52" s="30"/>
      <c r="BN52" s="30"/>
      <c r="BO52" s="30"/>
      <c r="BP52" s="30"/>
      <c r="BQ52" s="30"/>
      <c r="BR52" s="30"/>
      <c r="BS52" s="30"/>
      <c r="BT52" s="30"/>
      <c r="BU52" s="30"/>
      <c r="BV52" s="30"/>
    </row>
    <row r="53" spans="1:74" x14ac:dyDescent="0.25">
      <c r="A53" s="30"/>
      <c r="B53" s="30"/>
      <c r="C53" s="30"/>
      <c r="D53" s="30"/>
      <c r="E53" s="30"/>
      <c r="F53" s="30"/>
      <c r="G53" s="30"/>
      <c r="H53" s="30"/>
      <c r="I53" s="30"/>
      <c r="J53" s="30"/>
      <c r="K53" s="30"/>
      <c r="L53" s="30"/>
      <c r="M53" s="30"/>
      <c r="N53" s="38" t="str">
        <f ca="1">'Intermediate Data'!AA97</f>
        <v>Exterior lighting fixtures</v>
      </c>
      <c r="O53" s="30"/>
      <c r="P53" s="30"/>
      <c r="Q53" s="30"/>
      <c r="R53" s="30"/>
      <c r="S53" s="30"/>
      <c r="T53" s="30"/>
      <c r="U53" s="148"/>
      <c r="V53" s="804" t="str">
        <f ca="1">IF(OR('Intermediate Data'!AG97="",'Intermediate Data'!AG97="N/A"),"",'Intermediate Data'!AG97)</f>
        <v/>
      </c>
      <c r="W53" s="804"/>
      <c r="X53" s="804"/>
      <c r="Y53" s="804"/>
      <c r="Z53" s="111"/>
      <c r="AA53" s="519" t="str">
        <f ca="1">IF(OR('Intermediate Data'!AB97="",'Intermediate Data'!AB97="N/A"),"",'Intermediate Data'!AB97)</f>
        <v/>
      </c>
      <c r="AB53" s="111" t="str">
        <f ca="1">IF(OR('Intermediate Data'!AC97="",'Intermediate Data'!AC97="N/A"),"",'Intermediate Data'!AC97)</f>
        <v/>
      </c>
      <c r="AC53" s="519" t="str">
        <f ca="1">IF(OR('Intermediate Data'!AD97="",'Intermediate Data'!AD97="N/A"),"",'Intermediate Data'!AD97)</f>
        <v/>
      </c>
      <c r="AD53" s="111" t="str">
        <f ca="1">IF(OR('Intermediate Data'!AE97="",'Intermediate Data'!AE97="N/A"),"",'Intermediate Data'!AE97)</f>
        <v/>
      </c>
      <c r="AE53" s="161" t="str">
        <f ca="1">IF(OR('Intermediate Data'!AF97="",'Intermediate Data'!AF97="N/A"),"",'Intermediate Data'!AF97)</f>
        <v/>
      </c>
      <c r="AF53" s="520"/>
      <c r="AG53" s="805" t="str">
        <f ca="1">IF(OR('Intermediate Data'!AN97="",'Intermediate Data'!AN97="N/A"),"",'Intermediate Data'!AN97)</f>
        <v/>
      </c>
      <c r="AH53" s="805"/>
      <c r="AI53" s="805"/>
      <c r="AJ53" s="805"/>
      <c r="AK53" s="117"/>
      <c r="AL53" s="529" t="str">
        <f ca="1">IF(OR('Intermediate Data'!AI97="",'Intermediate Data'!AI97="N/A"),"",'Intermediate Data'!AI97)</f>
        <v/>
      </c>
      <c r="AM53" s="132" t="str">
        <f ca="1">IF(OR('Intermediate Data'!AJ97="",'Intermediate Data'!AJ97="N/A"),"",'Intermediate Data'!AJ97)</f>
        <v/>
      </c>
      <c r="AN53" s="529" t="str">
        <f ca="1">IF(OR('Intermediate Data'!AK97="",'Intermediate Data'!AK97="N/A"),"",'Intermediate Data'!AK97)</f>
        <v/>
      </c>
      <c r="AO53" s="132" t="str">
        <f ca="1">IF(OR('Intermediate Data'!AL97="",'Intermediate Data'!AL97="N/A"),"",'Intermediate Data'!AL97)</f>
        <v/>
      </c>
      <c r="AP53" s="163" t="str">
        <f ca="1">IF(OR('Intermediate Data'!AM97="",'Intermediate Data'!AM97="N/A"),"",'Intermediate Data'!AM97)</f>
        <v/>
      </c>
      <c r="AQ53" s="31"/>
      <c r="AR53" s="791" t="str">
        <f ca="1">IF('Intermediate Data'!AP97="","",'Intermediate Data'!AP97)</f>
        <v/>
      </c>
      <c r="AS53" s="791"/>
      <c r="AT53" s="31"/>
      <c r="AU53" s="148"/>
      <c r="AV53" s="804" t="str">
        <f ca="1">'Intermediate Data'!AQ97</f>
        <v/>
      </c>
      <c r="AW53" s="804"/>
      <c r="AX53" s="804"/>
      <c r="AY53" s="804"/>
      <c r="AZ53" s="117"/>
      <c r="BA53" s="150"/>
      <c r="BB53" s="803" t="str">
        <f ca="1">'Intermediate Data'!AR97</f>
        <v/>
      </c>
      <c r="BC53" s="803"/>
      <c r="BD53" s="803"/>
      <c r="BE53" s="803"/>
      <c r="BF53" s="692"/>
      <c r="BG53" s="31"/>
      <c r="BH53" s="31"/>
      <c r="BI53" s="30"/>
      <c r="BJ53" s="30"/>
      <c r="BK53" s="30"/>
      <c r="BL53" s="30"/>
      <c r="BM53" s="30"/>
      <c r="BN53" s="30"/>
      <c r="BO53" s="30"/>
      <c r="BP53" s="30"/>
      <c r="BQ53" s="30"/>
      <c r="BR53" s="30"/>
      <c r="BS53" s="30"/>
      <c r="BT53" s="30"/>
      <c r="BU53" s="30"/>
      <c r="BV53" s="30"/>
    </row>
    <row r="54" spans="1:74" x14ac:dyDescent="0.25">
      <c r="A54" s="30"/>
      <c r="B54" s="30"/>
      <c r="C54" s="30"/>
      <c r="D54" s="30"/>
      <c r="E54" s="30"/>
      <c r="F54" s="30"/>
      <c r="G54" s="30"/>
      <c r="H54" s="30"/>
      <c r="I54" s="30"/>
      <c r="J54" s="30"/>
      <c r="K54" s="30"/>
      <c r="L54" s="30"/>
      <c r="M54" s="30"/>
      <c r="N54" s="38" t="str">
        <f ca="1">'Intermediate Data'!AA98</f>
        <v>External hard drive</v>
      </c>
      <c r="O54" s="30"/>
      <c r="P54" s="30"/>
      <c r="Q54" s="30"/>
      <c r="R54" s="30"/>
      <c r="S54" s="30"/>
      <c r="T54" s="30"/>
      <c r="U54" s="148"/>
      <c r="V54" s="804" t="str">
        <f ca="1">IF(OR('Intermediate Data'!AG98="",'Intermediate Data'!AG98="N/A"),"",'Intermediate Data'!AG98)</f>
        <v/>
      </c>
      <c r="W54" s="804"/>
      <c r="X54" s="804"/>
      <c r="Y54" s="804"/>
      <c r="Z54" s="111"/>
      <c r="AA54" s="519" t="str">
        <f ca="1">IF(OR('Intermediate Data'!AB98="",'Intermediate Data'!AB98="N/A"),"",'Intermediate Data'!AB98)</f>
        <v/>
      </c>
      <c r="AB54" s="111" t="str">
        <f ca="1">IF(OR('Intermediate Data'!AC98="",'Intermediate Data'!AC98="N/A"),"",'Intermediate Data'!AC98)</f>
        <v/>
      </c>
      <c r="AC54" s="519" t="str">
        <f ca="1">IF(OR('Intermediate Data'!AD98="",'Intermediate Data'!AD98="N/A"),"",'Intermediate Data'!AD98)</f>
        <v/>
      </c>
      <c r="AD54" s="111" t="str">
        <f ca="1">IF(OR('Intermediate Data'!AE98="",'Intermediate Data'!AE98="N/A"),"",'Intermediate Data'!AE98)</f>
        <v/>
      </c>
      <c r="AE54" s="161" t="str">
        <f ca="1">IF(OR('Intermediate Data'!AF98="",'Intermediate Data'!AF98="N/A"),"",'Intermediate Data'!AF98)</f>
        <v/>
      </c>
      <c r="AF54" s="520"/>
      <c r="AG54" s="805" t="str">
        <f ca="1">IF(OR('Intermediate Data'!AN98="",'Intermediate Data'!AN98="N/A"),"",'Intermediate Data'!AN98)</f>
        <v/>
      </c>
      <c r="AH54" s="805"/>
      <c r="AI54" s="805"/>
      <c r="AJ54" s="805"/>
      <c r="AK54" s="117"/>
      <c r="AL54" s="529" t="str">
        <f ca="1">IF(OR('Intermediate Data'!AI98="",'Intermediate Data'!AI98="N/A"),"",'Intermediate Data'!AI98)</f>
        <v/>
      </c>
      <c r="AM54" s="132" t="str">
        <f ca="1">IF(OR('Intermediate Data'!AJ98="",'Intermediate Data'!AJ98="N/A"),"",'Intermediate Data'!AJ98)</f>
        <v/>
      </c>
      <c r="AN54" s="529" t="str">
        <f ca="1">IF(OR('Intermediate Data'!AK98="",'Intermediate Data'!AK98="N/A"),"",'Intermediate Data'!AK98)</f>
        <v/>
      </c>
      <c r="AO54" s="132" t="str">
        <f ca="1">IF(OR('Intermediate Data'!AL98="",'Intermediate Data'!AL98="N/A"),"",'Intermediate Data'!AL98)</f>
        <v/>
      </c>
      <c r="AP54" s="163" t="str">
        <f ca="1">IF(OR('Intermediate Data'!AM98="",'Intermediate Data'!AM98="N/A"),"",'Intermediate Data'!AM98)</f>
        <v/>
      </c>
      <c r="AQ54" s="31"/>
      <c r="AR54" s="791" t="str">
        <f ca="1">IF('Intermediate Data'!AP98="","",'Intermediate Data'!AP98)</f>
        <v/>
      </c>
      <c r="AS54" s="791"/>
      <c r="AT54" s="31"/>
      <c r="AU54" s="148"/>
      <c r="AV54" s="804" t="str">
        <f ca="1">'Intermediate Data'!AQ98</f>
        <v/>
      </c>
      <c r="AW54" s="804"/>
      <c r="AX54" s="804"/>
      <c r="AY54" s="804"/>
      <c r="AZ54" s="117"/>
      <c r="BA54" s="150"/>
      <c r="BB54" s="803" t="str">
        <f ca="1">'Intermediate Data'!AR98</f>
        <v/>
      </c>
      <c r="BC54" s="803"/>
      <c r="BD54" s="803"/>
      <c r="BE54" s="803"/>
      <c r="BF54" s="692"/>
      <c r="BG54" s="31"/>
      <c r="BH54" s="31"/>
      <c r="BI54" s="30"/>
      <c r="BJ54" s="30"/>
      <c r="BK54" s="30"/>
      <c r="BL54" s="30"/>
      <c r="BM54" s="30"/>
      <c r="BN54" s="30"/>
      <c r="BO54" s="30"/>
      <c r="BP54" s="30"/>
      <c r="BQ54" s="30"/>
      <c r="BR54" s="30"/>
      <c r="BS54" s="30"/>
      <c r="BT54" s="30"/>
      <c r="BU54" s="30"/>
      <c r="BV54" s="30"/>
    </row>
    <row r="55" spans="1:74" x14ac:dyDescent="0.25">
      <c r="A55" s="30"/>
      <c r="B55" s="30"/>
      <c r="C55" s="30"/>
      <c r="D55" s="30"/>
      <c r="E55" s="30"/>
      <c r="F55" s="30"/>
      <c r="G55" s="30"/>
      <c r="H55" s="30"/>
      <c r="I55" s="30"/>
      <c r="J55" s="30"/>
      <c r="K55" s="30"/>
      <c r="L55" s="30"/>
      <c r="M55" s="30"/>
      <c r="N55" s="38" t="str">
        <f ca="1">'Intermediate Data'!AA99</f>
        <v>Fax</v>
      </c>
      <c r="O55" s="30"/>
      <c r="P55" s="30"/>
      <c r="Q55" s="30"/>
      <c r="R55" s="30"/>
      <c r="S55" s="30"/>
      <c r="T55" s="30"/>
      <c r="U55" s="148"/>
      <c r="V55" s="804">
        <f ca="1">IF(OR('Intermediate Data'!AG99="",'Intermediate Data'!AG99="N/A"),"",'Intermediate Data'!AG99)</f>
        <v>0.11733432045994785</v>
      </c>
      <c r="W55" s="804"/>
      <c r="X55" s="804"/>
      <c r="Y55" s="804"/>
      <c r="Z55" s="111"/>
      <c r="AA55" s="519" t="str">
        <f ca="1">IF(OR('Intermediate Data'!AB99="",'Intermediate Data'!AB99="N/A"),"",'Intermediate Data'!AB99)</f>
        <v/>
      </c>
      <c r="AB55" s="111">
        <f ca="1">IF(OR('Intermediate Data'!AC99="",'Intermediate Data'!AC99="N/A"),"",'Intermediate Data'!AC99)</f>
        <v>0.15970897337728876</v>
      </c>
      <c r="AC55" s="519" t="str">
        <f ca="1">IF(OR('Intermediate Data'!AD99="",'Intermediate Data'!AD99="N/A"),"",'Intermediate Data'!AD99)</f>
        <v/>
      </c>
      <c r="AD55" s="111">
        <f ca="1">IF(OR('Intermediate Data'!AE99="",'Intermediate Data'!AE99="N/A"),"",'Intermediate Data'!AE99)</f>
        <v>0.11733432045994785</v>
      </c>
      <c r="AE55" s="161" t="str">
        <f ca="1">IF(OR('Intermediate Data'!AF99="",'Intermediate Data'!AF99="N/A"),"",'Intermediate Data'!AF99)</f>
        <v/>
      </c>
      <c r="AF55" s="520"/>
      <c r="AG55" s="805">
        <f ca="1">IF(OR('Intermediate Data'!AN99="",'Intermediate Data'!AN99="N/A"),"",'Intermediate Data'!AN99)</f>
        <v>0.12187398914531972</v>
      </c>
      <c r="AH55" s="805"/>
      <c r="AI55" s="805"/>
      <c r="AJ55" s="805"/>
      <c r="AK55" s="117"/>
      <c r="AL55" s="529" t="str">
        <f ca="1">IF(OR('Intermediate Data'!AI99="",'Intermediate Data'!AI99="N/A"),"",'Intermediate Data'!AI99)</f>
        <v/>
      </c>
      <c r="AM55" s="132">
        <f ca="1">IF(OR('Intermediate Data'!AJ99="",'Intermediate Data'!AJ99="N/A"),"",'Intermediate Data'!AJ99)</f>
        <v>0.16434875207958524</v>
      </c>
      <c r="AN55" s="529" t="str">
        <f ca="1">IF(OR('Intermediate Data'!AK99="",'Intermediate Data'!AK99="N/A"),"",'Intermediate Data'!AK99)</f>
        <v/>
      </c>
      <c r="AO55" s="132">
        <f ca="1">IF(OR('Intermediate Data'!AL99="",'Intermediate Data'!AL99="N/A"),"",'Intermediate Data'!AL99)</f>
        <v>0.12187398914531972</v>
      </c>
      <c r="AP55" s="163" t="str">
        <f ca="1">IF(OR('Intermediate Data'!AM99="",'Intermediate Data'!AM99="N/A"),"",'Intermediate Data'!AM99)</f>
        <v/>
      </c>
      <c r="AQ55" s="31"/>
      <c r="AR55" s="791" t="str">
        <f ca="1">IF('Intermediate Data'!AP99="","",'Intermediate Data'!AP99)</f>
        <v/>
      </c>
      <c r="AS55" s="791"/>
      <c r="AT55" s="31"/>
      <c r="AU55" s="148"/>
      <c r="AV55" s="804">
        <f ca="1">'Intermediate Data'!AQ99</f>
        <v>7.0000000000000007E-2</v>
      </c>
      <c r="AW55" s="804"/>
      <c r="AX55" s="804"/>
      <c r="AY55" s="804"/>
      <c r="AZ55" s="117"/>
      <c r="BA55" s="150"/>
      <c r="BB55" s="803">
        <f ca="1">'Intermediate Data'!AR99</f>
        <v>46</v>
      </c>
      <c r="BC55" s="803"/>
      <c r="BD55" s="803"/>
      <c r="BE55" s="803"/>
      <c r="BF55" s="692"/>
      <c r="BG55" s="31"/>
      <c r="BH55" s="31"/>
      <c r="BI55" s="30"/>
      <c r="BJ55" s="30"/>
      <c r="BK55" s="30"/>
      <c r="BL55" s="30"/>
      <c r="BM55" s="30"/>
      <c r="BN55" s="30"/>
      <c r="BO55" s="30"/>
      <c r="BP55" s="30"/>
      <c r="BQ55" s="30"/>
      <c r="BR55" s="30"/>
      <c r="BS55" s="30"/>
      <c r="BT55" s="30"/>
      <c r="BU55" s="30"/>
      <c r="BV55" s="30"/>
    </row>
    <row r="56" spans="1:74" x14ac:dyDescent="0.25">
      <c r="A56" s="30"/>
      <c r="B56" s="30"/>
      <c r="C56" s="30"/>
      <c r="D56" s="30"/>
      <c r="E56" s="30"/>
      <c r="F56" s="30"/>
      <c r="G56" s="30"/>
      <c r="H56" s="30"/>
      <c r="I56" s="30"/>
      <c r="J56" s="30"/>
      <c r="K56" s="30"/>
      <c r="L56" s="30"/>
      <c r="M56" s="30"/>
      <c r="N56" s="38" t="str">
        <f ca="1">'Intermediate Data'!AA100</f>
        <v>Food processing</v>
      </c>
      <c r="O56" s="30"/>
      <c r="P56" s="30"/>
      <c r="Q56" s="30"/>
      <c r="R56" s="30"/>
      <c r="S56" s="30"/>
      <c r="T56" s="30"/>
      <c r="U56" s="148"/>
      <c r="V56" s="804" t="str">
        <f ca="1">IF(OR('Intermediate Data'!AG100="",'Intermediate Data'!AG100="N/A"),"",'Intermediate Data'!AG100)</f>
        <v/>
      </c>
      <c r="W56" s="804"/>
      <c r="X56" s="804"/>
      <c r="Y56" s="804"/>
      <c r="Z56" s="111"/>
      <c r="AA56" s="519" t="str">
        <f ca="1">IF(OR('Intermediate Data'!AB100="",'Intermediate Data'!AB100="N/A"),"",'Intermediate Data'!AB100)</f>
        <v/>
      </c>
      <c r="AB56" s="111" t="str">
        <f ca="1">IF(OR('Intermediate Data'!AC100="",'Intermediate Data'!AC100="N/A"),"",'Intermediate Data'!AC100)</f>
        <v/>
      </c>
      <c r="AC56" s="519" t="str">
        <f ca="1">IF(OR('Intermediate Data'!AD100="",'Intermediate Data'!AD100="N/A"),"",'Intermediate Data'!AD100)</f>
        <v/>
      </c>
      <c r="AD56" s="111" t="str">
        <f ca="1">IF(OR('Intermediate Data'!AE100="",'Intermediate Data'!AE100="N/A"),"",'Intermediate Data'!AE100)</f>
        <v/>
      </c>
      <c r="AE56" s="161" t="str">
        <f ca="1">IF(OR('Intermediate Data'!AF100="",'Intermediate Data'!AF100="N/A"),"",'Intermediate Data'!AF100)</f>
        <v/>
      </c>
      <c r="AF56" s="520"/>
      <c r="AG56" s="805" t="str">
        <f ca="1">IF(OR('Intermediate Data'!AN100="",'Intermediate Data'!AN100="N/A"),"",'Intermediate Data'!AN100)</f>
        <v/>
      </c>
      <c r="AH56" s="805"/>
      <c r="AI56" s="805"/>
      <c r="AJ56" s="805"/>
      <c r="AK56" s="117"/>
      <c r="AL56" s="529" t="str">
        <f ca="1">IF(OR('Intermediate Data'!AI100="",'Intermediate Data'!AI100="N/A"),"",'Intermediate Data'!AI100)</f>
        <v/>
      </c>
      <c r="AM56" s="132" t="str">
        <f ca="1">IF(OR('Intermediate Data'!AJ100="",'Intermediate Data'!AJ100="N/A"),"",'Intermediate Data'!AJ100)</f>
        <v/>
      </c>
      <c r="AN56" s="529" t="str">
        <f ca="1">IF(OR('Intermediate Data'!AK100="",'Intermediate Data'!AK100="N/A"),"",'Intermediate Data'!AK100)</f>
        <v/>
      </c>
      <c r="AO56" s="132" t="str">
        <f ca="1">IF(OR('Intermediate Data'!AL100="",'Intermediate Data'!AL100="N/A"),"",'Intermediate Data'!AL100)</f>
        <v/>
      </c>
      <c r="AP56" s="163" t="str">
        <f ca="1">IF(OR('Intermediate Data'!AM100="",'Intermediate Data'!AM100="N/A"),"",'Intermediate Data'!AM100)</f>
        <v/>
      </c>
      <c r="AQ56" s="31"/>
      <c r="AR56" s="791" t="str">
        <f ca="1">IF('Intermediate Data'!AP100="","",'Intermediate Data'!AP100)</f>
        <v/>
      </c>
      <c r="AS56" s="791"/>
      <c r="AT56" s="31"/>
      <c r="AU56" s="148"/>
      <c r="AV56" s="804" t="str">
        <f ca="1">'Intermediate Data'!AQ100</f>
        <v/>
      </c>
      <c r="AW56" s="804"/>
      <c r="AX56" s="804"/>
      <c r="AY56" s="804"/>
      <c r="AZ56" s="117"/>
      <c r="BA56" s="150"/>
      <c r="BB56" s="803" t="str">
        <f ca="1">'Intermediate Data'!AR100</f>
        <v/>
      </c>
      <c r="BC56" s="803"/>
      <c r="BD56" s="803"/>
      <c r="BE56" s="803"/>
      <c r="BF56" s="692"/>
      <c r="BG56" s="31"/>
      <c r="BH56" s="31"/>
      <c r="BI56" s="30"/>
      <c r="BJ56" s="30"/>
      <c r="BK56" s="30"/>
      <c r="BL56" s="30"/>
      <c r="BM56" s="30"/>
      <c r="BN56" s="30"/>
      <c r="BO56" s="30"/>
      <c r="BP56" s="30"/>
      <c r="BQ56" s="30"/>
      <c r="BR56" s="30"/>
      <c r="BS56" s="30"/>
      <c r="BT56" s="30"/>
      <c r="BU56" s="30"/>
      <c r="BV56" s="30"/>
    </row>
    <row r="57" spans="1:74" x14ac:dyDescent="0.25">
      <c r="A57" s="30"/>
      <c r="B57" s="30"/>
      <c r="C57" s="30"/>
      <c r="D57" s="30"/>
      <c r="E57" s="30"/>
      <c r="F57" s="30"/>
      <c r="G57" s="30"/>
      <c r="H57" s="30"/>
      <c r="I57" s="30"/>
      <c r="J57" s="30"/>
      <c r="K57" s="30"/>
      <c r="L57" s="30"/>
      <c r="M57" s="30"/>
      <c r="N57" s="38" t="str">
        <f ca="1">'Intermediate Data'!AA101</f>
        <v>Furnace - Fan</v>
      </c>
      <c r="O57" s="30"/>
      <c r="P57" s="30"/>
      <c r="Q57" s="30"/>
      <c r="R57" s="30"/>
      <c r="S57" s="30"/>
      <c r="T57" s="30"/>
      <c r="U57" s="148"/>
      <c r="V57" s="804">
        <f ca="1">IF(OR('Intermediate Data'!AG101="",'Intermediate Data'!AG101="N/A"),"",'Intermediate Data'!AG101)</f>
        <v>0.68936399999999998</v>
      </c>
      <c r="W57" s="804"/>
      <c r="X57" s="804"/>
      <c r="Y57" s="804"/>
      <c r="Z57" s="111"/>
      <c r="AA57" s="519">
        <f ca="1">IF(OR('Intermediate Data'!AB101="",'Intermediate Data'!AB101="N/A"),"",'Intermediate Data'!AB101)</f>
        <v>0.58269199999999999</v>
      </c>
      <c r="AB57" s="111">
        <f ca="1">IF(OR('Intermediate Data'!AC101="",'Intermediate Data'!AC101="N/A"),"",'Intermediate Data'!AC101)</f>
        <v>0.67590187079030495</v>
      </c>
      <c r="AC57" s="519">
        <f ca="1">IF(OR('Intermediate Data'!AD101="",'Intermediate Data'!AD101="N/A"),"",'Intermediate Data'!AD101)</f>
        <v>0.69460800000000011</v>
      </c>
      <c r="AD57" s="111">
        <f ca="1">IF(OR('Intermediate Data'!AE101="",'Intermediate Data'!AE101="N/A"),"",'Intermediate Data'!AE101)</f>
        <v>0.76206924418829702</v>
      </c>
      <c r="AE57" s="161">
        <f ca="1">IF(OR('Intermediate Data'!AF101="",'Intermediate Data'!AF101="N/A"),"",'Intermediate Data'!AF101)</f>
        <v>0.68936399999999998</v>
      </c>
      <c r="AF57" s="520"/>
      <c r="AG57" s="805" t="str">
        <f ca="1">IF(OR('Intermediate Data'!AN101="",'Intermediate Data'!AN101="N/A"),"",'Intermediate Data'!AN101)</f>
        <v/>
      </c>
      <c r="AH57" s="805"/>
      <c r="AI57" s="805"/>
      <c r="AJ57" s="805"/>
      <c r="AK57" s="117"/>
      <c r="AL57" s="529" t="str">
        <f ca="1">IF(OR('Intermediate Data'!AI101="",'Intermediate Data'!AI101="N/A"),"",'Intermediate Data'!AI101)</f>
        <v/>
      </c>
      <c r="AM57" s="132" t="str">
        <f ca="1">IF(OR('Intermediate Data'!AJ101="",'Intermediate Data'!AJ101="N/A"),"",'Intermediate Data'!AJ101)</f>
        <v/>
      </c>
      <c r="AN57" s="529" t="str">
        <f ca="1">IF(OR('Intermediate Data'!AK101="",'Intermediate Data'!AK101="N/A"),"",'Intermediate Data'!AK101)</f>
        <v/>
      </c>
      <c r="AO57" s="132" t="str">
        <f ca="1">IF(OR('Intermediate Data'!AL101="",'Intermediate Data'!AL101="N/A"),"",'Intermediate Data'!AL101)</f>
        <v/>
      </c>
      <c r="AP57" s="163" t="str">
        <f ca="1">IF(OR('Intermediate Data'!AM101="",'Intermediate Data'!AM101="N/A"),"",'Intermediate Data'!AM101)</f>
        <v/>
      </c>
      <c r="AQ57" s="31"/>
      <c r="AR57" s="791" t="str">
        <f ca="1">IF('Intermediate Data'!AP101="","",'Intermediate Data'!AP101)</f>
        <v/>
      </c>
      <c r="AS57" s="791"/>
      <c r="AT57" s="31"/>
      <c r="AU57" s="148"/>
      <c r="AV57" s="804" t="str">
        <f ca="1">'Intermediate Data'!AQ101</f>
        <v>Not published</v>
      </c>
      <c r="AW57" s="804"/>
      <c r="AX57" s="804"/>
      <c r="AY57" s="804"/>
      <c r="AZ57" s="117"/>
      <c r="BA57" s="150"/>
      <c r="BB57" s="803">
        <f ca="1">'Intermediate Data'!AR101</f>
        <v>55</v>
      </c>
      <c r="BC57" s="803"/>
      <c r="BD57" s="803"/>
      <c r="BE57" s="803"/>
      <c r="BF57" s="692"/>
      <c r="BG57" s="31"/>
      <c r="BH57" s="31"/>
      <c r="BI57" s="30"/>
      <c r="BJ57" s="30"/>
      <c r="BK57" s="30"/>
      <c r="BL57" s="30"/>
      <c r="BM57" s="30"/>
      <c r="BN57" s="30"/>
      <c r="BO57" s="30"/>
      <c r="BP57" s="30"/>
      <c r="BQ57" s="30"/>
      <c r="BR57" s="30"/>
      <c r="BS57" s="30"/>
      <c r="BT57" s="30"/>
      <c r="BU57" s="30"/>
      <c r="BV57" s="30"/>
    </row>
    <row r="58" spans="1:74" x14ac:dyDescent="0.25">
      <c r="A58" s="30"/>
      <c r="B58" s="30"/>
      <c r="C58" s="30"/>
      <c r="D58" s="30"/>
      <c r="E58" s="30"/>
      <c r="F58" s="30"/>
      <c r="G58" s="30"/>
      <c r="H58" s="30"/>
      <c r="I58" s="30"/>
      <c r="J58" s="30"/>
      <c r="K58" s="30"/>
      <c r="L58" s="30"/>
      <c r="M58" s="30"/>
      <c r="N58" s="38" t="str">
        <f ca="1">'Intermediate Data'!AA102</f>
        <v>Game console</v>
      </c>
      <c r="O58" s="30"/>
      <c r="P58" s="30"/>
      <c r="Q58" s="30"/>
      <c r="R58" s="30"/>
      <c r="S58" s="30"/>
      <c r="T58" s="30"/>
      <c r="U58" s="148"/>
      <c r="V58" s="804">
        <f ca="1">IF(OR('Intermediate Data'!AG102="",'Intermediate Data'!AG102="N/A"),"",'Intermediate Data'!AG102)</f>
        <v>0.37703399999999998</v>
      </c>
      <c r="W58" s="804"/>
      <c r="X58" s="804"/>
      <c r="Y58" s="804"/>
      <c r="Z58" s="111"/>
      <c r="AA58" s="519" t="str">
        <f ca="1">IF(OR('Intermediate Data'!AB102="",'Intermediate Data'!AB102="N/A"),"",'Intermediate Data'!AB102)</f>
        <v/>
      </c>
      <c r="AB58" s="111" t="str">
        <f ca="1">IF(OR('Intermediate Data'!AC102="",'Intermediate Data'!AC102="N/A"),"",'Intermediate Data'!AC102)</f>
        <v/>
      </c>
      <c r="AC58" s="519" t="str">
        <f ca="1">IF(OR('Intermediate Data'!AD102="",'Intermediate Data'!AD102="N/A"),"",'Intermediate Data'!AD102)</f>
        <v/>
      </c>
      <c r="AD58" s="111">
        <f ca="1">IF(OR('Intermediate Data'!AE102="",'Intermediate Data'!AE102="N/A"),"",'Intermediate Data'!AE102)</f>
        <v>0.29154011697021659</v>
      </c>
      <c r="AE58" s="161">
        <f ca="1">IF(OR('Intermediate Data'!AF102="",'Intermediate Data'!AF102="N/A"),"",'Intermediate Data'!AF102)</f>
        <v>0.37703399999999998</v>
      </c>
      <c r="AF58" s="520"/>
      <c r="AG58" s="805">
        <f ca="1">IF(OR('Intermediate Data'!AN102="",'Intermediate Data'!AN102="N/A"),"",'Intermediate Data'!AN102)</f>
        <v>0.47099999999999997</v>
      </c>
      <c r="AH58" s="805"/>
      <c r="AI58" s="805"/>
      <c r="AJ58" s="805"/>
      <c r="AK58" s="117"/>
      <c r="AL58" s="529" t="str">
        <f ca="1">IF(OR('Intermediate Data'!AI102="",'Intermediate Data'!AI102="N/A"),"",'Intermediate Data'!AI102)</f>
        <v/>
      </c>
      <c r="AM58" s="132" t="str">
        <f ca="1">IF(OR('Intermediate Data'!AJ102="",'Intermediate Data'!AJ102="N/A"),"",'Intermediate Data'!AJ102)</f>
        <v/>
      </c>
      <c r="AN58" s="529" t="str">
        <f ca="1">IF(OR('Intermediate Data'!AK102="",'Intermediate Data'!AK102="N/A"),"",'Intermediate Data'!AK102)</f>
        <v/>
      </c>
      <c r="AO58" s="132" t="str">
        <f ca="1">IF(OR('Intermediate Data'!AL102="",'Intermediate Data'!AL102="N/A"),"",'Intermediate Data'!AL102)</f>
        <v/>
      </c>
      <c r="AP58" s="163">
        <f ca="1">IF(OR('Intermediate Data'!AM102="",'Intermediate Data'!AM102="N/A"),"",'Intermediate Data'!AM102)</f>
        <v>0.47099999999999997</v>
      </c>
      <c r="AQ58" s="31"/>
      <c r="AR58" s="791" t="str">
        <f ca="1">IF('Intermediate Data'!AP102="","",'Intermediate Data'!AP102)</f>
        <v/>
      </c>
      <c r="AS58" s="791"/>
      <c r="AT58" s="31"/>
      <c r="AU58" s="148"/>
      <c r="AV58" s="804" t="str">
        <f ca="1">'Intermediate Data'!AQ102</f>
        <v/>
      </c>
      <c r="AW58" s="804"/>
      <c r="AX58" s="804"/>
      <c r="AY58" s="804"/>
      <c r="AZ58" s="117"/>
      <c r="BA58" s="150"/>
      <c r="BB58" s="803" t="str">
        <f ca="1">'Intermediate Data'!AR102</f>
        <v/>
      </c>
      <c r="BC58" s="803"/>
      <c r="BD58" s="803"/>
      <c r="BE58" s="803"/>
      <c r="BF58" s="692"/>
      <c r="BG58" s="31"/>
      <c r="BH58" s="31"/>
      <c r="BI58" s="30"/>
      <c r="BJ58" s="30"/>
      <c r="BK58" s="30"/>
      <c r="BL58" s="30"/>
      <c r="BM58" s="30"/>
      <c r="BN58" s="30"/>
      <c r="BO58" s="30"/>
      <c r="BP58" s="30"/>
      <c r="BQ58" s="30"/>
      <c r="BR58" s="30"/>
      <c r="BS58" s="30"/>
      <c r="BT58" s="30"/>
      <c r="BU58" s="30"/>
      <c r="BV58" s="30"/>
    </row>
    <row r="59" spans="1:74" x14ac:dyDescent="0.25">
      <c r="A59" s="30"/>
      <c r="B59" s="30"/>
      <c r="C59" s="30"/>
      <c r="D59" s="30"/>
      <c r="E59" s="30"/>
      <c r="F59" s="30"/>
      <c r="G59" s="30"/>
      <c r="H59" s="30"/>
      <c r="I59" s="30"/>
      <c r="J59" s="30"/>
      <c r="K59" s="30"/>
      <c r="L59" s="30"/>
      <c r="M59" s="30"/>
      <c r="N59" s="38" t="str">
        <f ca="1">'Intermediate Data'!AA103</f>
        <v>Garage door opener</v>
      </c>
      <c r="O59" s="30"/>
      <c r="P59" s="30"/>
      <c r="Q59" s="30"/>
      <c r="R59" s="30"/>
      <c r="S59" s="30"/>
      <c r="T59" s="30"/>
      <c r="U59" s="148"/>
      <c r="V59" s="804">
        <f ca="1">IF(OR('Intermediate Data'!AG103="",'Intermediate Data'!AG103="N/A"),"",'Intermediate Data'!AG103)</f>
        <v>0.48344731109113542</v>
      </c>
      <c r="W59" s="804"/>
      <c r="X59" s="804"/>
      <c r="Y59" s="804"/>
      <c r="Z59" s="111"/>
      <c r="AA59" s="519" t="str">
        <f ca="1">IF(OR('Intermediate Data'!AB103="",'Intermediate Data'!AB103="N/A"),"",'Intermediate Data'!AB103)</f>
        <v/>
      </c>
      <c r="AB59" s="111">
        <f ca="1">IF(OR('Intermediate Data'!AC103="",'Intermediate Data'!AC103="N/A"),"",'Intermediate Data'!AC103)</f>
        <v>0.408969211023756</v>
      </c>
      <c r="AC59" s="519" t="str">
        <f ca="1">IF(OR('Intermediate Data'!AD103="",'Intermediate Data'!AD103="N/A"),"",'Intermediate Data'!AD103)</f>
        <v/>
      </c>
      <c r="AD59" s="111">
        <f ca="1">IF(OR('Intermediate Data'!AE103="",'Intermediate Data'!AE103="N/A"),"",'Intermediate Data'!AE103)</f>
        <v>0.48344731109113542</v>
      </c>
      <c r="AE59" s="161" t="str">
        <f ca="1">IF(OR('Intermediate Data'!AF103="",'Intermediate Data'!AF103="N/A"),"",'Intermediate Data'!AF103)</f>
        <v/>
      </c>
      <c r="AF59" s="520"/>
      <c r="AG59" s="805">
        <f ca="1">IF(OR('Intermediate Data'!AN103="",'Intermediate Data'!AN103="N/A"),"",'Intermediate Data'!AN103)</f>
        <v>0.56064717755939975</v>
      </c>
      <c r="AH59" s="805"/>
      <c r="AI59" s="805"/>
      <c r="AJ59" s="805"/>
      <c r="AK59" s="117"/>
      <c r="AL59" s="529" t="str">
        <f ca="1">IF(OR('Intermediate Data'!AI103="",'Intermediate Data'!AI103="N/A"),"",'Intermediate Data'!AI103)</f>
        <v/>
      </c>
      <c r="AM59" s="132">
        <f ca="1">IF(OR('Intermediate Data'!AJ103="",'Intermediate Data'!AJ103="N/A"),"",'Intermediate Data'!AJ103)</f>
        <v>0.46079323750365508</v>
      </c>
      <c r="AN59" s="529" t="str">
        <f ca="1">IF(OR('Intermediate Data'!AK103="",'Intermediate Data'!AK103="N/A"),"",'Intermediate Data'!AK103)</f>
        <v/>
      </c>
      <c r="AO59" s="132">
        <f ca="1">IF(OR('Intermediate Data'!AL103="",'Intermediate Data'!AL103="N/A"),"",'Intermediate Data'!AL103)</f>
        <v>0.56064717755939975</v>
      </c>
      <c r="AP59" s="163" t="str">
        <f ca="1">IF(OR('Intermediate Data'!AM103="",'Intermediate Data'!AM103="N/A"),"",'Intermediate Data'!AM103)</f>
        <v/>
      </c>
      <c r="AQ59" s="693"/>
      <c r="AR59" s="791" t="str">
        <f ca="1">IF('Intermediate Data'!AP103="","",'Intermediate Data'!AP103)</f>
        <v/>
      </c>
      <c r="AS59" s="791"/>
      <c r="AT59" s="693"/>
      <c r="AU59" s="150"/>
      <c r="AV59" s="804" t="str">
        <f ca="1">'Intermediate Data'!AQ103</f>
        <v/>
      </c>
      <c r="AW59" s="804"/>
      <c r="AX59" s="804"/>
      <c r="AY59" s="804"/>
      <c r="AZ59" s="117"/>
      <c r="BA59" s="150"/>
      <c r="BB59" s="803" t="str">
        <f ca="1">'Intermediate Data'!AR103</f>
        <v/>
      </c>
      <c r="BC59" s="803"/>
      <c r="BD59" s="803"/>
      <c r="BE59" s="803"/>
      <c r="BF59" s="692"/>
      <c r="BG59" s="31"/>
      <c r="BH59" s="31"/>
      <c r="BI59" s="30"/>
      <c r="BJ59" s="30"/>
      <c r="BK59" s="30"/>
      <c r="BL59" s="30"/>
      <c r="BM59" s="30"/>
      <c r="BN59" s="30"/>
      <c r="BO59" s="30"/>
      <c r="BP59" s="30"/>
      <c r="BQ59" s="30"/>
      <c r="BR59" s="30"/>
      <c r="BS59" s="30"/>
      <c r="BT59" s="30"/>
      <c r="BU59" s="30"/>
      <c r="BV59" s="30"/>
    </row>
    <row r="60" spans="1:74" x14ac:dyDescent="0.25">
      <c r="A60" s="30"/>
      <c r="B60" s="30"/>
      <c r="C60" s="30"/>
      <c r="D60" s="30"/>
      <c r="E60" s="30"/>
      <c r="F60" s="30"/>
      <c r="G60" s="30"/>
      <c r="H60" s="30"/>
      <c r="I60" s="30"/>
      <c r="J60" s="30"/>
      <c r="K60" s="30"/>
      <c r="L60" s="30"/>
      <c r="M60" s="30"/>
      <c r="N60" s="38" t="str">
        <f ca="1">'Intermediate Data'!AA104</f>
        <v>Grow lights</v>
      </c>
      <c r="O60" s="30"/>
      <c r="P60" s="30"/>
      <c r="Q60" s="30"/>
      <c r="R60" s="30"/>
      <c r="S60" s="30"/>
      <c r="T60" s="30"/>
      <c r="U60" s="148"/>
      <c r="V60" s="804" t="str">
        <f ca="1">IF(OR('Intermediate Data'!AG104="",'Intermediate Data'!AG104="N/A"),"",'Intermediate Data'!AG104)</f>
        <v/>
      </c>
      <c r="W60" s="804"/>
      <c r="X60" s="804"/>
      <c r="Y60" s="804"/>
      <c r="Z60" s="111"/>
      <c r="AA60" s="519" t="str">
        <f ca="1">IF(OR('Intermediate Data'!AB104="",'Intermediate Data'!AB104="N/A"),"",'Intermediate Data'!AB104)</f>
        <v/>
      </c>
      <c r="AB60" s="111" t="str">
        <f ca="1">IF(OR('Intermediate Data'!AC104="",'Intermediate Data'!AC104="N/A"),"",'Intermediate Data'!AC104)</f>
        <v/>
      </c>
      <c r="AC60" s="519" t="str">
        <f ca="1">IF(OR('Intermediate Data'!AD104="",'Intermediate Data'!AD104="N/A"),"",'Intermediate Data'!AD104)</f>
        <v/>
      </c>
      <c r="AD60" s="111" t="str">
        <f ca="1">IF(OR('Intermediate Data'!AE104="",'Intermediate Data'!AE104="N/A"),"",'Intermediate Data'!AE104)</f>
        <v/>
      </c>
      <c r="AE60" s="161" t="str">
        <f ca="1">IF(OR('Intermediate Data'!AF104="",'Intermediate Data'!AF104="N/A"),"",'Intermediate Data'!AF104)</f>
        <v/>
      </c>
      <c r="AF60" s="520"/>
      <c r="AG60" s="805" t="str">
        <f ca="1">IF(OR('Intermediate Data'!AN104="",'Intermediate Data'!AN104="N/A"),"",'Intermediate Data'!AN104)</f>
        <v/>
      </c>
      <c r="AH60" s="805"/>
      <c r="AI60" s="805"/>
      <c r="AJ60" s="805"/>
      <c r="AK60" s="117"/>
      <c r="AL60" s="529" t="str">
        <f ca="1">IF(OR('Intermediate Data'!AI104="",'Intermediate Data'!AI104="N/A"),"",'Intermediate Data'!AI104)</f>
        <v/>
      </c>
      <c r="AM60" s="132" t="str">
        <f ca="1">IF(OR('Intermediate Data'!AJ104="",'Intermediate Data'!AJ104="N/A"),"",'Intermediate Data'!AJ104)</f>
        <v/>
      </c>
      <c r="AN60" s="529" t="str">
        <f ca="1">IF(OR('Intermediate Data'!AK104="",'Intermediate Data'!AK104="N/A"),"",'Intermediate Data'!AK104)</f>
        <v/>
      </c>
      <c r="AO60" s="132" t="str">
        <f ca="1">IF(OR('Intermediate Data'!AL104="",'Intermediate Data'!AL104="N/A"),"",'Intermediate Data'!AL104)</f>
        <v/>
      </c>
      <c r="AP60" s="163" t="str">
        <f ca="1">IF(OR('Intermediate Data'!AM104="",'Intermediate Data'!AM104="N/A"),"",'Intermediate Data'!AM104)</f>
        <v/>
      </c>
      <c r="AQ60" s="693"/>
      <c r="AR60" s="791" t="str">
        <f ca="1">IF('Intermediate Data'!AP104="","",'Intermediate Data'!AP104)</f>
        <v/>
      </c>
      <c r="AS60" s="791"/>
      <c r="AT60" s="693"/>
      <c r="AU60" s="150"/>
      <c r="AV60" s="804" t="str">
        <f ca="1">'Intermediate Data'!AQ104</f>
        <v/>
      </c>
      <c r="AW60" s="804"/>
      <c r="AX60" s="804"/>
      <c r="AY60" s="804"/>
      <c r="AZ60" s="117"/>
      <c r="BA60" s="150"/>
      <c r="BB60" s="803" t="str">
        <f ca="1">'Intermediate Data'!AR104</f>
        <v/>
      </c>
      <c r="BC60" s="803"/>
      <c r="BD60" s="803"/>
      <c r="BE60" s="803"/>
      <c r="BF60" s="692"/>
      <c r="BG60" s="31"/>
      <c r="BH60" s="31"/>
      <c r="BI60" s="30"/>
      <c r="BJ60" s="30"/>
      <c r="BK60" s="30"/>
      <c r="BL60" s="30"/>
      <c r="BM60" s="30"/>
      <c r="BN60" s="30"/>
      <c r="BO60" s="30"/>
      <c r="BP60" s="30"/>
      <c r="BQ60" s="30"/>
      <c r="BR60" s="30"/>
      <c r="BS60" s="30"/>
      <c r="BT60" s="30"/>
      <c r="BU60" s="30"/>
      <c r="BV60" s="30"/>
    </row>
    <row r="61" spans="1:74" x14ac:dyDescent="0.25">
      <c r="A61" s="30"/>
      <c r="B61" s="30"/>
      <c r="C61" s="30"/>
      <c r="D61" s="30"/>
      <c r="E61" s="30"/>
      <c r="F61" s="30"/>
      <c r="G61" s="30"/>
      <c r="H61" s="30"/>
      <c r="I61" s="30"/>
      <c r="J61" s="30"/>
      <c r="K61" s="30"/>
      <c r="L61" s="30"/>
      <c r="M61" s="30"/>
      <c r="N61" s="38" t="str">
        <f ca="1">'Intermediate Data'!AA105</f>
        <v>Hair dryer - Blow dryer</v>
      </c>
      <c r="O61" s="30"/>
      <c r="P61" s="30"/>
      <c r="Q61" s="30"/>
      <c r="R61" s="30"/>
      <c r="S61" s="30"/>
      <c r="T61" s="30"/>
      <c r="U61" s="148"/>
      <c r="V61" s="804" t="str">
        <f ca="1">IF(OR('Intermediate Data'!AG105="",'Intermediate Data'!AG105="N/A"),"",'Intermediate Data'!AG105)</f>
        <v/>
      </c>
      <c r="W61" s="804"/>
      <c r="X61" s="804"/>
      <c r="Y61" s="804"/>
      <c r="Z61" s="111"/>
      <c r="AA61" s="519" t="str">
        <f ca="1">IF(OR('Intermediate Data'!AB105="",'Intermediate Data'!AB105="N/A"),"",'Intermediate Data'!AB105)</f>
        <v/>
      </c>
      <c r="AB61" s="111" t="str">
        <f ca="1">IF(OR('Intermediate Data'!AC105="",'Intermediate Data'!AC105="N/A"),"",'Intermediate Data'!AC105)</f>
        <v/>
      </c>
      <c r="AC61" s="519" t="str">
        <f ca="1">IF(OR('Intermediate Data'!AD105="",'Intermediate Data'!AD105="N/A"),"",'Intermediate Data'!AD105)</f>
        <v/>
      </c>
      <c r="AD61" s="111" t="str">
        <f ca="1">IF(OR('Intermediate Data'!AE105="",'Intermediate Data'!AE105="N/A"),"",'Intermediate Data'!AE105)</f>
        <v/>
      </c>
      <c r="AE61" s="161" t="str">
        <f ca="1">IF(OR('Intermediate Data'!AF105="",'Intermediate Data'!AF105="N/A"),"",'Intermediate Data'!AF105)</f>
        <v/>
      </c>
      <c r="AF61" s="520"/>
      <c r="AG61" s="805" t="str">
        <f ca="1">IF(OR('Intermediate Data'!AN105="",'Intermediate Data'!AN105="N/A"),"",'Intermediate Data'!AN105)</f>
        <v/>
      </c>
      <c r="AH61" s="805"/>
      <c r="AI61" s="805"/>
      <c r="AJ61" s="805"/>
      <c r="AK61" s="117"/>
      <c r="AL61" s="529" t="str">
        <f ca="1">IF(OR('Intermediate Data'!AI105="",'Intermediate Data'!AI105="N/A"),"",'Intermediate Data'!AI105)</f>
        <v/>
      </c>
      <c r="AM61" s="132" t="str">
        <f ca="1">IF(OR('Intermediate Data'!AJ105="",'Intermediate Data'!AJ105="N/A"),"",'Intermediate Data'!AJ105)</f>
        <v/>
      </c>
      <c r="AN61" s="529" t="str">
        <f ca="1">IF(OR('Intermediate Data'!AK105="",'Intermediate Data'!AK105="N/A"),"",'Intermediate Data'!AK105)</f>
        <v/>
      </c>
      <c r="AO61" s="132" t="str">
        <f ca="1">IF(OR('Intermediate Data'!AL105="",'Intermediate Data'!AL105="N/A"),"",'Intermediate Data'!AL105)</f>
        <v/>
      </c>
      <c r="AP61" s="163" t="str">
        <f ca="1">IF(OR('Intermediate Data'!AM105="",'Intermediate Data'!AM105="N/A"),"",'Intermediate Data'!AM105)</f>
        <v/>
      </c>
      <c r="AQ61" s="693"/>
      <c r="AR61" s="791" t="str">
        <f ca="1">IF('Intermediate Data'!AP105="","",'Intermediate Data'!AP105)</f>
        <v/>
      </c>
      <c r="AS61" s="791"/>
      <c r="AT61" s="693"/>
      <c r="AU61" s="150"/>
      <c r="AV61" s="804" t="str">
        <f ca="1">'Intermediate Data'!AQ105</f>
        <v/>
      </c>
      <c r="AW61" s="804"/>
      <c r="AX61" s="804"/>
      <c r="AY61" s="804"/>
      <c r="AZ61" s="117"/>
      <c r="BA61" s="150"/>
      <c r="BB61" s="803" t="str">
        <f ca="1">'Intermediate Data'!AR105</f>
        <v/>
      </c>
      <c r="BC61" s="803"/>
      <c r="BD61" s="803"/>
      <c r="BE61" s="803"/>
      <c r="BF61" s="692"/>
      <c r="BG61" s="31"/>
      <c r="BH61" s="31"/>
      <c r="BI61" s="30"/>
      <c r="BJ61" s="30"/>
      <c r="BK61" s="30"/>
      <c r="BL61" s="30"/>
      <c r="BM61" s="30"/>
      <c r="BN61" s="30"/>
      <c r="BO61" s="30"/>
      <c r="BP61" s="30"/>
      <c r="BQ61" s="30"/>
      <c r="BR61" s="30"/>
      <c r="BS61" s="30"/>
      <c r="BT61" s="30"/>
      <c r="BU61" s="30"/>
      <c r="BV61" s="30"/>
    </row>
    <row r="62" spans="1:74" x14ac:dyDescent="0.25">
      <c r="A62" s="30"/>
      <c r="B62" s="30"/>
      <c r="C62" s="30"/>
      <c r="D62" s="30"/>
      <c r="E62" s="30"/>
      <c r="F62" s="30"/>
      <c r="G62" s="30"/>
      <c r="H62" s="30"/>
      <c r="I62" s="30"/>
      <c r="J62" s="30"/>
      <c r="K62" s="30"/>
      <c r="L62" s="30"/>
      <c r="M62" s="30"/>
      <c r="N62" s="38" t="str">
        <f ca="1">'Intermediate Data'!AA106</f>
        <v>Heat pump</v>
      </c>
      <c r="O62" s="30"/>
      <c r="P62" s="30"/>
      <c r="Q62" s="30"/>
      <c r="R62" s="30"/>
      <c r="S62" s="30"/>
      <c r="T62" s="30"/>
      <c r="U62" s="148"/>
      <c r="V62" s="804">
        <f ca="1">IF(OR('Intermediate Data'!AG106="",'Intermediate Data'!AG106="N/A"),"",'Intermediate Data'!AG106)</f>
        <v>2.2585999999999998E-2</v>
      </c>
      <c r="W62" s="804"/>
      <c r="X62" s="804"/>
      <c r="Y62" s="804"/>
      <c r="Z62" s="111"/>
      <c r="AA62" s="519">
        <f ca="1">IF(OR('Intermediate Data'!AB106="",'Intermediate Data'!AB106="N/A"),"",'Intermediate Data'!AB106)</f>
        <v>4.3999999999999997E-2</v>
      </c>
      <c r="AB62" s="111">
        <f ca="1">IF(OR('Intermediate Data'!AC106="",'Intermediate Data'!AC106="N/A"),"",'Intermediate Data'!AC106)</f>
        <v>4.0531049377393852E-2</v>
      </c>
      <c r="AC62" s="519" t="str">
        <f ca="1">IF(OR('Intermediate Data'!AD106="",'Intermediate Data'!AD106="N/A"),"",'Intermediate Data'!AD106)</f>
        <v/>
      </c>
      <c r="AD62" s="111">
        <f ca="1">IF(OR('Intermediate Data'!AE106="",'Intermediate Data'!AE106="N/A"),"",'Intermediate Data'!AE106)</f>
        <v>5.6374665779841827E-2</v>
      </c>
      <c r="AE62" s="161">
        <f ca="1">IF(OR('Intermediate Data'!AF106="",'Intermediate Data'!AF106="N/A"),"",'Intermediate Data'!AF106)</f>
        <v>2.2585999999999998E-2</v>
      </c>
      <c r="AF62" s="520"/>
      <c r="AG62" s="805">
        <f ca="1">IF(OR('Intermediate Data'!AN106="",'Intermediate Data'!AN106="N/A"),"",'Intermediate Data'!AN106)</f>
        <v>6.1386405006444072E-2</v>
      </c>
      <c r="AH62" s="805"/>
      <c r="AI62" s="805"/>
      <c r="AJ62" s="805"/>
      <c r="AK62" s="117"/>
      <c r="AL62" s="529" t="str">
        <f ca="1">IF(OR('Intermediate Data'!AI106="",'Intermediate Data'!AI106="N/A"),"",'Intermediate Data'!AI106)</f>
        <v/>
      </c>
      <c r="AM62" s="132">
        <f ca="1">IF(OR('Intermediate Data'!AJ106="",'Intermediate Data'!AJ106="N/A"),"",'Intermediate Data'!AJ106)</f>
        <v>4.4268114450989965E-2</v>
      </c>
      <c r="AN62" s="529" t="str">
        <f ca="1">IF(OR('Intermediate Data'!AK106="",'Intermediate Data'!AK106="N/A"),"",'Intermediate Data'!AK106)</f>
        <v/>
      </c>
      <c r="AO62" s="132">
        <f ca="1">IF(OR('Intermediate Data'!AL106="",'Intermediate Data'!AL106="N/A"),"",'Intermediate Data'!AL106)</f>
        <v>6.1386405006444072E-2</v>
      </c>
      <c r="AP62" s="163" t="str">
        <f ca="1">IF(OR('Intermediate Data'!AM106="",'Intermediate Data'!AM106="N/A"),"",'Intermediate Data'!AM106)</f>
        <v/>
      </c>
      <c r="AQ62" s="693"/>
      <c r="AR62" s="791" t="str">
        <f ca="1">IF('Intermediate Data'!AP106="","",'Intermediate Data'!AP106)</f>
        <v/>
      </c>
      <c r="AS62" s="791"/>
      <c r="AT62" s="693"/>
      <c r="AU62" s="150"/>
      <c r="AV62" s="804">
        <f ca="1">'Intermediate Data'!AQ106</f>
        <v>0.37</v>
      </c>
      <c r="AW62" s="804"/>
      <c r="AX62" s="804"/>
      <c r="AY62" s="804"/>
      <c r="AZ62" s="117"/>
      <c r="BA62" s="150"/>
      <c r="BB62" s="803">
        <f ca="1">'Intermediate Data'!AR106</f>
        <v>570</v>
      </c>
      <c r="BC62" s="803"/>
      <c r="BD62" s="803"/>
      <c r="BE62" s="803"/>
      <c r="BF62" s="692"/>
      <c r="BG62" s="31"/>
      <c r="BH62" s="31"/>
      <c r="BI62" s="30"/>
      <c r="BJ62" s="30"/>
      <c r="BK62" s="30"/>
      <c r="BL62" s="30"/>
      <c r="BM62" s="30"/>
      <c r="BN62" s="30"/>
      <c r="BO62" s="30"/>
      <c r="BP62" s="30"/>
      <c r="BQ62" s="30"/>
      <c r="BR62" s="30"/>
      <c r="BS62" s="30"/>
      <c r="BT62" s="30"/>
      <c r="BU62" s="30"/>
      <c r="BV62" s="30"/>
    </row>
    <row r="63" spans="1:74" x14ac:dyDescent="0.25">
      <c r="A63" s="30"/>
      <c r="B63" s="30"/>
      <c r="C63" s="30"/>
      <c r="D63" s="30"/>
      <c r="E63" s="30"/>
      <c r="F63" s="30"/>
      <c r="G63" s="30"/>
      <c r="H63" s="30"/>
      <c r="I63" s="30"/>
      <c r="J63" s="30"/>
      <c r="K63" s="30"/>
      <c r="L63" s="30"/>
      <c r="M63" s="30"/>
      <c r="N63" s="38" t="str">
        <f ca="1">'Intermediate Data'!AA107</f>
        <v>Home automation</v>
      </c>
      <c r="O63" s="30"/>
      <c r="P63" s="30"/>
      <c r="Q63" s="30"/>
      <c r="R63" s="30"/>
      <c r="S63" s="30"/>
      <c r="T63" s="30"/>
      <c r="U63" s="148"/>
      <c r="V63" s="804" t="str">
        <f ca="1">IF(OR('Intermediate Data'!AG107="",'Intermediate Data'!AG107="N/A"),"",'Intermediate Data'!AG107)</f>
        <v/>
      </c>
      <c r="W63" s="804"/>
      <c r="X63" s="804"/>
      <c r="Y63" s="804"/>
      <c r="Z63" s="111"/>
      <c r="AA63" s="519" t="str">
        <f ca="1">IF(OR('Intermediate Data'!AB107="",'Intermediate Data'!AB107="N/A"),"",'Intermediate Data'!AB107)</f>
        <v/>
      </c>
      <c r="AB63" s="111" t="str">
        <f ca="1">IF(OR('Intermediate Data'!AC107="",'Intermediate Data'!AC107="N/A"),"",'Intermediate Data'!AC107)</f>
        <v/>
      </c>
      <c r="AC63" s="519" t="str">
        <f ca="1">IF(OR('Intermediate Data'!AD107="",'Intermediate Data'!AD107="N/A"),"",'Intermediate Data'!AD107)</f>
        <v/>
      </c>
      <c r="AD63" s="111" t="str">
        <f ca="1">IF(OR('Intermediate Data'!AE107="",'Intermediate Data'!AE107="N/A"),"",'Intermediate Data'!AE107)</f>
        <v/>
      </c>
      <c r="AE63" s="161" t="str">
        <f ca="1">IF(OR('Intermediate Data'!AF107="",'Intermediate Data'!AF107="N/A"),"",'Intermediate Data'!AF107)</f>
        <v/>
      </c>
      <c r="AF63" s="520"/>
      <c r="AG63" s="805" t="str">
        <f ca="1">IF(OR('Intermediate Data'!AN107="",'Intermediate Data'!AN107="N/A"),"",'Intermediate Data'!AN107)</f>
        <v/>
      </c>
      <c r="AH63" s="805"/>
      <c r="AI63" s="805"/>
      <c r="AJ63" s="805"/>
      <c r="AK63" s="117"/>
      <c r="AL63" s="529" t="str">
        <f ca="1">IF(OR('Intermediate Data'!AI107="",'Intermediate Data'!AI107="N/A"),"",'Intermediate Data'!AI107)</f>
        <v/>
      </c>
      <c r="AM63" s="132" t="str">
        <f ca="1">IF(OR('Intermediate Data'!AJ107="",'Intermediate Data'!AJ107="N/A"),"",'Intermediate Data'!AJ107)</f>
        <v/>
      </c>
      <c r="AN63" s="529" t="str">
        <f ca="1">IF(OR('Intermediate Data'!AK107="",'Intermediate Data'!AK107="N/A"),"",'Intermediate Data'!AK107)</f>
        <v/>
      </c>
      <c r="AO63" s="132" t="str">
        <f ca="1">IF(OR('Intermediate Data'!AL107="",'Intermediate Data'!AL107="N/A"),"",'Intermediate Data'!AL107)</f>
        <v/>
      </c>
      <c r="AP63" s="163" t="str">
        <f ca="1">IF(OR('Intermediate Data'!AM107="",'Intermediate Data'!AM107="N/A"),"",'Intermediate Data'!AM107)</f>
        <v/>
      </c>
      <c r="AQ63" s="693"/>
      <c r="AR63" s="791" t="str">
        <f ca="1">IF('Intermediate Data'!AP107="","",'Intermediate Data'!AP107)</f>
        <v/>
      </c>
      <c r="AS63" s="791"/>
      <c r="AT63" s="693"/>
      <c r="AU63" s="150"/>
      <c r="AV63" s="804" t="str">
        <f ca="1">'Intermediate Data'!AQ107</f>
        <v/>
      </c>
      <c r="AW63" s="804"/>
      <c r="AX63" s="804"/>
      <c r="AY63" s="804"/>
      <c r="AZ63" s="117"/>
      <c r="BA63" s="150"/>
      <c r="BB63" s="803" t="str">
        <f ca="1">'Intermediate Data'!AR107</f>
        <v/>
      </c>
      <c r="BC63" s="803"/>
      <c r="BD63" s="803"/>
      <c r="BE63" s="803"/>
      <c r="BF63" s="692"/>
      <c r="BG63" s="31"/>
      <c r="BH63" s="31"/>
      <c r="BI63" s="30"/>
      <c r="BJ63" s="30"/>
      <c r="BK63" s="30"/>
      <c r="BL63" s="30"/>
      <c r="BM63" s="30"/>
      <c r="BN63" s="30"/>
      <c r="BO63" s="30"/>
      <c r="BP63" s="30"/>
      <c r="BQ63" s="30"/>
      <c r="BR63" s="30"/>
      <c r="BS63" s="30"/>
      <c r="BT63" s="30"/>
      <c r="BU63" s="30"/>
      <c r="BV63" s="30"/>
    </row>
    <row r="64" spans="1:74" x14ac:dyDescent="0.25">
      <c r="A64" s="30"/>
      <c r="B64" s="30"/>
      <c r="C64" s="30"/>
      <c r="D64" s="30"/>
      <c r="E64" s="30"/>
      <c r="F64" s="30"/>
      <c r="G64" s="30"/>
      <c r="H64" s="30"/>
      <c r="I64" s="30"/>
      <c r="J64" s="30"/>
      <c r="K64" s="30"/>
      <c r="L64" s="30"/>
      <c r="M64" s="30"/>
      <c r="N64" s="38" t="str">
        <f ca="1">'Intermediate Data'!AA108</f>
        <v>Home shop device</v>
      </c>
      <c r="O64" s="30"/>
      <c r="P64" s="30"/>
      <c r="Q64" s="30"/>
      <c r="R64" s="30"/>
      <c r="S64" s="30"/>
      <c r="T64" s="30"/>
      <c r="U64" s="148"/>
      <c r="V64" s="804">
        <f ca="1">IF(OR('Intermediate Data'!AG108="",'Intermediate Data'!AG108="N/A"),"",'Intermediate Data'!AG108)</f>
        <v>0.1034211599950292</v>
      </c>
      <c r="W64" s="804"/>
      <c r="X64" s="804"/>
      <c r="Y64" s="804"/>
      <c r="Z64" s="111"/>
      <c r="AA64" s="519" t="str">
        <f ca="1">IF(OR('Intermediate Data'!AB108="",'Intermediate Data'!AB108="N/A"),"",'Intermediate Data'!AB108)</f>
        <v/>
      </c>
      <c r="AB64" s="111">
        <f ca="1">IF(OR('Intermediate Data'!AC108="",'Intermediate Data'!AC108="N/A"),"",'Intermediate Data'!AC108)</f>
        <v>0.10302462686472426</v>
      </c>
      <c r="AC64" s="519" t="str">
        <f ca="1">IF(OR('Intermediate Data'!AD108="",'Intermediate Data'!AD108="N/A"),"",'Intermediate Data'!AD108)</f>
        <v/>
      </c>
      <c r="AD64" s="111">
        <f ca="1">IF(OR('Intermediate Data'!AE108="",'Intermediate Data'!AE108="N/A"),"",'Intermediate Data'!AE108)</f>
        <v>0.1034211599950292</v>
      </c>
      <c r="AE64" s="161" t="str">
        <f ca="1">IF(OR('Intermediate Data'!AF108="",'Intermediate Data'!AF108="N/A"),"",'Intermediate Data'!AF108)</f>
        <v/>
      </c>
      <c r="AF64" s="520"/>
      <c r="AG64" s="805" t="str">
        <f ca="1">IF(OR('Intermediate Data'!AN108="",'Intermediate Data'!AN108="N/A"),"",'Intermediate Data'!AN108)</f>
        <v/>
      </c>
      <c r="AH64" s="805"/>
      <c r="AI64" s="805"/>
      <c r="AJ64" s="805"/>
      <c r="AK64" s="117"/>
      <c r="AL64" s="529" t="str">
        <f ca="1">IF(OR('Intermediate Data'!AI108="",'Intermediate Data'!AI108="N/A"),"",'Intermediate Data'!AI108)</f>
        <v/>
      </c>
      <c r="AM64" s="132" t="str">
        <f ca="1">IF(OR('Intermediate Data'!AJ108="",'Intermediate Data'!AJ108="N/A"),"",'Intermediate Data'!AJ108)</f>
        <v/>
      </c>
      <c r="AN64" s="529" t="str">
        <f ca="1">IF(OR('Intermediate Data'!AK108="",'Intermediate Data'!AK108="N/A"),"",'Intermediate Data'!AK108)</f>
        <v/>
      </c>
      <c r="AO64" s="132" t="str">
        <f ca="1">IF(OR('Intermediate Data'!AL108="",'Intermediate Data'!AL108="N/A"),"",'Intermediate Data'!AL108)</f>
        <v/>
      </c>
      <c r="AP64" s="163" t="str">
        <f ca="1">IF(OR('Intermediate Data'!AM108="",'Intermediate Data'!AM108="N/A"),"",'Intermediate Data'!AM108)</f>
        <v/>
      </c>
      <c r="AQ64" s="693"/>
      <c r="AR64" s="791" t="str">
        <f ca="1">IF('Intermediate Data'!AP108="","",'Intermediate Data'!AP108)</f>
        <v/>
      </c>
      <c r="AS64" s="791"/>
      <c r="AT64" s="693"/>
      <c r="AU64" s="150"/>
      <c r="AV64" s="804" t="str">
        <f ca="1">'Intermediate Data'!AQ108</f>
        <v/>
      </c>
      <c r="AW64" s="804"/>
      <c r="AX64" s="804"/>
      <c r="AY64" s="804"/>
      <c r="AZ64" s="117"/>
      <c r="BA64" s="150"/>
      <c r="BB64" s="803" t="str">
        <f ca="1">'Intermediate Data'!AR108</f>
        <v/>
      </c>
      <c r="BC64" s="803"/>
      <c r="BD64" s="803"/>
      <c r="BE64" s="803"/>
      <c r="BF64" s="692"/>
      <c r="BG64" s="31"/>
      <c r="BH64" s="31"/>
      <c r="BI64" s="30"/>
      <c r="BJ64" s="30"/>
      <c r="BK64" s="30"/>
      <c r="BL64" s="30"/>
      <c r="BM64" s="30"/>
      <c r="BN64" s="30"/>
      <c r="BO64" s="30"/>
      <c r="BP64" s="30"/>
      <c r="BQ64" s="30"/>
      <c r="BR64" s="30"/>
      <c r="BS64" s="30"/>
      <c r="BT64" s="30"/>
      <c r="BU64" s="30"/>
      <c r="BV64" s="30"/>
    </row>
    <row r="65" spans="1:74" x14ac:dyDescent="0.25">
      <c r="A65" s="30"/>
      <c r="B65" s="30"/>
      <c r="C65" s="30"/>
      <c r="D65" s="30"/>
      <c r="E65" s="30"/>
      <c r="F65" s="30"/>
      <c r="G65" s="30"/>
      <c r="H65" s="30"/>
      <c r="I65" s="30"/>
      <c r="J65" s="30"/>
      <c r="K65" s="30"/>
      <c r="L65" s="30"/>
      <c r="M65" s="30"/>
      <c r="N65" s="38" t="str">
        <f ca="1">'Intermediate Data'!AA109</f>
        <v>Home Theater in a Box</v>
      </c>
      <c r="O65" s="30"/>
      <c r="P65" s="30"/>
      <c r="Q65" s="30"/>
      <c r="R65" s="30"/>
      <c r="S65" s="30"/>
      <c r="T65" s="30"/>
      <c r="U65" s="148"/>
      <c r="V65" s="804" t="str">
        <f ca="1">IF(OR('Intermediate Data'!AG109="",'Intermediate Data'!AG109="N/A"),"",'Intermediate Data'!AG109)</f>
        <v/>
      </c>
      <c r="W65" s="804"/>
      <c r="X65" s="804"/>
      <c r="Y65" s="804"/>
      <c r="Z65" s="111"/>
      <c r="AA65" s="519" t="str">
        <f ca="1">IF(OR('Intermediate Data'!AB109="",'Intermediate Data'!AB109="N/A"),"",'Intermediate Data'!AB109)</f>
        <v/>
      </c>
      <c r="AB65" s="111" t="str">
        <f ca="1">IF(OR('Intermediate Data'!AC109="",'Intermediate Data'!AC109="N/A"),"",'Intermediate Data'!AC109)</f>
        <v/>
      </c>
      <c r="AC65" s="519" t="str">
        <f ca="1">IF(OR('Intermediate Data'!AD109="",'Intermediate Data'!AD109="N/A"),"",'Intermediate Data'!AD109)</f>
        <v/>
      </c>
      <c r="AD65" s="111" t="str">
        <f ca="1">IF(OR('Intermediate Data'!AE109="",'Intermediate Data'!AE109="N/A"),"",'Intermediate Data'!AE109)</f>
        <v/>
      </c>
      <c r="AE65" s="161" t="str">
        <f ca="1">IF(OR('Intermediate Data'!AF109="",'Intermediate Data'!AF109="N/A"),"",'Intermediate Data'!AF109)</f>
        <v/>
      </c>
      <c r="AF65" s="520"/>
      <c r="AG65" s="805" t="str">
        <f ca="1">IF(OR('Intermediate Data'!AN109="",'Intermediate Data'!AN109="N/A"),"",'Intermediate Data'!AN109)</f>
        <v/>
      </c>
      <c r="AH65" s="805"/>
      <c r="AI65" s="805"/>
      <c r="AJ65" s="805"/>
      <c r="AK65" s="117"/>
      <c r="AL65" s="529" t="str">
        <f ca="1">IF(OR('Intermediate Data'!AI109="",'Intermediate Data'!AI109="N/A"),"",'Intermediate Data'!AI109)</f>
        <v/>
      </c>
      <c r="AM65" s="132" t="str">
        <f ca="1">IF(OR('Intermediate Data'!AJ109="",'Intermediate Data'!AJ109="N/A"),"",'Intermediate Data'!AJ109)</f>
        <v/>
      </c>
      <c r="AN65" s="529" t="str">
        <f ca="1">IF(OR('Intermediate Data'!AK109="",'Intermediate Data'!AK109="N/A"),"",'Intermediate Data'!AK109)</f>
        <v/>
      </c>
      <c r="AO65" s="132" t="str">
        <f ca="1">IF(OR('Intermediate Data'!AL109="",'Intermediate Data'!AL109="N/A"),"",'Intermediate Data'!AL109)</f>
        <v/>
      </c>
      <c r="AP65" s="163" t="str">
        <f ca="1">IF(OR('Intermediate Data'!AM109="",'Intermediate Data'!AM109="N/A"),"",'Intermediate Data'!AM109)</f>
        <v/>
      </c>
      <c r="AQ65" s="693"/>
      <c r="AR65" s="791" t="str">
        <f ca="1">IF('Intermediate Data'!AP109="","",'Intermediate Data'!AP109)</f>
        <v/>
      </c>
      <c r="AS65" s="791"/>
      <c r="AT65" s="693"/>
      <c r="AU65" s="150"/>
      <c r="AV65" s="804">
        <f ca="1">'Intermediate Data'!AQ109</f>
        <v>0.04</v>
      </c>
      <c r="AW65" s="804"/>
      <c r="AX65" s="804"/>
      <c r="AY65" s="804"/>
      <c r="AZ65" s="117"/>
      <c r="BA65" s="150"/>
      <c r="BB65" s="803" t="str">
        <f ca="1">'Intermediate Data'!AR109</f>
        <v>Unknown</v>
      </c>
      <c r="BC65" s="803"/>
      <c r="BD65" s="803"/>
      <c r="BE65" s="803"/>
      <c r="BF65" s="692"/>
      <c r="BG65" s="31"/>
      <c r="BH65" s="31"/>
      <c r="BI65" s="30"/>
      <c r="BJ65" s="30"/>
      <c r="BK65" s="30"/>
      <c r="BL65" s="30"/>
      <c r="BM65" s="30"/>
      <c r="BN65" s="30"/>
      <c r="BO65" s="30"/>
      <c r="BP65" s="30"/>
      <c r="BQ65" s="30"/>
      <c r="BR65" s="30"/>
      <c r="BS65" s="30"/>
      <c r="BT65" s="30"/>
      <c r="BU65" s="30"/>
      <c r="BV65" s="30"/>
    </row>
    <row r="66" spans="1:74" x14ac:dyDescent="0.25">
      <c r="A66" s="30"/>
      <c r="B66" s="30"/>
      <c r="C66" s="30"/>
      <c r="D66" s="30"/>
      <c r="E66" s="30"/>
      <c r="F66" s="30"/>
      <c r="G66" s="30"/>
      <c r="H66" s="30"/>
      <c r="I66" s="30"/>
      <c r="J66" s="30"/>
      <c r="K66" s="30"/>
      <c r="L66" s="30"/>
      <c r="M66" s="30"/>
      <c r="N66" s="38" t="str">
        <f ca="1">'Intermediate Data'!AA110</f>
        <v>Hot tub/Spa - Electric</v>
      </c>
      <c r="O66" s="30"/>
      <c r="P66" s="30"/>
      <c r="Q66" s="30"/>
      <c r="R66" s="30"/>
      <c r="S66" s="30"/>
      <c r="T66" s="30"/>
      <c r="U66" s="148"/>
      <c r="V66" s="804">
        <f ca="1">IF(OR('Intermediate Data'!AG110="",'Intermediate Data'!AG110="N/A"),"",'Intermediate Data'!AG110)</f>
        <v>4.6955999999999998E-2</v>
      </c>
      <c r="W66" s="804"/>
      <c r="X66" s="804"/>
      <c r="Y66" s="804"/>
      <c r="Z66" s="111"/>
      <c r="AA66" s="519" t="str">
        <f ca="1">IF(OR('Intermediate Data'!AB110="",'Intermediate Data'!AB110="N/A"),"",'Intermediate Data'!AB110)</f>
        <v/>
      </c>
      <c r="AB66" s="111">
        <f ca="1">IF(OR('Intermediate Data'!AC110="",'Intermediate Data'!AC110="N/A"),"",'Intermediate Data'!AC110)</f>
        <v>9.3362613442261322E-2</v>
      </c>
      <c r="AC66" s="519">
        <f ca="1">IF(OR('Intermediate Data'!AD110="",'Intermediate Data'!AD110="N/A"),"",'Intermediate Data'!AD110)</f>
        <v>3.04E-2</v>
      </c>
      <c r="AD66" s="111">
        <f ca="1">IF(OR('Intermediate Data'!AE110="",'Intermediate Data'!AE110="N/A"),"",'Intermediate Data'!AE110)</f>
        <v>0.1074153783658072</v>
      </c>
      <c r="AE66" s="161">
        <f ca="1">IF(OR('Intermediate Data'!AF110="",'Intermediate Data'!AF110="N/A"),"",'Intermediate Data'!AF110)</f>
        <v>4.6955999999999998E-2</v>
      </c>
      <c r="AF66" s="520"/>
      <c r="AG66" s="805" t="str">
        <f ca="1">IF(OR('Intermediate Data'!AN110="",'Intermediate Data'!AN110="N/A"),"",'Intermediate Data'!AN110)</f>
        <v/>
      </c>
      <c r="AH66" s="805"/>
      <c r="AI66" s="805"/>
      <c r="AJ66" s="805"/>
      <c r="AK66" s="117"/>
      <c r="AL66" s="529" t="str">
        <f ca="1">IF(OR('Intermediate Data'!AI110="",'Intermediate Data'!AI110="N/A"),"",'Intermediate Data'!AI110)</f>
        <v/>
      </c>
      <c r="AM66" s="132" t="str">
        <f ca="1">IF(OR('Intermediate Data'!AJ110="",'Intermediate Data'!AJ110="N/A"),"",'Intermediate Data'!AJ110)</f>
        <v/>
      </c>
      <c r="AN66" s="529" t="str">
        <f ca="1">IF(OR('Intermediate Data'!AK110="",'Intermediate Data'!AK110="N/A"),"",'Intermediate Data'!AK110)</f>
        <v/>
      </c>
      <c r="AO66" s="132" t="str">
        <f ca="1">IF(OR('Intermediate Data'!AL110="",'Intermediate Data'!AL110="N/A"),"",'Intermediate Data'!AL110)</f>
        <v/>
      </c>
      <c r="AP66" s="163" t="str">
        <f ca="1">IF(OR('Intermediate Data'!AM110="",'Intermediate Data'!AM110="N/A"),"",'Intermediate Data'!AM110)</f>
        <v/>
      </c>
      <c r="AQ66" s="693"/>
      <c r="AR66" s="791" t="str">
        <f ca="1">IF('Intermediate Data'!AP110="","",'Intermediate Data'!AP110)</f>
        <v/>
      </c>
      <c r="AS66" s="791"/>
      <c r="AT66" s="693"/>
      <c r="AU66" s="150"/>
      <c r="AV66" s="804" t="str">
        <f ca="1">'Intermediate Data'!AQ110</f>
        <v/>
      </c>
      <c r="AW66" s="804"/>
      <c r="AX66" s="804"/>
      <c r="AY66" s="804"/>
      <c r="AZ66" s="117"/>
      <c r="BA66" s="150"/>
      <c r="BB66" s="803" t="str">
        <f ca="1">'Intermediate Data'!AR110</f>
        <v/>
      </c>
      <c r="BC66" s="803"/>
      <c r="BD66" s="803"/>
      <c r="BE66" s="803"/>
      <c r="BF66" s="692"/>
      <c r="BG66" s="31"/>
      <c r="BH66" s="31"/>
      <c r="BI66" s="30"/>
      <c r="BJ66" s="30"/>
      <c r="BK66" s="30"/>
      <c r="BL66" s="30"/>
      <c r="BM66" s="30"/>
      <c r="BN66" s="30"/>
      <c r="BO66" s="30"/>
      <c r="BP66" s="30"/>
      <c r="BQ66" s="30"/>
      <c r="BR66" s="30"/>
      <c r="BS66" s="30"/>
      <c r="BT66" s="30"/>
      <c r="BU66" s="30"/>
      <c r="BV66" s="30"/>
    </row>
    <row r="67" spans="1:74" x14ac:dyDescent="0.25">
      <c r="A67" s="30"/>
      <c r="B67" s="30"/>
      <c r="C67" s="30"/>
      <c r="D67" s="30"/>
      <c r="E67" s="30"/>
      <c r="F67" s="30"/>
      <c r="G67" s="30"/>
      <c r="H67" s="30"/>
      <c r="I67" s="30"/>
      <c r="J67" s="30"/>
      <c r="K67" s="30"/>
      <c r="L67" s="30"/>
      <c r="M67" s="30"/>
      <c r="N67" s="38" t="str">
        <f ca="1">'Intermediate Data'!AA111</f>
        <v>Hot water heater - Electric</v>
      </c>
      <c r="O67" s="30"/>
      <c r="P67" s="30"/>
      <c r="Q67" s="30"/>
      <c r="R67" s="30"/>
      <c r="S67" s="30"/>
      <c r="T67" s="30"/>
      <c r="U67" s="148"/>
      <c r="V67" s="804">
        <f ca="1">IF(OR('Intermediate Data'!AG111="",'Intermediate Data'!AG111="N/A"),"",'Intermediate Data'!AG111)</f>
        <v>7.3999999999999996E-2</v>
      </c>
      <c r="W67" s="804"/>
      <c r="X67" s="804"/>
      <c r="Y67" s="804"/>
      <c r="Z67" s="111"/>
      <c r="AA67" s="519">
        <f ca="1">IF(OR('Intermediate Data'!AB111="",'Intermediate Data'!AB111="N/A"),"",'Intermediate Data'!AB111)</f>
        <v>7.2999999999999995E-2</v>
      </c>
      <c r="AB67" s="111">
        <f ca="1">IF(OR('Intermediate Data'!AC111="",'Intermediate Data'!AC111="N/A"),"",'Intermediate Data'!AC111)</f>
        <v>8.1475309560136114E-2</v>
      </c>
      <c r="AC67" s="519">
        <f ca="1">IF(OR('Intermediate Data'!AD111="",'Intermediate Data'!AD111="N/A"),"",'Intermediate Data'!AD111)</f>
        <v>0.06</v>
      </c>
      <c r="AD67" s="111">
        <f ca="1">IF(OR('Intermediate Data'!AE111="",'Intermediate Data'!AE111="N/A"),"",'Intermediate Data'!AE111)</f>
        <v>8.8999273039475593E-2</v>
      </c>
      <c r="AE67" s="161">
        <f ca="1">IF(OR('Intermediate Data'!AF111="",'Intermediate Data'!AF111="N/A"),"",'Intermediate Data'!AF111)</f>
        <v>7.3999999999999996E-2</v>
      </c>
      <c r="AF67" s="520"/>
      <c r="AG67" s="805" t="str">
        <f ca="1">IF(OR('Intermediate Data'!AN111="",'Intermediate Data'!AN111="N/A"),"",'Intermediate Data'!AN111)</f>
        <v/>
      </c>
      <c r="AH67" s="805"/>
      <c r="AI67" s="805"/>
      <c r="AJ67" s="805"/>
      <c r="AK67" s="117"/>
      <c r="AL67" s="529" t="str">
        <f ca="1">IF(OR('Intermediate Data'!AI111="",'Intermediate Data'!AI111="N/A"),"",'Intermediate Data'!AI111)</f>
        <v/>
      </c>
      <c r="AM67" s="132" t="str">
        <f ca="1">IF(OR('Intermediate Data'!AJ111="",'Intermediate Data'!AJ111="N/A"),"",'Intermediate Data'!AJ111)</f>
        <v/>
      </c>
      <c r="AN67" s="529" t="str">
        <f ca="1">IF(OR('Intermediate Data'!AK111="",'Intermediate Data'!AK111="N/A"),"",'Intermediate Data'!AK111)</f>
        <v/>
      </c>
      <c r="AO67" s="132" t="str">
        <f ca="1">IF(OR('Intermediate Data'!AL111="",'Intermediate Data'!AL111="N/A"),"",'Intermediate Data'!AL111)</f>
        <v/>
      </c>
      <c r="AP67" s="163" t="str">
        <f ca="1">IF(OR('Intermediate Data'!AM111="",'Intermediate Data'!AM111="N/A"),"",'Intermediate Data'!AM111)</f>
        <v/>
      </c>
      <c r="AQ67" s="693"/>
      <c r="AR67" s="791">
        <f ca="1">IF('Intermediate Data'!AP111="","",'Intermediate Data'!AP111)</f>
        <v>-5.9999999999999984E-3</v>
      </c>
      <c r="AS67" s="791"/>
      <c r="AT67" s="693"/>
      <c r="AU67" s="150"/>
      <c r="AV67" s="804">
        <f ca="1">'Intermediate Data'!AQ111</f>
        <v>0.01</v>
      </c>
      <c r="AW67" s="804"/>
      <c r="AX67" s="804"/>
      <c r="AY67" s="804"/>
      <c r="AZ67" s="117"/>
      <c r="BA67" s="150"/>
      <c r="BB67" s="803">
        <f ca="1">'Intermediate Data'!AR111</f>
        <v>2700</v>
      </c>
      <c r="BC67" s="803"/>
      <c r="BD67" s="803"/>
      <c r="BE67" s="803"/>
      <c r="BF67" s="692"/>
      <c r="BG67" s="31"/>
      <c r="BH67" s="31"/>
      <c r="BI67" s="30"/>
      <c r="BJ67" s="30"/>
      <c r="BK67" s="30"/>
      <c r="BL67" s="30"/>
      <c r="BM67" s="30"/>
      <c r="BN67" s="30"/>
      <c r="BO67" s="30"/>
      <c r="BP67" s="30"/>
      <c r="BQ67" s="30"/>
      <c r="BR67" s="30"/>
      <c r="BS67" s="30"/>
      <c r="BT67" s="30"/>
      <c r="BU67" s="30"/>
      <c r="BV67" s="30"/>
    </row>
    <row r="68" spans="1:74" x14ac:dyDescent="0.25">
      <c r="A68" s="30"/>
      <c r="B68" s="30"/>
      <c r="C68" s="30"/>
      <c r="D68" s="30"/>
      <c r="E68" s="30"/>
      <c r="F68" s="30"/>
      <c r="G68" s="30"/>
      <c r="H68" s="30"/>
      <c r="I68" s="30"/>
      <c r="J68" s="30"/>
      <c r="K68" s="30"/>
      <c r="L68" s="30"/>
      <c r="M68" s="30"/>
      <c r="N68" s="38" t="str">
        <f ca="1">'Intermediate Data'!AA112</f>
        <v>Hot water heater - Gas</v>
      </c>
      <c r="O68" s="30"/>
      <c r="P68" s="30"/>
      <c r="Q68" s="30"/>
      <c r="R68" s="30"/>
      <c r="S68" s="30"/>
      <c r="T68" s="30"/>
      <c r="U68" s="148"/>
      <c r="V68" s="804">
        <f ca="1">IF(OR('Intermediate Data'!AG112="",'Intermediate Data'!AG112="N/A"),"",'Intermediate Data'!AG112)</f>
        <v>0.88200000000000001</v>
      </c>
      <c r="W68" s="804"/>
      <c r="X68" s="804"/>
      <c r="Y68" s="804"/>
      <c r="Z68" s="111"/>
      <c r="AA68" s="519">
        <f ca="1">IF(OR('Intermediate Data'!AB112="",'Intermediate Data'!AB112="N/A"),"",'Intermediate Data'!AB112)</f>
        <v>0.89800000000000002</v>
      </c>
      <c r="AB68" s="111">
        <f ca="1">IF(OR('Intermediate Data'!AC112="",'Intermediate Data'!AC112="N/A"),"",'Intermediate Data'!AC112)</f>
        <v>0.80796419319027146</v>
      </c>
      <c r="AC68" s="519">
        <f ca="1">IF(OR('Intermediate Data'!AD112="",'Intermediate Data'!AD112="N/A"),"",'Intermediate Data'!AD112)</f>
        <v>0.89300000000000002</v>
      </c>
      <c r="AD68" s="111">
        <f ca="1">IF(OR('Intermediate Data'!AE112="",'Intermediate Data'!AE112="N/A"),"",'Intermediate Data'!AE112)</f>
        <v>0.8415056712360397</v>
      </c>
      <c r="AE68" s="161">
        <f ca="1">IF(OR('Intermediate Data'!AF112="",'Intermediate Data'!AF112="N/A"),"",'Intermediate Data'!AF112)</f>
        <v>0.88200000000000001</v>
      </c>
      <c r="AF68" s="520"/>
      <c r="AG68" s="805" t="str">
        <f ca="1">IF(OR('Intermediate Data'!AN112="",'Intermediate Data'!AN112="N/A"),"",'Intermediate Data'!AN112)</f>
        <v/>
      </c>
      <c r="AH68" s="805"/>
      <c r="AI68" s="805"/>
      <c r="AJ68" s="805"/>
      <c r="AK68" s="117"/>
      <c r="AL68" s="529" t="str">
        <f ca="1">IF(OR('Intermediate Data'!AI112="",'Intermediate Data'!AI112="N/A"),"",'Intermediate Data'!AI112)</f>
        <v/>
      </c>
      <c r="AM68" s="132" t="str">
        <f ca="1">IF(OR('Intermediate Data'!AJ112="",'Intermediate Data'!AJ112="N/A"),"",'Intermediate Data'!AJ112)</f>
        <v/>
      </c>
      <c r="AN68" s="529" t="str">
        <f ca="1">IF(OR('Intermediate Data'!AK112="",'Intermediate Data'!AK112="N/A"),"",'Intermediate Data'!AK112)</f>
        <v/>
      </c>
      <c r="AO68" s="132" t="str">
        <f ca="1">IF(OR('Intermediate Data'!AL112="",'Intermediate Data'!AL112="N/A"),"",'Intermediate Data'!AL112)</f>
        <v/>
      </c>
      <c r="AP68" s="163" t="str">
        <f ca="1">IF(OR('Intermediate Data'!AM112="",'Intermediate Data'!AM112="N/A"),"",'Intermediate Data'!AM112)</f>
        <v/>
      </c>
      <c r="AQ68" s="693"/>
      <c r="AR68" s="791">
        <f ca="1">IF('Intermediate Data'!AP112="","",'Intermediate Data'!AP112)</f>
        <v>2.4E-2</v>
      </c>
      <c r="AS68" s="791"/>
      <c r="AT68" s="693"/>
      <c r="AU68" s="150"/>
      <c r="AV68" s="804">
        <f ca="1">'Intermediate Data'!AQ112</f>
        <v>0.04</v>
      </c>
      <c r="AW68" s="804"/>
      <c r="AX68" s="804"/>
      <c r="AY68" s="804"/>
      <c r="AZ68" s="117"/>
      <c r="BA68" s="150"/>
      <c r="BB68" s="803">
        <f ca="1">'Intermediate Data'!AR112</f>
        <v>0</v>
      </c>
      <c r="BC68" s="803"/>
      <c r="BD68" s="803"/>
      <c r="BE68" s="803"/>
      <c r="BF68" s="692"/>
      <c r="BG68" s="31"/>
      <c r="BH68" s="31"/>
      <c r="BI68" s="30"/>
      <c r="BJ68" s="30"/>
      <c r="BK68" s="30"/>
      <c r="BL68" s="30"/>
      <c r="BM68" s="30"/>
      <c r="BN68" s="30"/>
      <c r="BO68" s="30"/>
      <c r="BP68" s="30"/>
      <c r="BQ68" s="30"/>
      <c r="BR68" s="30"/>
      <c r="BS68" s="30"/>
      <c r="BT68" s="30"/>
      <c r="BU68" s="30"/>
      <c r="BV68" s="30"/>
    </row>
    <row r="69" spans="1:74" x14ac:dyDescent="0.25">
      <c r="A69" s="30"/>
      <c r="B69" s="30"/>
      <c r="C69" s="30"/>
      <c r="D69" s="30"/>
      <c r="E69" s="30"/>
      <c r="F69" s="30"/>
      <c r="G69" s="30"/>
      <c r="H69" s="30"/>
      <c r="I69" s="30"/>
      <c r="J69" s="30"/>
      <c r="K69" s="30"/>
      <c r="L69" s="30"/>
      <c r="M69" s="30"/>
      <c r="N69" s="38" t="str">
        <f ca="1">'Intermediate Data'!AA113</f>
        <v>Hot water recirculation pump</v>
      </c>
      <c r="O69" s="30"/>
      <c r="P69" s="30"/>
      <c r="Q69" s="30"/>
      <c r="R69" s="30"/>
      <c r="S69" s="30"/>
      <c r="T69" s="30"/>
      <c r="U69" s="148"/>
      <c r="V69" s="804" t="str">
        <f ca="1">IF(OR('Intermediate Data'!AG113="",'Intermediate Data'!AG113="N/A"),"",'Intermediate Data'!AG113)</f>
        <v/>
      </c>
      <c r="W69" s="804"/>
      <c r="X69" s="804"/>
      <c r="Y69" s="804"/>
      <c r="Z69" s="111"/>
      <c r="AA69" s="519" t="str">
        <f ca="1">IF(OR('Intermediate Data'!AB113="",'Intermediate Data'!AB113="N/A"),"",'Intermediate Data'!AB113)</f>
        <v/>
      </c>
      <c r="AB69" s="111" t="str">
        <f ca="1">IF(OR('Intermediate Data'!AC113="",'Intermediate Data'!AC113="N/A"),"",'Intermediate Data'!AC113)</f>
        <v/>
      </c>
      <c r="AC69" s="519" t="str">
        <f ca="1">IF(OR('Intermediate Data'!AD113="",'Intermediate Data'!AD113="N/A"),"",'Intermediate Data'!AD113)</f>
        <v/>
      </c>
      <c r="AD69" s="111" t="str">
        <f ca="1">IF(OR('Intermediate Data'!AE113="",'Intermediate Data'!AE113="N/A"),"",'Intermediate Data'!AE113)</f>
        <v/>
      </c>
      <c r="AE69" s="161" t="str">
        <f ca="1">IF(OR('Intermediate Data'!AF113="",'Intermediate Data'!AF113="N/A"),"",'Intermediate Data'!AF113)</f>
        <v/>
      </c>
      <c r="AF69" s="520"/>
      <c r="AG69" s="805" t="str">
        <f ca="1">IF(OR('Intermediate Data'!AN113="",'Intermediate Data'!AN113="N/A"),"",'Intermediate Data'!AN113)</f>
        <v/>
      </c>
      <c r="AH69" s="805"/>
      <c r="AI69" s="805"/>
      <c r="AJ69" s="805"/>
      <c r="AK69" s="117"/>
      <c r="AL69" s="529" t="str">
        <f ca="1">IF(OR('Intermediate Data'!AI113="",'Intermediate Data'!AI113="N/A"),"",'Intermediate Data'!AI113)</f>
        <v/>
      </c>
      <c r="AM69" s="132" t="str">
        <f ca="1">IF(OR('Intermediate Data'!AJ113="",'Intermediate Data'!AJ113="N/A"),"",'Intermediate Data'!AJ113)</f>
        <v/>
      </c>
      <c r="AN69" s="529" t="str">
        <f ca="1">IF(OR('Intermediate Data'!AK113="",'Intermediate Data'!AK113="N/A"),"",'Intermediate Data'!AK113)</f>
        <v/>
      </c>
      <c r="AO69" s="132" t="str">
        <f ca="1">IF(OR('Intermediate Data'!AL113="",'Intermediate Data'!AL113="N/A"),"",'Intermediate Data'!AL113)</f>
        <v/>
      </c>
      <c r="AP69" s="163" t="str">
        <f ca="1">IF(OR('Intermediate Data'!AM113="",'Intermediate Data'!AM113="N/A"),"",'Intermediate Data'!AM113)</f>
        <v/>
      </c>
      <c r="AQ69" s="693"/>
      <c r="AR69" s="791" t="str">
        <f ca="1">IF('Intermediate Data'!AP113="","",'Intermediate Data'!AP113)</f>
        <v/>
      </c>
      <c r="AS69" s="791"/>
      <c r="AT69" s="693"/>
      <c r="AU69" s="150"/>
      <c r="AV69" s="804" t="str">
        <f ca="1">'Intermediate Data'!AQ113</f>
        <v/>
      </c>
      <c r="AW69" s="804"/>
      <c r="AX69" s="804"/>
      <c r="AY69" s="804"/>
      <c r="AZ69" s="117"/>
      <c r="BA69" s="150"/>
      <c r="BB69" s="803" t="str">
        <f ca="1">'Intermediate Data'!AR113</f>
        <v/>
      </c>
      <c r="BC69" s="803"/>
      <c r="BD69" s="803"/>
      <c r="BE69" s="803"/>
      <c r="BF69" s="692"/>
      <c r="BG69" s="31"/>
      <c r="BH69" s="31"/>
      <c r="BI69" s="30"/>
      <c r="BJ69" s="30"/>
      <c r="BK69" s="30"/>
      <c r="BL69" s="30"/>
      <c r="BM69" s="30"/>
      <c r="BN69" s="30"/>
      <c r="BO69" s="30"/>
      <c r="BP69" s="30"/>
      <c r="BQ69" s="30"/>
      <c r="BR69" s="30"/>
      <c r="BS69" s="30"/>
      <c r="BT69" s="30"/>
      <c r="BU69" s="30"/>
      <c r="BV69" s="30"/>
    </row>
    <row r="70" spans="1:74" x14ac:dyDescent="0.25">
      <c r="A70" s="30"/>
      <c r="B70" s="30"/>
      <c r="C70" s="30"/>
      <c r="D70" s="30"/>
      <c r="E70" s="30"/>
      <c r="F70" s="30"/>
      <c r="G70" s="30"/>
      <c r="H70" s="30"/>
      <c r="I70" s="30"/>
      <c r="J70" s="30"/>
      <c r="K70" s="30"/>
      <c r="L70" s="30"/>
      <c r="M70" s="30"/>
      <c r="N70" s="38" t="str">
        <f ca="1">'Intermediate Data'!AA114</f>
        <v>Humidifier</v>
      </c>
      <c r="O70" s="30"/>
      <c r="P70" s="30"/>
      <c r="Q70" s="30"/>
      <c r="R70" s="30"/>
      <c r="S70" s="30"/>
      <c r="T70" s="30"/>
      <c r="U70" s="148"/>
      <c r="V70" s="804">
        <f ca="1">IF(OR('Intermediate Data'!AG114="",'Intermediate Data'!AG114="N/A"),"",'Intermediate Data'!AG114)</f>
        <v>4.3762746484937595E-2</v>
      </c>
      <c r="W70" s="804"/>
      <c r="X70" s="804"/>
      <c r="Y70" s="804"/>
      <c r="Z70" s="111"/>
      <c r="AA70" s="519" t="str">
        <f ca="1">IF(OR('Intermediate Data'!AB114="",'Intermediate Data'!AB114="N/A"),"",'Intermediate Data'!AB114)</f>
        <v/>
      </c>
      <c r="AB70" s="111">
        <f ca="1">IF(OR('Intermediate Data'!AC114="",'Intermediate Data'!AC114="N/A"),"",'Intermediate Data'!AC114)</f>
        <v>4.3762746484937595E-2</v>
      </c>
      <c r="AC70" s="519" t="str">
        <f ca="1">IF(OR('Intermediate Data'!AD114="",'Intermediate Data'!AD114="N/A"),"",'Intermediate Data'!AD114)</f>
        <v/>
      </c>
      <c r="AD70" s="111" t="str">
        <f ca="1">IF(OR('Intermediate Data'!AE114="",'Intermediate Data'!AE114="N/A"),"",'Intermediate Data'!AE114)</f>
        <v/>
      </c>
      <c r="AE70" s="161" t="str">
        <f ca="1">IF(OR('Intermediate Data'!AF114="",'Intermediate Data'!AF114="N/A"),"",'Intermediate Data'!AF114)</f>
        <v/>
      </c>
      <c r="AF70" s="520"/>
      <c r="AG70" s="805">
        <f ca="1">IF(OR('Intermediate Data'!AN114="",'Intermediate Data'!AN114="N/A"),"",'Intermediate Data'!AN114)</f>
        <v>4.6099773967094367E-2</v>
      </c>
      <c r="AH70" s="805"/>
      <c r="AI70" s="805"/>
      <c r="AJ70" s="805"/>
      <c r="AK70" s="117"/>
      <c r="AL70" s="529" t="str">
        <f ca="1">IF(OR('Intermediate Data'!AI114="",'Intermediate Data'!AI114="N/A"),"",'Intermediate Data'!AI114)</f>
        <v/>
      </c>
      <c r="AM70" s="132">
        <f ca="1">IF(OR('Intermediate Data'!AJ114="",'Intermediate Data'!AJ114="N/A"),"",'Intermediate Data'!AJ114)</f>
        <v>4.6099773967094367E-2</v>
      </c>
      <c r="AN70" s="529" t="str">
        <f ca="1">IF(OR('Intermediate Data'!AK114="",'Intermediate Data'!AK114="N/A"),"",'Intermediate Data'!AK114)</f>
        <v/>
      </c>
      <c r="AO70" s="132" t="str">
        <f ca="1">IF(OR('Intermediate Data'!AL114="",'Intermediate Data'!AL114="N/A"),"",'Intermediate Data'!AL114)</f>
        <v/>
      </c>
      <c r="AP70" s="163" t="str">
        <f ca="1">IF(OR('Intermediate Data'!AM114="",'Intermediate Data'!AM114="N/A"),"",'Intermediate Data'!AM114)</f>
        <v/>
      </c>
      <c r="AQ70" s="693"/>
      <c r="AR70" s="791" t="str">
        <f ca="1">IF('Intermediate Data'!AP114="","",'Intermediate Data'!AP114)</f>
        <v/>
      </c>
      <c r="AS70" s="791"/>
      <c r="AT70" s="693"/>
      <c r="AU70" s="150"/>
      <c r="AV70" s="804" t="str">
        <f ca="1">'Intermediate Data'!AQ114</f>
        <v/>
      </c>
      <c r="AW70" s="804"/>
      <c r="AX70" s="804"/>
      <c r="AY70" s="804"/>
      <c r="AZ70" s="117"/>
      <c r="BA70" s="150"/>
      <c r="BB70" s="803" t="str">
        <f ca="1">'Intermediate Data'!AR114</f>
        <v/>
      </c>
      <c r="BC70" s="803"/>
      <c r="BD70" s="803"/>
      <c r="BE70" s="803"/>
      <c r="BF70" s="692"/>
      <c r="BG70" s="31"/>
      <c r="BH70" s="31"/>
      <c r="BI70" s="30"/>
      <c r="BJ70" s="30"/>
      <c r="BK70" s="30"/>
      <c r="BL70" s="30"/>
      <c r="BM70" s="30"/>
      <c r="BN70" s="30"/>
      <c r="BO70" s="30"/>
      <c r="BP70" s="30"/>
      <c r="BQ70" s="30"/>
      <c r="BR70" s="30"/>
      <c r="BS70" s="30"/>
      <c r="BT70" s="30"/>
      <c r="BU70" s="30"/>
      <c r="BV70" s="30"/>
    </row>
    <row r="71" spans="1:74" x14ac:dyDescent="0.25">
      <c r="A71" s="30"/>
      <c r="B71" s="30"/>
      <c r="C71" s="30"/>
      <c r="D71" s="30"/>
      <c r="E71" s="30"/>
      <c r="F71" s="30"/>
      <c r="G71" s="30"/>
      <c r="H71" s="30"/>
      <c r="I71" s="30"/>
      <c r="J71" s="30"/>
      <c r="K71" s="30"/>
      <c r="L71" s="30"/>
      <c r="M71" s="30"/>
      <c r="N71" s="38" t="str">
        <f ca="1">'Intermediate Data'!AA115</f>
        <v>Ice maker</v>
      </c>
      <c r="O71" s="30"/>
      <c r="P71" s="30"/>
      <c r="Q71" s="30"/>
      <c r="R71" s="30"/>
      <c r="S71" s="30"/>
      <c r="T71" s="30"/>
      <c r="U71" s="148"/>
      <c r="V71" s="804" t="str">
        <f ca="1">IF(OR('Intermediate Data'!AG115="",'Intermediate Data'!AG115="N/A"),"",'Intermediate Data'!AG115)</f>
        <v/>
      </c>
      <c r="W71" s="804"/>
      <c r="X71" s="804"/>
      <c r="Y71" s="804"/>
      <c r="Z71" s="111"/>
      <c r="AA71" s="519" t="str">
        <f ca="1">IF(OR('Intermediate Data'!AB115="",'Intermediate Data'!AB115="N/A"),"",'Intermediate Data'!AB115)</f>
        <v/>
      </c>
      <c r="AB71" s="111" t="str">
        <f ca="1">IF(OR('Intermediate Data'!AC115="",'Intermediate Data'!AC115="N/A"),"",'Intermediate Data'!AC115)</f>
        <v/>
      </c>
      <c r="AC71" s="519" t="str">
        <f ca="1">IF(OR('Intermediate Data'!AD115="",'Intermediate Data'!AD115="N/A"),"",'Intermediate Data'!AD115)</f>
        <v/>
      </c>
      <c r="AD71" s="111" t="str">
        <f ca="1">IF(OR('Intermediate Data'!AE115="",'Intermediate Data'!AE115="N/A"),"",'Intermediate Data'!AE115)</f>
        <v/>
      </c>
      <c r="AE71" s="161" t="str">
        <f ca="1">IF(OR('Intermediate Data'!AF115="",'Intermediate Data'!AF115="N/A"),"",'Intermediate Data'!AF115)</f>
        <v/>
      </c>
      <c r="AF71" s="520"/>
      <c r="AG71" s="805" t="str">
        <f ca="1">IF(OR('Intermediate Data'!AN115="",'Intermediate Data'!AN115="N/A"),"",'Intermediate Data'!AN115)</f>
        <v/>
      </c>
      <c r="AH71" s="805"/>
      <c r="AI71" s="805"/>
      <c r="AJ71" s="805"/>
      <c r="AK71" s="117"/>
      <c r="AL71" s="529" t="str">
        <f ca="1">IF(OR('Intermediate Data'!AI115="",'Intermediate Data'!AI115="N/A"),"",'Intermediate Data'!AI115)</f>
        <v/>
      </c>
      <c r="AM71" s="132" t="str">
        <f ca="1">IF(OR('Intermediate Data'!AJ115="",'Intermediate Data'!AJ115="N/A"),"",'Intermediate Data'!AJ115)</f>
        <v/>
      </c>
      <c r="AN71" s="529" t="str">
        <f ca="1">IF(OR('Intermediate Data'!AK115="",'Intermediate Data'!AK115="N/A"),"",'Intermediate Data'!AK115)</f>
        <v/>
      </c>
      <c r="AO71" s="132" t="str">
        <f ca="1">IF(OR('Intermediate Data'!AL115="",'Intermediate Data'!AL115="N/A"),"",'Intermediate Data'!AL115)</f>
        <v/>
      </c>
      <c r="AP71" s="163" t="str">
        <f ca="1">IF(OR('Intermediate Data'!AM115="",'Intermediate Data'!AM115="N/A"),"",'Intermediate Data'!AM115)</f>
        <v/>
      </c>
      <c r="AQ71" s="693"/>
      <c r="AR71" s="791" t="str">
        <f ca="1">IF('Intermediate Data'!AP115="","",'Intermediate Data'!AP115)</f>
        <v/>
      </c>
      <c r="AS71" s="791"/>
      <c r="AT71" s="693"/>
      <c r="AU71" s="150"/>
      <c r="AV71" s="804" t="str">
        <f ca="1">'Intermediate Data'!AQ115</f>
        <v/>
      </c>
      <c r="AW71" s="804"/>
      <c r="AX71" s="804"/>
      <c r="AY71" s="804"/>
      <c r="AZ71" s="117"/>
      <c r="BA71" s="150"/>
      <c r="BB71" s="803" t="str">
        <f ca="1">'Intermediate Data'!AR115</f>
        <v/>
      </c>
      <c r="BC71" s="803"/>
      <c r="BD71" s="803"/>
      <c r="BE71" s="803"/>
      <c r="BF71" s="692"/>
      <c r="BG71" s="31"/>
      <c r="BH71" s="31"/>
      <c r="BI71" s="30"/>
      <c r="BJ71" s="30"/>
      <c r="BK71" s="30"/>
      <c r="BL71" s="30"/>
      <c r="BM71" s="30"/>
      <c r="BN71" s="30"/>
      <c r="BO71" s="30"/>
      <c r="BP71" s="30"/>
      <c r="BQ71" s="30"/>
      <c r="BR71" s="30"/>
      <c r="BS71" s="30"/>
      <c r="BT71" s="30"/>
      <c r="BU71" s="30"/>
      <c r="BV71" s="30"/>
    </row>
    <row r="72" spans="1:74" x14ac:dyDescent="0.25">
      <c r="A72" s="30"/>
      <c r="B72" s="30"/>
      <c r="C72" s="30"/>
      <c r="D72" s="30"/>
      <c r="E72" s="30"/>
      <c r="F72" s="30"/>
      <c r="G72" s="30"/>
      <c r="H72" s="30"/>
      <c r="I72" s="30"/>
      <c r="J72" s="30"/>
      <c r="K72" s="30"/>
      <c r="L72" s="30"/>
      <c r="M72" s="30"/>
      <c r="N72" s="38" t="str">
        <f ca="1">'Intermediate Data'!AA116</f>
        <v>Infant monitor transmitter</v>
      </c>
      <c r="O72" s="30"/>
      <c r="P72" s="30"/>
      <c r="Q72" s="30"/>
      <c r="R72" s="30"/>
      <c r="S72" s="30"/>
      <c r="T72" s="30"/>
      <c r="U72" s="148"/>
      <c r="V72" s="804" t="str">
        <f ca="1">IF(OR('Intermediate Data'!AG116="",'Intermediate Data'!AG116="N/A"),"",'Intermediate Data'!AG116)</f>
        <v/>
      </c>
      <c r="W72" s="804"/>
      <c r="X72" s="804"/>
      <c r="Y72" s="804"/>
      <c r="Z72" s="111"/>
      <c r="AA72" s="519" t="str">
        <f ca="1">IF(OR('Intermediate Data'!AB116="",'Intermediate Data'!AB116="N/A"),"",'Intermediate Data'!AB116)</f>
        <v/>
      </c>
      <c r="AB72" s="111" t="str">
        <f ca="1">IF(OR('Intermediate Data'!AC116="",'Intermediate Data'!AC116="N/A"),"",'Intermediate Data'!AC116)</f>
        <v/>
      </c>
      <c r="AC72" s="519" t="str">
        <f ca="1">IF(OR('Intermediate Data'!AD116="",'Intermediate Data'!AD116="N/A"),"",'Intermediate Data'!AD116)</f>
        <v/>
      </c>
      <c r="AD72" s="111" t="str">
        <f ca="1">IF(OR('Intermediate Data'!AE116="",'Intermediate Data'!AE116="N/A"),"",'Intermediate Data'!AE116)</f>
        <v/>
      </c>
      <c r="AE72" s="161" t="str">
        <f ca="1">IF(OR('Intermediate Data'!AF116="",'Intermediate Data'!AF116="N/A"),"",'Intermediate Data'!AF116)</f>
        <v/>
      </c>
      <c r="AF72" s="520"/>
      <c r="AG72" s="805" t="str">
        <f ca="1">IF(OR('Intermediate Data'!AN116="",'Intermediate Data'!AN116="N/A"),"",'Intermediate Data'!AN116)</f>
        <v/>
      </c>
      <c r="AH72" s="805"/>
      <c r="AI72" s="805"/>
      <c r="AJ72" s="805"/>
      <c r="AK72" s="117"/>
      <c r="AL72" s="529" t="str">
        <f ca="1">IF(OR('Intermediate Data'!AI116="",'Intermediate Data'!AI116="N/A"),"",'Intermediate Data'!AI116)</f>
        <v/>
      </c>
      <c r="AM72" s="132" t="str">
        <f ca="1">IF(OR('Intermediate Data'!AJ116="",'Intermediate Data'!AJ116="N/A"),"",'Intermediate Data'!AJ116)</f>
        <v/>
      </c>
      <c r="AN72" s="529" t="str">
        <f ca="1">IF(OR('Intermediate Data'!AK116="",'Intermediate Data'!AK116="N/A"),"",'Intermediate Data'!AK116)</f>
        <v/>
      </c>
      <c r="AO72" s="132" t="str">
        <f ca="1">IF(OR('Intermediate Data'!AL116="",'Intermediate Data'!AL116="N/A"),"",'Intermediate Data'!AL116)</f>
        <v/>
      </c>
      <c r="AP72" s="163" t="str">
        <f ca="1">IF(OR('Intermediate Data'!AM116="",'Intermediate Data'!AM116="N/A"),"",'Intermediate Data'!AM116)</f>
        <v/>
      </c>
      <c r="AQ72" s="693"/>
      <c r="AR72" s="791" t="str">
        <f ca="1">IF('Intermediate Data'!AP116="","",'Intermediate Data'!AP116)</f>
        <v/>
      </c>
      <c r="AS72" s="791"/>
      <c r="AT72" s="693"/>
      <c r="AU72" s="150"/>
      <c r="AV72" s="804" t="str">
        <f ca="1">'Intermediate Data'!AQ116</f>
        <v/>
      </c>
      <c r="AW72" s="804"/>
      <c r="AX72" s="804"/>
      <c r="AY72" s="804"/>
      <c r="AZ72" s="117"/>
      <c r="BA72" s="150"/>
      <c r="BB72" s="803" t="str">
        <f ca="1">'Intermediate Data'!AR116</f>
        <v/>
      </c>
      <c r="BC72" s="803"/>
      <c r="BD72" s="803"/>
      <c r="BE72" s="803"/>
      <c r="BF72" s="692"/>
      <c r="BG72" s="31"/>
      <c r="BH72" s="31"/>
      <c r="BI72" s="30"/>
      <c r="BJ72" s="30"/>
      <c r="BK72" s="30"/>
      <c r="BL72" s="30"/>
      <c r="BM72" s="30"/>
      <c r="BN72" s="30"/>
      <c r="BO72" s="30"/>
      <c r="BP72" s="30"/>
      <c r="BQ72" s="30"/>
      <c r="BR72" s="30"/>
      <c r="BS72" s="30"/>
      <c r="BT72" s="30"/>
      <c r="BU72" s="30"/>
      <c r="BV72" s="30"/>
    </row>
    <row r="73" spans="1:74" x14ac:dyDescent="0.25">
      <c r="A73" s="30"/>
      <c r="B73" s="30"/>
      <c r="C73" s="30"/>
      <c r="D73" s="30"/>
      <c r="E73" s="30"/>
      <c r="F73" s="30"/>
      <c r="G73" s="30"/>
      <c r="H73" s="30"/>
      <c r="I73" s="30"/>
      <c r="J73" s="30"/>
      <c r="K73" s="30"/>
      <c r="L73" s="30"/>
      <c r="M73" s="30"/>
      <c r="N73" s="38" t="str">
        <f ca="1">'Intermediate Data'!AA117</f>
        <v>Interior lighting fixtures</v>
      </c>
      <c r="O73" s="30"/>
      <c r="P73" s="30"/>
      <c r="Q73" s="30"/>
      <c r="R73" s="30"/>
      <c r="S73" s="30"/>
      <c r="T73" s="30"/>
      <c r="U73" s="148"/>
      <c r="V73" s="804" t="str">
        <f ca="1">IF(OR('Intermediate Data'!AG117="",'Intermediate Data'!AG117="N/A"),"",'Intermediate Data'!AG117)</f>
        <v/>
      </c>
      <c r="W73" s="804"/>
      <c r="X73" s="804"/>
      <c r="Y73" s="804"/>
      <c r="Z73" s="111"/>
      <c r="AA73" s="519" t="str">
        <f ca="1">IF(OR('Intermediate Data'!AB117="",'Intermediate Data'!AB117="N/A"),"",'Intermediate Data'!AB117)</f>
        <v/>
      </c>
      <c r="AB73" s="111" t="str">
        <f ca="1">IF(OR('Intermediate Data'!AC117="",'Intermediate Data'!AC117="N/A"),"",'Intermediate Data'!AC117)</f>
        <v/>
      </c>
      <c r="AC73" s="519" t="str">
        <f ca="1">IF(OR('Intermediate Data'!AD117="",'Intermediate Data'!AD117="N/A"),"",'Intermediate Data'!AD117)</f>
        <v/>
      </c>
      <c r="AD73" s="111" t="str">
        <f ca="1">IF(OR('Intermediate Data'!AE117="",'Intermediate Data'!AE117="N/A"),"",'Intermediate Data'!AE117)</f>
        <v/>
      </c>
      <c r="AE73" s="161" t="str">
        <f ca="1">IF(OR('Intermediate Data'!AF117="",'Intermediate Data'!AF117="N/A"),"",'Intermediate Data'!AF117)</f>
        <v/>
      </c>
      <c r="AF73" s="520"/>
      <c r="AG73" s="805" t="str">
        <f ca="1">IF(OR('Intermediate Data'!AN117="",'Intermediate Data'!AN117="N/A"),"",'Intermediate Data'!AN117)</f>
        <v/>
      </c>
      <c r="AH73" s="805"/>
      <c r="AI73" s="805"/>
      <c r="AJ73" s="805"/>
      <c r="AK73" s="117"/>
      <c r="AL73" s="529" t="str">
        <f ca="1">IF(OR('Intermediate Data'!AI117="",'Intermediate Data'!AI117="N/A"),"",'Intermediate Data'!AI117)</f>
        <v/>
      </c>
      <c r="AM73" s="132" t="str">
        <f ca="1">IF(OR('Intermediate Data'!AJ117="",'Intermediate Data'!AJ117="N/A"),"",'Intermediate Data'!AJ117)</f>
        <v/>
      </c>
      <c r="AN73" s="529" t="str">
        <f ca="1">IF(OR('Intermediate Data'!AK117="",'Intermediate Data'!AK117="N/A"),"",'Intermediate Data'!AK117)</f>
        <v/>
      </c>
      <c r="AO73" s="132" t="str">
        <f ca="1">IF(OR('Intermediate Data'!AL117="",'Intermediate Data'!AL117="N/A"),"",'Intermediate Data'!AL117)</f>
        <v/>
      </c>
      <c r="AP73" s="163" t="str">
        <f ca="1">IF(OR('Intermediate Data'!AM117="",'Intermediate Data'!AM117="N/A"),"",'Intermediate Data'!AM117)</f>
        <v/>
      </c>
      <c r="AQ73" s="693"/>
      <c r="AR73" s="791" t="str">
        <f ca="1">IF('Intermediate Data'!AP117="","",'Intermediate Data'!AP117)</f>
        <v/>
      </c>
      <c r="AS73" s="791"/>
      <c r="AT73" s="693"/>
      <c r="AU73" s="150"/>
      <c r="AV73" s="804" t="str">
        <f ca="1">'Intermediate Data'!AQ117</f>
        <v/>
      </c>
      <c r="AW73" s="804"/>
      <c r="AX73" s="804"/>
      <c r="AY73" s="804"/>
      <c r="AZ73" s="117"/>
      <c r="BA73" s="150"/>
      <c r="BB73" s="803" t="str">
        <f ca="1">'Intermediate Data'!AR117</f>
        <v/>
      </c>
      <c r="BC73" s="803"/>
      <c r="BD73" s="803"/>
      <c r="BE73" s="803"/>
      <c r="BF73" s="692"/>
      <c r="BG73" s="31"/>
      <c r="BH73" s="31"/>
      <c r="BI73" s="30"/>
      <c r="BJ73" s="30"/>
      <c r="BK73" s="30"/>
      <c r="BL73" s="30"/>
      <c r="BM73" s="30"/>
      <c r="BN73" s="30"/>
      <c r="BO73" s="30"/>
      <c r="BP73" s="30"/>
      <c r="BQ73" s="30"/>
      <c r="BR73" s="30"/>
      <c r="BS73" s="30"/>
      <c r="BT73" s="30"/>
      <c r="BU73" s="30"/>
      <c r="BV73" s="30"/>
    </row>
    <row r="74" spans="1:74" x14ac:dyDescent="0.25">
      <c r="A74" s="30"/>
      <c r="B74" s="30"/>
      <c r="C74" s="30"/>
      <c r="D74" s="30"/>
      <c r="E74" s="30"/>
      <c r="F74" s="30"/>
      <c r="G74" s="30"/>
      <c r="H74" s="30"/>
      <c r="I74" s="30"/>
      <c r="J74" s="30"/>
      <c r="K74" s="30"/>
      <c r="L74" s="30"/>
      <c r="M74" s="30"/>
      <c r="N74" s="38" t="str">
        <f ca="1">'Intermediate Data'!AA118</f>
        <v>Irrigation system</v>
      </c>
      <c r="O74" s="30"/>
      <c r="P74" s="30"/>
      <c r="Q74" s="30"/>
      <c r="R74" s="30"/>
      <c r="S74" s="30"/>
      <c r="T74" s="30"/>
      <c r="U74" s="148"/>
      <c r="V74" s="804" t="str">
        <f ca="1">IF(OR('Intermediate Data'!AG118="",'Intermediate Data'!AG118="N/A"),"",'Intermediate Data'!AG118)</f>
        <v/>
      </c>
      <c r="W74" s="804"/>
      <c r="X74" s="804"/>
      <c r="Y74" s="804"/>
      <c r="Z74" s="111"/>
      <c r="AA74" s="519" t="str">
        <f ca="1">IF(OR('Intermediate Data'!AB118="",'Intermediate Data'!AB118="N/A"),"",'Intermediate Data'!AB118)</f>
        <v/>
      </c>
      <c r="AB74" s="111" t="str">
        <f ca="1">IF(OR('Intermediate Data'!AC118="",'Intermediate Data'!AC118="N/A"),"",'Intermediate Data'!AC118)</f>
        <v/>
      </c>
      <c r="AC74" s="519" t="str">
        <f ca="1">IF(OR('Intermediate Data'!AD118="",'Intermediate Data'!AD118="N/A"),"",'Intermediate Data'!AD118)</f>
        <v/>
      </c>
      <c r="AD74" s="111" t="str">
        <f ca="1">IF(OR('Intermediate Data'!AE118="",'Intermediate Data'!AE118="N/A"),"",'Intermediate Data'!AE118)</f>
        <v/>
      </c>
      <c r="AE74" s="161" t="str">
        <f ca="1">IF(OR('Intermediate Data'!AF118="",'Intermediate Data'!AF118="N/A"),"",'Intermediate Data'!AF118)</f>
        <v/>
      </c>
      <c r="AF74" s="520"/>
      <c r="AG74" s="805" t="str">
        <f ca="1">IF(OR('Intermediate Data'!AN118="",'Intermediate Data'!AN118="N/A"),"",'Intermediate Data'!AN118)</f>
        <v/>
      </c>
      <c r="AH74" s="805"/>
      <c r="AI74" s="805"/>
      <c r="AJ74" s="805"/>
      <c r="AK74" s="117"/>
      <c r="AL74" s="529" t="str">
        <f ca="1">IF(OR('Intermediate Data'!AI118="",'Intermediate Data'!AI118="N/A"),"",'Intermediate Data'!AI118)</f>
        <v/>
      </c>
      <c r="AM74" s="132" t="str">
        <f ca="1">IF(OR('Intermediate Data'!AJ118="",'Intermediate Data'!AJ118="N/A"),"",'Intermediate Data'!AJ118)</f>
        <v/>
      </c>
      <c r="AN74" s="529" t="str">
        <f ca="1">IF(OR('Intermediate Data'!AK118="",'Intermediate Data'!AK118="N/A"),"",'Intermediate Data'!AK118)</f>
        <v/>
      </c>
      <c r="AO74" s="132" t="str">
        <f ca="1">IF(OR('Intermediate Data'!AL118="",'Intermediate Data'!AL118="N/A"),"",'Intermediate Data'!AL118)</f>
        <v/>
      </c>
      <c r="AP74" s="163" t="str">
        <f ca="1">IF(OR('Intermediate Data'!AM118="",'Intermediate Data'!AM118="N/A"),"",'Intermediate Data'!AM118)</f>
        <v/>
      </c>
      <c r="AQ74" s="693"/>
      <c r="AR74" s="791" t="str">
        <f ca="1">IF('Intermediate Data'!AP118="","",'Intermediate Data'!AP118)</f>
        <v/>
      </c>
      <c r="AS74" s="791"/>
      <c r="AT74" s="693"/>
      <c r="AU74" s="150"/>
      <c r="AV74" s="804" t="str">
        <f ca="1">'Intermediate Data'!AQ118</f>
        <v/>
      </c>
      <c r="AW74" s="804"/>
      <c r="AX74" s="804"/>
      <c r="AY74" s="804"/>
      <c r="AZ74" s="117"/>
      <c r="BA74" s="150"/>
      <c r="BB74" s="803" t="str">
        <f ca="1">'Intermediate Data'!AR118</f>
        <v/>
      </c>
      <c r="BC74" s="803"/>
      <c r="BD74" s="803"/>
      <c r="BE74" s="803"/>
      <c r="BF74" s="692"/>
      <c r="BG74" s="31"/>
      <c r="BH74" s="31"/>
      <c r="BI74" s="30"/>
      <c r="BJ74" s="30"/>
      <c r="BK74" s="30"/>
      <c r="BL74" s="30"/>
      <c r="BM74" s="30"/>
      <c r="BN74" s="30"/>
      <c r="BO74" s="30"/>
      <c r="BP74" s="30"/>
      <c r="BQ74" s="30"/>
      <c r="BR74" s="30"/>
      <c r="BS74" s="30"/>
      <c r="BT74" s="30"/>
      <c r="BU74" s="30"/>
      <c r="BV74" s="30"/>
    </row>
    <row r="75" spans="1:74" x14ac:dyDescent="0.25">
      <c r="A75" s="30"/>
      <c r="B75" s="30"/>
      <c r="C75" s="30"/>
      <c r="D75" s="30"/>
      <c r="E75" s="30"/>
      <c r="F75" s="30"/>
      <c r="G75" s="30"/>
      <c r="H75" s="30"/>
      <c r="I75" s="30"/>
      <c r="J75" s="30"/>
      <c r="K75" s="30"/>
      <c r="L75" s="30"/>
      <c r="M75" s="30"/>
      <c r="N75" s="38" t="str">
        <f ca="1">'Intermediate Data'!AA119</f>
        <v>Knife sharpener</v>
      </c>
      <c r="O75" s="30"/>
      <c r="P75" s="30"/>
      <c r="Q75" s="30"/>
      <c r="R75" s="30"/>
      <c r="S75" s="30"/>
      <c r="T75" s="30"/>
      <c r="U75" s="148"/>
      <c r="V75" s="804" t="str">
        <f ca="1">IF(OR('Intermediate Data'!AG119="",'Intermediate Data'!AG119="N/A"),"",'Intermediate Data'!AG119)</f>
        <v/>
      </c>
      <c r="W75" s="804"/>
      <c r="X75" s="804"/>
      <c r="Y75" s="804"/>
      <c r="Z75" s="111"/>
      <c r="AA75" s="519" t="str">
        <f ca="1">IF(OR('Intermediate Data'!AB119="",'Intermediate Data'!AB119="N/A"),"",'Intermediate Data'!AB119)</f>
        <v/>
      </c>
      <c r="AB75" s="111" t="str">
        <f ca="1">IF(OR('Intermediate Data'!AC119="",'Intermediate Data'!AC119="N/A"),"",'Intermediate Data'!AC119)</f>
        <v/>
      </c>
      <c r="AC75" s="519" t="str">
        <f ca="1">IF(OR('Intermediate Data'!AD119="",'Intermediate Data'!AD119="N/A"),"",'Intermediate Data'!AD119)</f>
        <v/>
      </c>
      <c r="AD75" s="111" t="str">
        <f ca="1">IF(OR('Intermediate Data'!AE119="",'Intermediate Data'!AE119="N/A"),"",'Intermediate Data'!AE119)</f>
        <v/>
      </c>
      <c r="AE75" s="161" t="str">
        <f ca="1">IF(OR('Intermediate Data'!AF119="",'Intermediate Data'!AF119="N/A"),"",'Intermediate Data'!AF119)</f>
        <v/>
      </c>
      <c r="AF75" s="520"/>
      <c r="AG75" s="805" t="str">
        <f ca="1">IF(OR('Intermediate Data'!AN119="",'Intermediate Data'!AN119="N/A"),"",'Intermediate Data'!AN119)</f>
        <v/>
      </c>
      <c r="AH75" s="805"/>
      <c r="AI75" s="805"/>
      <c r="AJ75" s="805"/>
      <c r="AK75" s="117"/>
      <c r="AL75" s="529" t="str">
        <f ca="1">IF(OR('Intermediate Data'!AI119="",'Intermediate Data'!AI119="N/A"),"",'Intermediate Data'!AI119)</f>
        <v/>
      </c>
      <c r="AM75" s="132" t="str">
        <f ca="1">IF(OR('Intermediate Data'!AJ119="",'Intermediate Data'!AJ119="N/A"),"",'Intermediate Data'!AJ119)</f>
        <v/>
      </c>
      <c r="AN75" s="529" t="str">
        <f ca="1">IF(OR('Intermediate Data'!AK119="",'Intermediate Data'!AK119="N/A"),"",'Intermediate Data'!AK119)</f>
        <v/>
      </c>
      <c r="AO75" s="132" t="str">
        <f ca="1">IF(OR('Intermediate Data'!AL119="",'Intermediate Data'!AL119="N/A"),"",'Intermediate Data'!AL119)</f>
        <v/>
      </c>
      <c r="AP75" s="163" t="str">
        <f ca="1">IF(OR('Intermediate Data'!AM119="",'Intermediate Data'!AM119="N/A"),"",'Intermediate Data'!AM119)</f>
        <v/>
      </c>
      <c r="AQ75" s="693"/>
      <c r="AR75" s="791" t="str">
        <f ca="1">IF('Intermediate Data'!AP119="","",'Intermediate Data'!AP119)</f>
        <v/>
      </c>
      <c r="AS75" s="791"/>
      <c r="AT75" s="693"/>
      <c r="AU75" s="150"/>
      <c r="AV75" s="804" t="str">
        <f ca="1">'Intermediate Data'!AQ119</f>
        <v/>
      </c>
      <c r="AW75" s="804"/>
      <c r="AX75" s="804"/>
      <c r="AY75" s="804"/>
      <c r="AZ75" s="117"/>
      <c r="BA75" s="150"/>
      <c r="BB75" s="803" t="str">
        <f ca="1">'Intermediate Data'!AR119</f>
        <v/>
      </c>
      <c r="BC75" s="803"/>
      <c r="BD75" s="803"/>
      <c r="BE75" s="803"/>
      <c r="BF75" s="692"/>
      <c r="BG75" s="31"/>
      <c r="BH75" s="31"/>
      <c r="BI75" s="30"/>
      <c r="BJ75" s="30"/>
      <c r="BK75" s="30"/>
      <c r="BL75" s="30"/>
      <c r="BM75" s="30"/>
      <c r="BN75" s="30"/>
      <c r="BO75" s="30"/>
      <c r="BP75" s="30"/>
      <c r="BQ75" s="30"/>
      <c r="BR75" s="30"/>
      <c r="BS75" s="30"/>
      <c r="BT75" s="30"/>
      <c r="BU75" s="30"/>
      <c r="BV75" s="30"/>
    </row>
    <row r="76" spans="1:74" x14ac:dyDescent="0.25">
      <c r="A76" s="30"/>
      <c r="B76" s="30"/>
      <c r="C76" s="30"/>
      <c r="D76" s="30"/>
      <c r="E76" s="30"/>
      <c r="F76" s="30"/>
      <c r="G76" s="30"/>
      <c r="H76" s="30"/>
      <c r="I76" s="30"/>
      <c r="J76" s="30"/>
      <c r="K76" s="30"/>
      <c r="L76" s="30"/>
      <c r="M76" s="30"/>
      <c r="N76" s="168" t="str">
        <f ca="1">'Intermediate Data'!AA120</f>
        <v>Media player/recorder</v>
      </c>
      <c r="O76" s="30"/>
      <c r="P76" s="30"/>
      <c r="Q76" s="30"/>
      <c r="R76" s="30"/>
      <c r="S76" s="30"/>
      <c r="T76" s="30"/>
      <c r="U76" s="148"/>
      <c r="V76" s="804">
        <f ca="1">IF(OR('Intermediate Data'!AG120="",'Intermediate Data'!AG120="N/A"),"",'Intermediate Data'!AG120)</f>
        <v>0.71909487210975553</v>
      </c>
      <c r="W76" s="804"/>
      <c r="X76" s="804"/>
      <c r="Y76" s="804"/>
      <c r="Z76" s="111"/>
      <c r="AA76" s="519" t="str">
        <f ca="1">IF(OR('Intermediate Data'!AB120="",'Intermediate Data'!AB120="N/A"),"",'Intermediate Data'!AB120)</f>
        <v/>
      </c>
      <c r="AB76" s="111" t="str">
        <f ca="1">IF(OR('Intermediate Data'!AC120="",'Intermediate Data'!AC120="N/A"),"",'Intermediate Data'!AC120)</f>
        <v/>
      </c>
      <c r="AC76" s="519" t="str">
        <f ca="1">IF(OR('Intermediate Data'!AD120="",'Intermediate Data'!AD120="N/A"),"",'Intermediate Data'!AD120)</f>
        <v/>
      </c>
      <c r="AD76" s="111">
        <f ca="1">IF(OR('Intermediate Data'!AE120="",'Intermediate Data'!AE120="N/A"),"",'Intermediate Data'!AE120)</f>
        <v>0.71909487210975553</v>
      </c>
      <c r="AE76" s="161" t="str">
        <f ca="1">IF(OR('Intermediate Data'!AF120="",'Intermediate Data'!AF120="N/A"),"",'Intermediate Data'!AF120)</f>
        <v/>
      </c>
      <c r="AF76" s="520"/>
      <c r="AG76" s="805">
        <f ca="1">IF(OR('Intermediate Data'!AN120="",'Intermediate Data'!AN120="N/A"),"",'Intermediate Data'!AN120)</f>
        <v>1.9060000000000001</v>
      </c>
      <c r="AH76" s="805"/>
      <c r="AI76" s="805"/>
      <c r="AJ76" s="805"/>
      <c r="AK76" s="117"/>
      <c r="AL76" s="529" t="str">
        <f ca="1">IF(OR('Intermediate Data'!AI120="",'Intermediate Data'!AI120="N/A"),"",'Intermediate Data'!AI120)</f>
        <v/>
      </c>
      <c r="AM76" s="132">
        <f ca="1">IF(OR('Intermediate Data'!AJ120="",'Intermediate Data'!AJ120="N/A"),"",'Intermediate Data'!AJ120)</f>
        <v>1.8775888734689006</v>
      </c>
      <c r="AN76" s="529" t="str">
        <f ca="1">IF(OR('Intermediate Data'!AK120="",'Intermediate Data'!AK120="N/A"),"",'Intermediate Data'!AK120)</f>
        <v/>
      </c>
      <c r="AO76" s="132">
        <f ca="1">IF(OR('Intermediate Data'!AL120="",'Intermediate Data'!AL120="N/A"),"",'Intermediate Data'!AL120)</f>
        <v>1.1251934270888684</v>
      </c>
      <c r="AP76" s="163">
        <f ca="1">IF(OR('Intermediate Data'!AM120="",'Intermediate Data'!AM120="N/A"),"",'Intermediate Data'!AM120)</f>
        <v>1.9060000000000001</v>
      </c>
      <c r="AQ76" s="693"/>
      <c r="AR76" s="791" t="str">
        <f ca="1">IF('Intermediate Data'!AP120="","",'Intermediate Data'!AP120)</f>
        <v/>
      </c>
      <c r="AS76" s="791"/>
      <c r="AT76" s="693"/>
      <c r="AU76" s="150"/>
      <c r="AV76" s="804">
        <f ca="1">'Intermediate Data'!AQ120</f>
        <v>0.6</v>
      </c>
      <c r="AW76" s="804"/>
      <c r="AX76" s="804"/>
      <c r="AY76" s="804"/>
      <c r="AZ76" s="117"/>
      <c r="BA76" s="150"/>
      <c r="BB76" s="803">
        <f ca="1">'Intermediate Data'!AR120</f>
        <v>7</v>
      </c>
      <c r="BC76" s="803"/>
      <c r="BD76" s="803"/>
      <c r="BE76" s="803"/>
      <c r="BF76" s="692"/>
      <c r="BG76" s="31"/>
      <c r="BH76" s="31"/>
      <c r="BI76" s="30"/>
      <c r="BJ76" s="30"/>
      <c r="BK76" s="30"/>
      <c r="BL76" s="30"/>
      <c r="BM76" s="30"/>
      <c r="BN76" s="30"/>
      <c r="BO76" s="30"/>
      <c r="BP76" s="30"/>
      <c r="BQ76" s="30"/>
      <c r="BR76" s="30"/>
      <c r="BS76" s="30"/>
      <c r="BT76" s="30"/>
      <c r="BU76" s="30"/>
      <c r="BV76" s="30"/>
    </row>
    <row r="77" spans="1:74" x14ac:dyDescent="0.25">
      <c r="A77" s="30"/>
      <c r="B77" s="30"/>
      <c r="C77" s="30"/>
      <c r="D77" s="30"/>
      <c r="E77" s="30"/>
      <c r="F77" s="30"/>
      <c r="G77" s="30"/>
      <c r="H77" s="30"/>
      <c r="I77" s="30"/>
      <c r="J77" s="30"/>
      <c r="K77" s="30"/>
      <c r="L77" s="30"/>
      <c r="M77" s="30"/>
      <c r="N77" s="168" t="str">
        <f ca="1">'Intermediate Data'!AA121</f>
        <v>Medical equipment</v>
      </c>
      <c r="O77" s="30"/>
      <c r="P77" s="30"/>
      <c r="Q77" s="30"/>
      <c r="R77" s="30"/>
      <c r="S77" s="30"/>
      <c r="T77" s="30"/>
      <c r="U77" s="148"/>
      <c r="V77" s="804">
        <f ca="1">IF(OR('Intermediate Data'!AG121="",'Intermediate Data'!AG121="N/A"),"",'Intermediate Data'!AG121)</f>
        <v>4.9943091726367433E-2</v>
      </c>
      <c r="W77" s="804"/>
      <c r="X77" s="804"/>
      <c r="Y77" s="804"/>
      <c r="Z77" s="111"/>
      <c r="AA77" s="519" t="str">
        <f ca="1">IF(OR('Intermediate Data'!AB121="",'Intermediate Data'!AB121="N/A"),"",'Intermediate Data'!AB121)</f>
        <v/>
      </c>
      <c r="AB77" s="111">
        <f ca="1">IF(OR('Intermediate Data'!AC121="",'Intermediate Data'!AC121="N/A"),"",'Intermediate Data'!AC121)</f>
        <v>2.9803524043684457E-2</v>
      </c>
      <c r="AC77" s="519" t="str">
        <f ca="1">IF(OR('Intermediate Data'!AD121="",'Intermediate Data'!AD121="N/A"),"",'Intermediate Data'!AD121)</f>
        <v/>
      </c>
      <c r="AD77" s="111">
        <f ca="1">IF(OR('Intermediate Data'!AE121="",'Intermediate Data'!AE121="N/A"),"",'Intermediate Data'!AE121)</f>
        <v>4.9943091726367433E-2</v>
      </c>
      <c r="AE77" s="161" t="str">
        <f ca="1">IF(OR('Intermediate Data'!AF121="",'Intermediate Data'!AF121="N/A"),"",'Intermediate Data'!AF121)</f>
        <v/>
      </c>
      <c r="AF77" s="520"/>
      <c r="AG77" s="805" t="str">
        <f ca="1">IF(OR('Intermediate Data'!AN121="",'Intermediate Data'!AN121="N/A"),"",'Intermediate Data'!AN121)</f>
        <v/>
      </c>
      <c r="AH77" s="805"/>
      <c r="AI77" s="805"/>
      <c r="AJ77" s="805"/>
      <c r="AK77" s="117"/>
      <c r="AL77" s="529" t="str">
        <f ca="1">IF(OR('Intermediate Data'!AI121="",'Intermediate Data'!AI121="N/A"),"",'Intermediate Data'!AI121)</f>
        <v/>
      </c>
      <c r="AM77" s="132" t="str">
        <f ca="1">IF(OR('Intermediate Data'!AJ121="",'Intermediate Data'!AJ121="N/A"),"",'Intermediate Data'!AJ121)</f>
        <v/>
      </c>
      <c r="AN77" s="529" t="str">
        <f ca="1">IF(OR('Intermediate Data'!AK121="",'Intermediate Data'!AK121="N/A"),"",'Intermediate Data'!AK121)</f>
        <v/>
      </c>
      <c r="AO77" s="132" t="str">
        <f ca="1">IF(OR('Intermediate Data'!AL121="",'Intermediate Data'!AL121="N/A"),"",'Intermediate Data'!AL121)</f>
        <v/>
      </c>
      <c r="AP77" s="163" t="str">
        <f ca="1">IF(OR('Intermediate Data'!AM121="",'Intermediate Data'!AM121="N/A"),"",'Intermediate Data'!AM121)</f>
        <v/>
      </c>
      <c r="AQ77" s="693"/>
      <c r="AR77" s="791" t="str">
        <f ca="1">IF('Intermediate Data'!AP121="","",'Intermediate Data'!AP121)</f>
        <v/>
      </c>
      <c r="AS77" s="791"/>
      <c r="AT77" s="693"/>
      <c r="AU77" s="150"/>
      <c r="AV77" s="804" t="str">
        <f ca="1">'Intermediate Data'!AQ121</f>
        <v/>
      </c>
      <c r="AW77" s="804"/>
      <c r="AX77" s="804"/>
      <c r="AY77" s="804"/>
      <c r="AZ77" s="117"/>
      <c r="BA77" s="150"/>
      <c r="BB77" s="803" t="str">
        <f ca="1">'Intermediate Data'!AR121</f>
        <v/>
      </c>
      <c r="BC77" s="803"/>
      <c r="BD77" s="803"/>
      <c r="BE77" s="803"/>
      <c r="BF77" s="692"/>
      <c r="BG77" s="31"/>
      <c r="BH77" s="31"/>
      <c r="BI77" s="30"/>
      <c r="BJ77" s="30"/>
      <c r="BK77" s="30"/>
      <c r="BL77" s="30"/>
      <c r="BM77" s="30"/>
      <c r="BN77" s="30"/>
      <c r="BO77" s="30"/>
      <c r="BP77" s="30"/>
      <c r="BQ77" s="30"/>
      <c r="BR77" s="30"/>
      <c r="BS77" s="30"/>
      <c r="BT77" s="30"/>
      <c r="BU77" s="30"/>
      <c r="BV77" s="30"/>
    </row>
    <row r="78" spans="1:74" x14ac:dyDescent="0.25">
      <c r="A78" s="30"/>
      <c r="B78" s="30"/>
      <c r="C78" s="30"/>
      <c r="D78" s="30"/>
      <c r="E78" s="30"/>
      <c r="F78" s="30"/>
      <c r="G78" s="30"/>
      <c r="H78" s="30"/>
      <c r="I78" s="30"/>
      <c r="J78" s="30"/>
      <c r="K78" s="30"/>
      <c r="L78" s="30"/>
      <c r="M78" s="30"/>
      <c r="N78" s="168" t="str">
        <f ca="1">'Intermediate Data'!AA122</f>
        <v>Microwave oven</v>
      </c>
      <c r="O78" s="30"/>
      <c r="P78" s="30"/>
      <c r="Q78" s="30"/>
      <c r="R78" s="30"/>
      <c r="S78" s="30"/>
      <c r="T78" s="30"/>
      <c r="U78" s="148"/>
      <c r="V78" s="804">
        <f ca="1">IF(OR('Intermediate Data'!AG122="",'Intermediate Data'!AG122="N/A"),"",'Intermediate Data'!AG122)</f>
        <v>0.86414298720496718</v>
      </c>
      <c r="W78" s="804"/>
      <c r="X78" s="804"/>
      <c r="Y78" s="804"/>
      <c r="Z78" s="111"/>
      <c r="AA78" s="519" t="str">
        <f ca="1">IF(OR('Intermediate Data'!AB122="",'Intermediate Data'!AB122="N/A"),"",'Intermediate Data'!AB122)</f>
        <v/>
      </c>
      <c r="AB78" s="111">
        <f ca="1">IF(OR('Intermediate Data'!AC122="",'Intermediate Data'!AC122="N/A"),"",'Intermediate Data'!AC122)</f>
        <v>0.95128559283769853</v>
      </c>
      <c r="AC78" s="519" t="str">
        <f ca="1">IF(OR('Intermediate Data'!AD122="",'Intermediate Data'!AD122="N/A"),"",'Intermediate Data'!AD122)</f>
        <v/>
      </c>
      <c r="AD78" s="111">
        <f ca="1">IF(OR('Intermediate Data'!AE122="",'Intermediate Data'!AE122="N/A"),"",'Intermediate Data'!AE122)</f>
        <v>0.86414298720496718</v>
      </c>
      <c r="AE78" s="161" t="str">
        <f ca="1">IF(OR('Intermediate Data'!AF122="",'Intermediate Data'!AF122="N/A"),"",'Intermediate Data'!AF122)</f>
        <v/>
      </c>
      <c r="AF78" s="520"/>
      <c r="AG78" s="805" t="str">
        <f ca="1">IF(OR('Intermediate Data'!AN122="",'Intermediate Data'!AN122="N/A"),"",'Intermediate Data'!AN122)</f>
        <v/>
      </c>
      <c r="AH78" s="805"/>
      <c r="AI78" s="805"/>
      <c r="AJ78" s="805"/>
      <c r="AK78" s="117"/>
      <c r="AL78" s="529" t="str">
        <f ca="1">IF(OR('Intermediate Data'!AI122="",'Intermediate Data'!AI122="N/A"),"",'Intermediate Data'!AI122)</f>
        <v/>
      </c>
      <c r="AM78" s="132" t="str">
        <f ca="1">IF(OR('Intermediate Data'!AJ122="",'Intermediate Data'!AJ122="N/A"),"",'Intermediate Data'!AJ122)</f>
        <v/>
      </c>
      <c r="AN78" s="529" t="str">
        <f ca="1">IF(OR('Intermediate Data'!AK122="",'Intermediate Data'!AK122="N/A"),"",'Intermediate Data'!AK122)</f>
        <v/>
      </c>
      <c r="AO78" s="132" t="str">
        <f ca="1">IF(OR('Intermediate Data'!AL122="",'Intermediate Data'!AL122="N/A"),"",'Intermediate Data'!AL122)</f>
        <v/>
      </c>
      <c r="AP78" s="163" t="str">
        <f ca="1">IF(OR('Intermediate Data'!AM122="",'Intermediate Data'!AM122="N/A"),"",'Intermediate Data'!AM122)</f>
        <v/>
      </c>
      <c r="AQ78" s="693"/>
      <c r="AR78" s="791" t="str">
        <f ca="1">IF('Intermediate Data'!AP122="","",'Intermediate Data'!AP122)</f>
        <v/>
      </c>
      <c r="AS78" s="791"/>
      <c r="AT78" s="693"/>
      <c r="AU78" s="150"/>
      <c r="AV78" s="804" t="str">
        <f ca="1">'Intermediate Data'!AQ122</f>
        <v/>
      </c>
      <c r="AW78" s="804"/>
      <c r="AX78" s="804"/>
      <c r="AY78" s="804"/>
      <c r="AZ78" s="117"/>
      <c r="BA78" s="150"/>
      <c r="BB78" s="803" t="str">
        <f ca="1">'Intermediate Data'!AR122</f>
        <v/>
      </c>
      <c r="BC78" s="803"/>
      <c r="BD78" s="803"/>
      <c r="BE78" s="803"/>
      <c r="BF78" s="692"/>
      <c r="BG78" s="31"/>
      <c r="BH78" s="31"/>
      <c r="BI78" s="30"/>
      <c r="BJ78" s="30"/>
      <c r="BK78" s="30"/>
      <c r="BL78" s="30"/>
      <c r="BM78" s="30"/>
      <c r="BN78" s="30"/>
      <c r="BO78" s="30"/>
      <c r="BP78" s="30"/>
      <c r="BQ78" s="30"/>
      <c r="BR78" s="30"/>
      <c r="BS78" s="30"/>
      <c r="BT78" s="30"/>
      <c r="BU78" s="30"/>
      <c r="BV78" s="30"/>
    </row>
    <row r="79" spans="1:74" x14ac:dyDescent="0.25">
      <c r="A79" s="30"/>
      <c r="B79" s="30"/>
      <c r="C79" s="30"/>
      <c r="D79" s="30"/>
      <c r="E79" s="30"/>
      <c r="F79" s="30"/>
      <c r="G79" s="30"/>
      <c r="H79" s="30"/>
      <c r="I79" s="30"/>
      <c r="J79" s="30"/>
      <c r="K79" s="30"/>
      <c r="L79" s="30"/>
      <c r="M79" s="30"/>
      <c r="N79" s="168" t="str">
        <f ca="1">'Intermediate Data'!AA123</f>
        <v>Musical equipment</v>
      </c>
      <c r="O79" s="30"/>
      <c r="P79" s="30"/>
      <c r="Q79" s="30"/>
      <c r="R79" s="30"/>
      <c r="S79" s="30"/>
      <c r="T79" s="30"/>
      <c r="U79" s="148"/>
      <c r="V79" s="804" t="str">
        <f ca="1">IF(OR('Intermediate Data'!AG123="",'Intermediate Data'!AG123="N/A"),"",'Intermediate Data'!AG123)</f>
        <v/>
      </c>
      <c r="W79" s="804"/>
      <c r="X79" s="804"/>
      <c r="Y79" s="804"/>
      <c r="Z79" s="111"/>
      <c r="AA79" s="519" t="str">
        <f ca="1">IF(OR('Intermediate Data'!AB123="",'Intermediate Data'!AB123="N/A"),"",'Intermediate Data'!AB123)</f>
        <v/>
      </c>
      <c r="AB79" s="111" t="str">
        <f ca="1">IF(OR('Intermediate Data'!AC123="",'Intermediate Data'!AC123="N/A"),"",'Intermediate Data'!AC123)</f>
        <v/>
      </c>
      <c r="AC79" s="519" t="str">
        <f ca="1">IF(OR('Intermediate Data'!AD123="",'Intermediate Data'!AD123="N/A"),"",'Intermediate Data'!AD123)</f>
        <v/>
      </c>
      <c r="AD79" s="111" t="str">
        <f ca="1">IF(OR('Intermediate Data'!AE123="",'Intermediate Data'!AE123="N/A"),"",'Intermediate Data'!AE123)</f>
        <v/>
      </c>
      <c r="AE79" s="161" t="str">
        <f ca="1">IF(OR('Intermediate Data'!AF123="",'Intermediate Data'!AF123="N/A"),"",'Intermediate Data'!AF123)</f>
        <v/>
      </c>
      <c r="AF79" s="520"/>
      <c r="AG79" s="805" t="str">
        <f ca="1">IF(OR('Intermediate Data'!AN123="",'Intermediate Data'!AN123="N/A"),"",'Intermediate Data'!AN123)</f>
        <v/>
      </c>
      <c r="AH79" s="805"/>
      <c r="AI79" s="805"/>
      <c r="AJ79" s="805"/>
      <c r="AK79" s="117"/>
      <c r="AL79" s="529" t="str">
        <f ca="1">IF(OR('Intermediate Data'!AI123="",'Intermediate Data'!AI123="N/A"),"",'Intermediate Data'!AI123)</f>
        <v/>
      </c>
      <c r="AM79" s="132" t="str">
        <f ca="1">IF(OR('Intermediate Data'!AJ123="",'Intermediate Data'!AJ123="N/A"),"",'Intermediate Data'!AJ123)</f>
        <v/>
      </c>
      <c r="AN79" s="529" t="str">
        <f ca="1">IF(OR('Intermediate Data'!AK123="",'Intermediate Data'!AK123="N/A"),"",'Intermediate Data'!AK123)</f>
        <v/>
      </c>
      <c r="AO79" s="132" t="str">
        <f ca="1">IF(OR('Intermediate Data'!AL123="",'Intermediate Data'!AL123="N/A"),"",'Intermediate Data'!AL123)</f>
        <v/>
      </c>
      <c r="AP79" s="163" t="str">
        <f ca="1">IF(OR('Intermediate Data'!AM123="",'Intermediate Data'!AM123="N/A"),"",'Intermediate Data'!AM123)</f>
        <v/>
      </c>
      <c r="AQ79" s="693"/>
      <c r="AR79" s="791" t="str">
        <f ca="1">IF('Intermediate Data'!AP123="","",'Intermediate Data'!AP123)</f>
        <v/>
      </c>
      <c r="AS79" s="791"/>
      <c r="AT79" s="693"/>
      <c r="AU79" s="150"/>
      <c r="AV79" s="804" t="str">
        <f ca="1">'Intermediate Data'!AQ123</f>
        <v/>
      </c>
      <c r="AW79" s="804"/>
      <c r="AX79" s="804"/>
      <c r="AY79" s="804"/>
      <c r="AZ79" s="117"/>
      <c r="BA79" s="150"/>
      <c r="BB79" s="803" t="str">
        <f ca="1">'Intermediate Data'!AR123</f>
        <v/>
      </c>
      <c r="BC79" s="803"/>
      <c r="BD79" s="803"/>
      <c r="BE79" s="803"/>
      <c r="BF79" s="692"/>
      <c r="BG79" s="31"/>
      <c r="BH79" s="31"/>
      <c r="BI79" s="30"/>
      <c r="BJ79" s="30"/>
      <c r="BK79" s="30"/>
      <c r="BL79" s="30"/>
      <c r="BM79" s="30"/>
      <c r="BN79" s="30"/>
      <c r="BO79" s="30"/>
      <c r="BP79" s="30"/>
      <c r="BQ79" s="30"/>
      <c r="BR79" s="30"/>
      <c r="BS79" s="30"/>
      <c r="BT79" s="30"/>
      <c r="BU79" s="30"/>
      <c r="BV79" s="30"/>
    </row>
    <row r="80" spans="1:74" x14ac:dyDescent="0.25">
      <c r="A80" s="30"/>
      <c r="B80" s="30"/>
      <c r="C80" s="30"/>
      <c r="D80" s="30"/>
      <c r="E80" s="30"/>
      <c r="F80" s="30"/>
      <c r="G80" s="30"/>
      <c r="H80" s="30"/>
      <c r="I80" s="30"/>
      <c r="J80" s="30"/>
      <c r="K80" s="30"/>
      <c r="L80" s="30"/>
      <c r="M80" s="30"/>
      <c r="N80" s="168" t="str">
        <f ca="1">'Intermediate Data'!AA124</f>
        <v>Network attached storage drive</v>
      </c>
      <c r="O80" s="30"/>
      <c r="P80" s="30"/>
      <c r="Q80" s="30"/>
      <c r="R80" s="30"/>
      <c r="S80" s="30"/>
      <c r="T80" s="30"/>
      <c r="U80" s="148"/>
      <c r="V80" s="804" t="str">
        <f ca="1">IF(OR('Intermediate Data'!AG124="",'Intermediate Data'!AG124="N/A"),"",'Intermediate Data'!AG124)</f>
        <v/>
      </c>
      <c r="W80" s="804"/>
      <c r="X80" s="804"/>
      <c r="Y80" s="804"/>
      <c r="Z80" s="111"/>
      <c r="AA80" s="519" t="str">
        <f ca="1">IF(OR('Intermediate Data'!AB124="",'Intermediate Data'!AB124="N/A"),"",'Intermediate Data'!AB124)</f>
        <v/>
      </c>
      <c r="AB80" s="111" t="str">
        <f ca="1">IF(OR('Intermediate Data'!AC124="",'Intermediate Data'!AC124="N/A"),"",'Intermediate Data'!AC124)</f>
        <v/>
      </c>
      <c r="AC80" s="519" t="str">
        <f ca="1">IF(OR('Intermediate Data'!AD124="",'Intermediate Data'!AD124="N/A"),"",'Intermediate Data'!AD124)</f>
        <v/>
      </c>
      <c r="AD80" s="111" t="str">
        <f ca="1">IF(OR('Intermediate Data'!AE124="",'Intermediate Data'!AE124="N/A"),"",'Intermediate Data'!AE124)</f>
        <v/>
      </c>
      <c r="AE80" s="161" t="str">
        <f ca="1">IF(OR('Intermediate Data'!AF124="",'Intermediate Data'!AF124="N/A"),"",'Intermediate Data'!AF124)</f>
        <v/>
      </c>
      <c r="AF80" s="520"/>
      <c r="AG80" s="805" t="str">
        <f ca="1">IF(OR('Intermediate Data'!AN124="",'Intermediate Data'!AN124="N/A"),"",'Intermediate Data'!AN124)</f>
        <v/>
      </c>
      <c r="AH80" s="805"/>
      <c r="AI80" s="805"/>
      <c r="AJ80" s="805"/>
      <c r="AK80" s="117"/>
      <c r="AL80" s="529" t="str">
        <f ca="1">IF(OR('Intermediate Data'!AI124="",'Intermediate Data'!AI124="N/A"),"",'Intermediate Data'!AI124)</f>
        <v/>
      </c>
      <c r="AM80" s="132" t="str">
        <f ca="1">IF(OR('Intermediate Data'!AJ124="",'Intermediate Data'!AJ124="N/A"),"",'Intermediate Data'!AJ124)</f>
        <v/>
      </c>
      <c r="AN80" s="529" t="str">
        <f ca="1">IF(OR('Intermediate Data'!AK124="",'Intermediate Data'!AK124="N/A"),"",'Intermediate Data'!AK124)</f>
        <v/>
      </c>
      <c r="AO80" s="132" t="str">
        <f ca="1">IF(OR('Intermediate Data'!AL124="",'Intermediate Data'!AL124="N/A"),"",'Intermediate Data'!AL124)</f>
        <v/>
      </c>
      <c r="AP80" s="163" t="str">
        <f ca="1">IF(OR('Intermediate Data'!AM124="",'Intermediate Data'!AM124="N/A"),"",'Intermediate Data'!AM124)</f>
        <v/>
      </c>
      <c r="AQ80" s="693"/>
      <c r="AR80" s="791" t="str">
        <f ca="1">IF('Intermediate Data'!AP124="","",'Intermediate Data'!AP124)</f>
        <v/>
      </c>
      <c r="AS80" s="791"/>
      <c r="AT80" s="693"/>
      <c r="AU80" s="150"/>
      <c r="AV80" s="804" t="str">
        <f ca="1">'Intermediate Data'!AQ124</f>
        <v/>
      </c>
      <c r="AW80" s="804"/>
      <c r="AX80" s="804"/>
      <c r="AY80" s="804"/>
      <c r="AZ80" s="117"/>
      <c r="BA80" s="150"/>
      <c r="BB80" s="803" t="str">
        <f ca="1">'Intermediate Data'!AR124</f>
        <v/>
      </c>
      <c r="BC80" s="803"/>
      <c r="BD80" s="803"/>
      <c r="BE80" s="803"/>
      <c r="BF80" s="692"/>
      <c r="BG80" s="31"/>
      <c r="BH80" s="31"/>
      <c r="BI80" s="30"/>
      <c r="BJ80" s="30"/>
      <c r="BK80" s="30"/>
      <c r="BL80" s="30"/>
      <c r="BM80" s="30"/>
      <c r="BN80" s="30"/>
      <c r="BO80" s="30"/>
      <c r="BP80" s="30"/>
      <c r="BQ80" s="30"/>
      <c r="BR80" s="30"/>
      <c r="BS80" s="30"/>
      <c r="BT80" s="30"/>
      <c r="BU80" s="30"/>
      <c r="BV80" s="30"/>
    </row>
    <row r="81" spans="1:74" x14ac:dyDescent="0.25">
      <c r="A81" s="30"/>
      <c r="B81" s="30"/>
      <c r="C81" s="30"/>
      <c r="D81" s="30"/>
      <c r="E81" s="30"/>
      <c r="F81" s="30"/>
      <c r="G81" s="30"/>
      <c r="H81" s="30"/>
      <c r="I81" s="30"/>
      <c r="J81" s="30"/>
      <c r="K81" s="30"/>
      <c r="L81" s="30"/>
      <c r="M81" s="30"/>
      <c r="N81" s="168" t="str">
        <f ca="1">'Intermediate Data'!AA125</f>
        <v>Network equipment</v>
      </c>
      <c r="O81" s="31"/>
      <c r="P81" s="31"/>
      <c r="Q81" s="31"/>
      <c r="R81" s="31"/>
      <c r="S81" s="31"/>
      <c r="T81" s="31"/>
      <c r="U81" s="148"/>
      <c r="V81" s="804">
        <f ca="1">IF(OR('Intermediate Data'!AG125="",'Intermediate Data'!AG125="N/A"),"",'Intermediate Data'!AG125)</f>
        <v>0.6363562558276038</v>
      </c>
      <c r="W81" s="804"/>
      <c r="X81" s="804"/>
      <c r="Y81" s="804"/>
      <c r="Z81" s="157"/>
      <c r="AA81" s="519" t="str">
        <f ca="1">IF(OR('Intermediate Data'!AB125="",'Intermediate Data'!AB125="N/A"),"",'Intermediate Data'!AB125)</f>
        <v/>
      </c>
      <c r="AB81" s="111">
        <f ca="1">IF(OR('Intermediate Data'!AC125="",'Intermediate Data'!AC125="N/A"),"",'Intermediate Data'!AC125)</f>
        <v>0.31656002225626545</v>
      </c>
      <c r="AC81" s="519" t="str">
        <f ca="1">IF(OR('Intermediate Data'!AD125="",'Intermediate Data'!AD125="N/A"),"",'Intermediate Data'!AD125)</f>
        <v/>
      </c>
      <c r="AD81" s="111">
        <f ca="1">IF(OR('Intermediate Data'!AE125="",'Intermediate Data'!AE125="N/A"),"",'Intermediate Data'!AE125)</f>
        <v>0.6363562558276038</v>
      </c>
      <c r="AE81" s="161" t="str">
        <f ca="1">IF(OR('Intermediate Data'!AF125="",'Intermediate Data'!AF125="N/A"),"",'Intermediate Data'!AF125)</f>
        <v/>
      </c>
      <c r="AF81" s="520"/>
      <c r="AG81" s="805">
        <f ca="1">IF(OR('Intermediate Data'!AN125="",'Intermediate Data'!AN125="N/A"),"",'Intermediate Data'!AN125)</f>
        <v>0.67710747254138626</v>
      </c>
      <c r="AH81" s="805"/>
      <c r="AI81" s="805"/>
      <c r="AJ81" s="805"/>
      <c r="AK81" s="157"/>
      <c r="AL81" s="529" t="str">
        <f ca="1">IF(OR('Intermediate Data'!AI125="",'Intermediate Data'!AI125="N/A"),"",'Intermediate Data'!AI125)</f>
        <v/>
      </c>
      <c r="AM81" s="132">
        <f ca="1">IF(OR('Intermediate Data'!AJ125="",'Intermediate Data'!AJ125="N/A"),"",'Intermediate Data'!AJ125)</f>
        <v>0.35040677506377932</v>
      </c>
      <c r="AN81" s="529" t="str">
        <f ca="1">IF(OR('Intermediate Data'!AK125="",'Intermediate Data'!AK125="N/A"),"",'Intermediate Data'!AK125)</f>
        <v/>
      </c>
      <c r="AO81" s="132">
        <f ca="1">IF(OR('Intermediate Data'!AL125="",'Intermediate Data'!AL125="N/A"),"",'Intermediate Data'!AL125)</f>
        <v>0.67710747254138626</v>
      </c>
      <c r="AP81" s="163" t="str">
        <f ca="1">IF(OR('Intermediate Data'!AM125="",'Intermediate Data'!AM125="N/A"),"",'Intermediate Data'!AM125)</f>
        <v/>
      </c>
      <c r="AQ81" s="693"/>
      <c r="AR81" s="791" t="str">
        <f ca="1">IF('Intermediate Data'!AP125="","",'Intermediate Data'!AP125)</f>
        <v/>
      </c>
      <c r="AS81" s="791"/>
      <c r="AT81" s="693"/>
      <c r="AU81" s="150"/>
      <c r="AV81" s="804" t="str">
        <f ca="1">'Intermediate Data'!AQ125</f>
        <v>Not published</v>
      </c>
      <c r="AW81" s="804"/>
      <c r="AX81" s="804"/>
      <c r="AY81" s="804"/>
      <c r="AZ81" s="157"/>
      <c r="BA81" s="150"/>
      <c r="BB81" s="803">
        <f ca="1">'Intermediate Data'!AR125</f>
        <v>15</v>
      </c>
      <c r="BC81" s="803"/>
      <c r="BD81" s="803"/>
      <c r="BE81" s="803"/>
      <c r="BF81" s="692"/>
      <c r="BG81" s="31"/>
      <c r="BH81" s="31"/>
      <c r="BI81" s="30"/>
      <c r="BJ81" s="30"/>
      <c r="BK81" s="30"/>
      <c r="BL81" s="30"/>
      <c r="BM81" s="30"/>
      <c r="BN81" s="30"/>
      <c r="BO81" s="30"/>
      <c r="BP81" s="30"/>
      <c r="BQ81" s="30"/>
      <c r="BR81" s="30"/>
      <c r="BS81" s="30"/>
      <c r="BT81" s="30"/>
      <c r="BU81" s="30"/>
      <c r="BV81" s="30"/>
    </row>
    <row r="82" spans="1:74" x14ac:dyDescent="0.25">
      <c r="A82" s="30"/>
      <c r="B82" s="30"/>
      <c r="C82" s="30"/>
      <c r="D82" s="30"/>
      <c r="E82" s="30"/>
      <c r="F82" s="30"/>
      <c r="G82" s="30"/>
      <c r="H82" s="30"/>
      <c r="I82" s="30"/>
      <c r="J82" s="30"/>
      <c r="K82" s="30"/>
      <c r="L82" s="30"/>
      <c r="M82" s="30"/>
      <c r="N82" s="168" t="str">
        <f ca="1">'Intermediate Data'!AA126</f>
        <v>Notebook (portable computer)</v>
      </c>
      <c r="O82" s="31"/>
      <c r="P82" s="31"/>
      <c r="Q82" s="31"/>
      <c r="R82" s="31"/>
      <c r="S82" s="31"/>
      <c r="T82" s="31"/>
      <c r="U82" s="148"/>
      <c r="V82" s="804">
        <f ca="1">IF(OR('Intermediate Data'!AG126="",'Intermediate Data'!AG126="N/A"),"",'Intermediate Data'!AG126)</f>
        <v>0.40990600000000005</v>
      </c>
      <c r="W82" s="804"/>
      <c r="X82" s="804"/>
      <c r="Y82" s="804"/>
      <c r="Z82" s="157"/>
      <c r="AA82" s="519" t="str">
        <f ca="1">IF(OR('Intermediate Data'!AB126="",'Intermediate Data'!AB126="N/A"),"",'Intermediate Data'!AB126)</f>
        <v/>
      </c>
      <c r="AB82" s="111" t="str">
        <f ca="1">IF(OR('Intermediate Data'!AC126="",'Intermediate Data'!AC126="N/A"),"",'Intermediate Data'!AC126)</f>
        <v/>
      </c>
      <c r="AC82" s="519" t="str">
        <f ca="1">IF(OR('Intermediate Data'!AD126="",'Intermediate Data'!AD126="N/A"),"",'Intermediate Data'!AD126)</f>
        <v/>
      </c>
      <c r="AD82" s="111">
        <f ca="1">IF(OR('Intermediate Data'!AE126="",'Intermediate Data'!AE126="N/A"),"",'Intermediate Data'!AE126)</f>
        <v>0.53859045289216145</v>
      </c>
      <c r="AE82" s="161">
        <f ca="1">IF(OR('Intermediate Data'!AF126="",'Intermediate Data'!AF126="N/A"),"",'Intermediate Data'!AF126)</f>
        <v>0.40990600000000005</v>
      </c>
      <c r="AF82" s="520"/>
      <c r="AG82" s="805">
        <f ca="1">IF(OR('Intermediate Data'!AN126="",'Intermediate Data'!AN126="N/A"),"",'Intermediate Data'!AN126)</f>
        <v>0.75254778096811481</v>
      </c>
      <c r="AH82" s="805"/>
      <c r="AI82" s="805"/>
      <c r="AJ82" s="805"/>
      <c r="AK82" s="157"/>
      <c r="AL82" s="529" t="str">
        <f ca="1">IF(OR('Intermediate Data'!AI126="",'Intermediate Data'!AI126="N/A"),"",'Intermediate Data'!AI126)</f>
        <v/>
      </c>
      <c r="AM82" s="132" t="str">
        <f ca="1">IF(OR('Intermediate Data'!AJ126="",'Intermediate Data'!AJ126="N/A"),"",'Intermediate Data'!AJ126)</f>
        <v/>
      </c>
      <c r="AN82" s="529" t="str">
        <f ca="1">IF(OR('Intermediate Data'!AK126="",'Intermediate Data'!AK126="N/A"),"",'Intermediate Data'!AK126)</f>
        <v/>
      </c>
      <c r="AO82" s="132">
        <f ca="1">IF(OR('Intermediate Data'!AL126="",'Intermediate Data'!AL126="N/A"),"",'Intermediate Data'!AL126)</f>
        <v>0.75254778096811481</v>
      </c>
      <c r="AP82" s="163" t="str">
        <f ca="1">IF(OR('Intermediate Data'!AM126="",'Intermediate Data'!AM126="N/A"),"",'Intermediate Data'!AM126)</f>
        <v/>
      </c>
      <c r="AQ82" s="693"/>
      <c r="AR82" s="791" t="str">
        <f ca="1">IF('Intermediate Data'!AP126="","",'Intermediate Data'!AP126)</f>
        <v/>
      </c>
      <c r="AS82" s="791"/>
      <c r="AT82" s="693"/>
      <c r="AU82" s="150"/>
      <c r="AV82" s="804">
        <f ca="1">'Intermediate Data'!AQ126</f>
        <v>0.74</v>
      </c>
      <c r="AW82" s="804"/>
      <c r="AX82" s="804"/>
      <c r="AY82" s="804"/>
      <c r="AZ82" s="157"/>
      <c r="BA82" s="150"/>
      <c r="BB82" s="803">
        <f ca="1">'Intermediate Data'!AR126</f>
        <v>12</v>
      </c>
      <c r="BC82" s="803"/>
      <c r="BD82" s="803"/>
      <c r="BE82" s="803"/>
      <c r="BF82" s="692"/>
      <c r="BG82" s="31"/>
      <c r="BH82" s="31"/>
      <c r="BI82" s="30"/>
    </row>
    <row r="83" spans="1:74" x14ac:dyDescent="0.25">
      <c r="A83" s="30"/>
      <c r="B83" s="30"/>
      <c r="C83" s="30"/>
      <c r="D83" s="30"/>
      <c r="E83" s="30"/>
      <c r="F83" s="30"/>
      <c r="G83" s="30"/>
      <c r="H83" s="30"/>
      <c r="I83" s="30"/>
      <c r="J83" s="30"/>
      <c r="K83" s="30"/>
      <c r="L83" s="30"/>
      <c r="M83" s="30"/>
      <c r="N83" s="168" t="str">
        <f ca="1">'Intermediate Data'!AA127</f>
        <v>Occupancy sensor</v>
      </c>
      <c r="O83" s="31"/>
      <c r="P83" s="31"/>
      <c r="Q83" s="31"/>
      <c r="R83" s="31"/>
      <c r="S83" s="31"/>
      <c r="T83" s="31"/>
      <c r="U83" s="148"/>
      <c r="V83" s="804" t="str">
        <f ca="1">IF(OR('Intermediate Data'!AG127="",'Intermediate Data'!AG127="N/A"),"",'Intermediate Data'!AG127)</f>
        <v/>
      </c>
      <c r="W83" s="804"/>
      <c r="X83" s="804"/>
      <c r="Y83" s="804"/>
      <c r="Z83" s="157"/>
      <c r="AA83" s="519" t="str">
        <f ca="1">IF(OR('Intermediate Data'!AB127="",'Intermediate Data'!AB127="N/A"),"",'Intermediate Data'!AB127)</f>
        <v/>
      </c>
      <c r="AB83" s="111" t="str">
        <f ca="1">IF(OR('Intermediate Data'!AC127="",'Intermediate Data'!AC127="N/A"),"",'Intermediate Data'!AC127)</f>
        <v/>
      </c>
      <c r="AC83" s="519" t="str">
        <f ca="1">IF(OR('Intermediate Data'!AD127="",'Intermediate Data'!AD127="N/A"),"",'Intermediate Data'!AD127)</f>
        <v/>
      </c>
      <c r="AD83" s="111" t="str">
        <f ca="1">IF(OR('Intermediate Data'!AE127="",'Intermediate Data'!AE127="N/A"),"",'Intermediate Data'!AE127)</f>
        <v/>
      </c>
      <c r="AE83" s="161" t="str">
        <f ca="1">IF(OR('Intermediate Data'!AF127="",'Intermediate Data'!AF127="N/A"),"",'Intermediate Data'!AF127)</f>
        <v/>
      </c>
      <c r="AF83" s="520"/>
      <c r="AG83" s="805" t="str">
        <f ca="1">IF(OR('Intermediate Data'!AN127="",'Intermediate Data'!AN127="N/A"),"",'Intermediate Data'!AN127)</f>
        <v/>
      </c>
      <c r="AH83" s="805"/>
      <c r="AI83" s="805"/>
      <c r="AJ83" s="805"/>
      <c r="AK83" s="157"/>
      <c r="AL83" s="529" t="str">
        <f ca="1">IF(OR('Intermediate Data'!AI127="",'Intermediate Data'!AI127="N/A"),"",'Intermediate Data'!AI127)</f>
        <v/>
      </c>
      <c r="AM83" s="132" t="str">
        <f ca="1">IF(OR('Intermediate Data'!AJ127="",'Intermediate Data'!AJ127="N/A"),"",'Intermediate Data'!AJ127)</f>
        <v/>
      </c>
      <c r="AN83" s="529" t="str">
        <f ca="1">IF(OR('Intermediate Data'!AK127="",'Intermediate Data'!AK127="N/A"),"",'Intermediate Data'!AK127)</f>
        <v/>
      </c>
      <c r="AO83" s="132" t="str">
        <f ca="1">IF(OR('Intermediate Data'!AL127="",'Intermediate Data'!AL127="N/A"),"",'Intermediate Data'!AL127)</f>
        <v/>
      </c>
      <c r="AP83" s="163" t="str">
        <f ca="1">IF(OR('Intermediate Data'!AM127="",'Intermediate Data'!AM127="N/A"),"",'Intermediate Data'!AM127)</f>
        <v/>
      </c>
      <c r="AQ83" s="693"/>
      <c r="AR83" s="791" t="str">
        <f ca="1">IF('Intermediate Data'!AP127="","",'Intermediate Data'!AP127)</f>
        <v/>
      </c>
      <c r="AS83" s="791"/>
      <c r="AT83" s="693"/>
      <c r="AU83" s="150"/>
      <c r="AV83" s="804" t="str">
        <f ca="1">'Intermediate Data'!AQ127</f>
        <v/>
      </c>
      <c r="AW83" s="804"/>
      <c r="AX83" s="804"/>
      <c r="AY83" s="804"/>
      <c r="AZ83" s="157"/>
      <c r="BA83" s="150"/>
      <c r="BB83" s="803" t="str">
        <f ca="1">'Intermediate Data'!AR127</f>
        <v/>
      </c>
      <c r="BC83" s="803"/>
      <c r="BD83" s="803"/>
      <c r="BE83" s="803"/>
      <c r="BF83" s="692"/>
      <c r="BG83" s="31"/>
      <c r="BH83" s="31"/>
      <c r="BI83" s="30"/>
    </row>
    <row r="84" spans="1:74" x14ac:dyDescent="0.25">
      <c r="A84" s="30"/>
      <c r="B84" s="30"/>
      <c r="C84" s="30"/>
      <c r="D84" s="30"/>
      <c r="E84" s="30"/>
      <c r="F84" s="30"/>
      <c r="G84" s="30"/>
      <c r="H84" s="30"/>
      <c r="I84" s="30"/>
      <c r="J84" s="30"/>
      <c r="K84" s="30"/>
      <c r="L84" s="30"/>
      <c r="M84" s="30"/>
      <c r="N84" s="168" t="str">
        <f ca="1">'Intermediate Data'!AA128</f>
        <v>Oven/Range - Electric</v>
      </c>
      <c r="O84" s="31"/>
      <c r="P84" s="31"/>
      <c r="Q84" s="31"/>
      <c r="R84" s="31"/>
      <c r="S84" s="31"/>
      <c r="T84" s="31"/>
      <c r="U84" s="148"/>
      <c r="V84" s="804">
        <f ca="1">IF(OR('Intermediate Data'!AG128="",'Intermediate Data'!AG128="N/A"),"",'Intermediate Data'!AG128)</f>
        <v>0.40300000000000002</v>
      </c>
      <c r="W84" s="804"/>
      <c r="X84" s="804"/>
      <c r="Y84" s="804"/>
      <c r="Z84" s="157"/>
      <c r="AA84" s="519" t="str">
        <f ca="1">IF(OR('Intermediate Data'!AB128="",'Intermediate Data'!AB128="N/A"),"",'Intermediate Data'!AB128)</f>
        <v/>
      </c>
      <c r="AB84" s="111">
        <f ca="1">IF(OR('Intermediate Data'!AC128="",'Intermediate Data'!AC128="N/A"),"",'Intermediate Data'!AC128)</f>
        <v>0.35085418252428829</v>
      </c>
      <c r="AC84" s="519" t="str">
        <f ca="1">IF(OR('Intermediate Data'!AD128="",'Intermediate Data'!AD128="N/A"),"",'Intermediate Data'!AD128)</f>
        <v/>
      </c>
      <c r="AD84" s="111">
        <f ca="1">IF(OR('Intermediate Data'!AE128="",'Intermediate Data'!AE128="N/A"),"",'Intermediate Data'!AE128)</f>
        <v>0.38628919820289026</v>
      </c>
      <c r="AE84" s="161">
        <f ca="1">IF(OR('Intermediate Data'!AF128="",'Intermediate Data'!AF128="N/A"),"",'Intermediate Data'!AF128)</f>
        <v>0.40300000000000002</v>
      </c>
      <c r="AF84" s="520"/>
      <c r="AG84" s="805" t="str">
        <f ca="1">IF(OR('Intermediate Data'!AN128="",'Intermediate Data'!AN128="N/A"),"",'Intermediate Data'!AN128)</f>
        <v/>
      </c>
      <c r="AH84" s="805"/>
      <c r="AI84" s="805"/>
      <c r="AJ84" s="805"/>
      <c r="AK84" s="157"/>
      <c r="AL84" s="529" t="str">
        <f ca="1">IF(OR('Intermediate Data'!AI128="",'Intermediate Data'!AI128="N/A"),"",'Intermediate Data'!AI128)</f>
        <v/>
      </c>
      <c r="AM84" s="132" t="str">
        <f ca="1">IF(OR('Intermediate Data'!AJ128="",'Intermediate Data'!AJ128="N/A"),"",'Intermediate Data'!AJ128)</f>
        <v/>
      </c>
      <c r="AN84" s="529" t="str">
        <f ca="1">IF(OR('Intermediate Data'!AK128="",'Intermediate Data'!AK128="N/A"),"",'Intermediate Data'!AK128)</f>
        <v/>
      </c>
      <c r="AO84" s="132" t="str">
        <f ca="1">IF(OR('Intermediate Data'!AL128="",'Intermediate Data'!AL128="N/A"),"",'Intermediate Data'!AL128)</f>
        <v/>
      </c>
      <c r="AP84" s="163" t="str">
        <f ca="1">IF(OR('Intermediate Data'!AM128="",'Intermediate Data'!AM128="N/A"),"",'Intermediate Data'!AM128)</f>
        <v/>
      </c>
      <c r="AQ84" s="693"/>
      <c r="AR84" s="791" t="str">
        <f ca="1">IF('Intermediate Data'!AP128="","",'Intermediate Data'!AP128)</f>
        <v/>
      </c>
      <c r="AS84" s="791"/>
      <c r="AT84" s="693"/>
      <c r="AU84" s="150"/>
      <c r="AV84" s="804" t="str">
        <f ca="1">'Intermediate Data'!AQ128</f>
        <v/>
      </c>
      <c r="AW84" s="804"/>
      <c r="AX84" s="804"/>
      <c r="AY84" s="804"/>
      <c r="AZ84" s="157"/>
      <c r="BA84" s="150"/>
      <c r="BB84" s="803" t="str">
        <f ca="1">'Intermediate Data'!AR128</f>
        <v/>
      </c>
      <c r="BC84" s="803"/>
      <c r="BD84" s="803"/>
      <c r="BE84" s="803"/>
      <c r="BF84" s="692"/>
      <c r="BG84" s="31"/>
      <c r="BH84" s="31"/>
      <c r="BI84" s="30"/>
    </row>
    <row r="85" spans="1:74" x14ac:dyDescent="0.25">
      <c r="A85" s="30"/>
      <c r="B85" s="30"/>
      <c r="C85" s="30"/>
      <c r="D85" s="30"/>
      <c r="E85" s="30"/>
      <c r="F85" s="30"/>
      <c r="G85" s="30"/>
      <c r="H85" s="30"/>
      <c r="I85" s="30"/>
      <c r="J85" s="30"/>
      <c r="K85" s="30"/>
      <c r="L85" s="30"/>
      <c r="M85" s="30"/>
      <c r="N85" s="168" t="str">
        <f ca="1">'Intermediate Data'!AA129</f>
        <v>Pond pump</v>
      </c>
      <c r="O85" s="31"/>
      <c r="P85" s="31"/>
      <c r="Q85" s="31"/>
      <c r="R85" s="31"/>
      <c r="S85" s="31"/>
      <c r="T85" s="31"/>
      <c r="U85" s="148"/>
      <c r="V85" s="804">
        <f ca="1">IF(OR('Intermediate Data'!AG129="",'Intermediate Data'!AG129="N/A"),"",'Intermediate Data'!AG129)</f>
        <v>8.9089064933867201E-2</v>
      </c>
      <c r="W85" s="804"/>
      <c r="X85" s="804"/>
      <c r="Y85" s="804"/>
      <c r="Z85" s="157"/>
      <c r="AA85" s="519" t="str">
        <f ca="1">IF(OR('Intermediate Data'!AB129="",'Intermediate Data'!AB129="N/A"),"",'Intermediate Data'!AB129)</f>
        <v/>
      </c>
      <c r="AB85" s="111">
        <f ca="1">IF(OR('Intermediate Data'!AC129="",'Intermediate Data'!AC129="N/A"),"",'Intermediate Data'!AC129)</f>
        <v>6.7916924928752453E-2</v>
      </c>
      <c r="AC85" s="519" t="str">
        <f ca="1">IF(OR('Intermediate Data'!AD129="",'Intermediate Data'!AD129="N/A"),"",'Intermediate Data'!AD129)</f>
        <v/>
      </c>
      <c r="AD85" s="111">
        <f ca="1">IF(OR('Intermediate Data'!AE129="",'Intermediate Data'!AE129="N/A"),"",'Intermediate Data'!AE129)</f>
        <v>8.9089064933867201E-2</v>
      </c>
      <c r="AE85" s="161" t="str">
        <f ca="1">IF(OR('Intermediate Data'!AF129="",'Intermediate Data'!AF129="N/A"),"",'Intermediate Data'!AF129)</f>
        <v/>
      </c>
      <c r="AF85" s="520"/>
      <c r="AG85" s="805">
        <f ca="1">IF(OR('Intermediate Data'!AN129="",'Intermediate Data'!AN129="N/A"),"",'Intermediate Data'!AN129)</f>
        <v>0.10189298936826235</v>
      </c>
      <c r="AH85" s="805"/>
      <c r="AI85" s="805"/>
      <c r="AJ85" s="805"/>
      <c r="AK85" s="157"/>
      <c r="AL85" s="529" t="str">
        <f ca="1">IF(OR('Intermediate Data'!AI129="",'Intermediate Data'!AI129="N/A"),"",'Intermediate Data'!AI129)</f>
        <v/>
      </c>
      <c r="AM85" s="132">
        <f ca="1">IF(OR('Intermediate Data'!AJ129="",'Intermediate Data'!AJ129="N/A"),"",'Intermediate Data'!AJ129)</f>
        <v>7.7998270741605993E-2</v>
      </c>
      <c r="AN85" s="529" t="str">
        <f ca="1">IF(OR('Intermediate Data'!AK129="",'Intermediate Data'!AK129="N/A"),"",'Intermediate Data'!AK129)</f>
        <v/>
      </c>
      <c r="AO85" s="132">
        <f ca="1">IF(OR('Intermediate Data'!AL129="",'Intermediate Data'!AL129="N/A"),"",'Intermediate Data'!AL129)</f>
        <v>0.10189298936826235</v>
      </c>
      <c r="AP85" s="163" t="str">
        <f ca="1">IF(OR('Intermediate Data'!AM129="",'Intermediate Data'!AM129="N/A"),"",'Intermediate Data'!AM129)</f>
        <v/>
      </c>
      <c r="AQ85" s="693"/>
      <c r="AR85" s="791" t="str">
        <f ca="1">IF('Intermediate Data'!AP129="","",'Intermediate Data'!AP129)</f>
        <v/>
      </c>
      <c r="AS85" s="791"/>
      <c r="AT85" s="693"/>
      <c r="AU85" s="150"/>
      <c r="AV85" s="804" t="str">
        <f ca="1">'Intermediate Data'!AQ129</f>
        <v/>
      </c>
      <c r="AW85" s="804"/>
      <c r="AX85" s="804"/>
      <c r="AY85" s="804"/>
      <c r="AZ85" s="157"/>
      <c r="BA85" s="150"/>
      <c r="BB85" s="803" t="str">
        <f ca="1">'Intermediate Data'!AR129</f>
        <v/>
      </c>
      <c r="BC85" s="803"/>
      <c r="BD85" s="803"/>
      <c r="BE85" s="803"/>
      <c r="BF85" s="692"/>
      <c r="BG85" s="31"/>
      <c r="BH85" s="31"/>
      <c r="BI85" s="30"/>
    </row>
    <row r="86" spans="1:74" x14ac:dyDescent="0.25">
      <c r="A86" s="30"/>
      <c r="B86" s="30"/>
      <c r="C86" s="30"/>
      <c r="D86" s="30"/>
      <c r="E86" s="30"/>
      <c r="F86" s="30"/>
      <c r="G86" s="30"/>
      <c r="H86" s="30"/>
      <c r="I86" s="30"/>
      <c r="J86" s="30"/>
      <c r="K86" s="30"/>
      <c r="L86" s="30"/>
      <c r="M86" s="30"/>
      <c r="N86" s="168" t="str">
        <f ca="1">'Intermediate Data'!AA130</f>
        <v>Pool pump</v>
      </c>
      <c r="O86" s="31"/>
      <c r="P86" s="31"/>
      <c r="Q86" s="31"/>
      <c r="R86" s="31"/>
      <c r="S86" s="31"/>
      <c r="T86" s="31"/>
      <c r="U86" s="148"/>
      <c r="V86" s="804">
        <f ca="1">IF(OR('Intermediate Data'!AG130="",'Intermediate Data'!AG130="N/A"),"",'Intermediate Data'!AG130)</f>
        <v>8.4000000000000005E-2</v>
      </c>
      <c r="W86" s="804"/>
      <c r="X86" s="804"/>
      <c r="Y86" s="804"/>
      <c r="Z86" s="157"/>
      <c r="AA86" s="519" t="str">
        <f ca="1">IF(OR('Intermediate Data'!AB130="",'Intermediate Data'!AB130="N/A"),"",'Intermediate Data'!AB130)</f>
        <v/>
      </c>
      <c r="AB86" s="111">
        <f ca="1">IF(OR('Intermediate Data'!AC130="",'Intermediate Data'!AC130="N/A"),"",'Intermediate Data'!AC130)</f>
        <v>8.981819405146052E-2</v>
      </c>
      <c r="AC86" s="519">
        <f ca="1">IF(OR('Intermediate Data'!AD130="",'Intermediate Data'!AD130="N/A"),"",'Intermediate Data'!AD130)</f>
        <v>7.0588235294117646E-2</v>
      </c>
      <c r="AD86" s="111">
        <f ca="1">IF(OR('Intermediate Data'!AE130="",'Intermediate Data'!AE130="N/A"),"",'Intermediate Data'!AE130)</f>
        <v>0.10602847719599769</v>
      </c>
      <c r="AE86" s="161">
        <f ca="1">IF(OR('Intermediate Data'!AF130="",'Intermediate Data'!AF130="N/A"),"",'Intermediate Data'!AF130)</f>
        <v>8.4000000000000005E-2</v>
      </c>
      <c r="AF86" s="520"/>
      <c r="AG86" s="805" t="str">
        <f ca="1">IF(OR('Intermediate Data'!AN130="",'Intermediate Data'!AN130="N/A"),"",'Intermediate Data'!AN130)</f>
        <v/>
      </c>
      <c r="AH86" s="805"/>
      <c r="AI86" s="805"/>
      <c r="AJ86" s="805"/>
      <c r="AK86" s="157"/>
      <c r="AL86" s="529" t="str">
        <f ca="1">IF(OR('Intermediate Data'!AI130="",'Intermediate Data'!AI130="N/A"),"",'Intermediate Data'!AI130)</f>
        <v/>
      </c>
      <c r="AM86" s="132" t="str">
        <f ca="1">IF(OR('Intermediate Data'!AJ130="",'Intermediate Data'!AJ130="N/A"),"",'Intermediate Data'!AJ130)</f>
        <v/>
      </c>
      <c r="AN86" s="529" t="str">
        <f ca="1">IF(OR('Intermediate Data'!AK130="",'Intermediate Data'!AK130="N/A"),"",'Intermediate Data'!AK130)</f>
        <v/>
      </c>
      <c r="AO86" s="132" t="str">
        <f ca="1">IF(OR('Intermediate Data'!AL130="",'Intermediate Data'!AL130="N/A"),"",'Intermediate Data'!AL130)</f>
        <v/>
      </c>
      <c r="AP86" s="163" t="str">
        <f ca="1">IF(OR('Intermediate Data'!AM130="",'Intermediate Data'!AM130="N/A"),"",'Intermediate Data'!AM130)</f>
        <v/>
      </c>
      <c r="AQ86" s="693"/>
      <c r="AR86" s="791" t="str">
        <f ca="1">IF('Intermediate Data'!AP130="","",'Intermediate Data'!AP130)</f>
        <v/>
      </c>
      <c r="AS86" s="791"/>
      <c r="AT86" s="693"/>
      <c r="AU86" s="150"/>
      <c r="AV86" s="804" t="str">
        <f ca="1">'Intermediate Data'!AQ130</f>
        <v>Not published</v>
      </c>
      <c r="AW86" s="804"/>
      <c r="AX86" s="804"/>
      <c r="AY86" s="804"/>
      <c r="AZ86" s="157"/>
      <c r="BA86" s="150"/>
      <c r="BB86" s="803">
        <f ca="1">'Intermediate Data'!AR130</f>
        <v>2800</v>
      </c>
      <c r="BC86" s="803"/>
      <c r="BD86" s="803"/>
      <c r="BE86" s="803"/>
      <c r="BF86" s="692"/>
      <c r="BG86" s="31"/>
      <c r="BH86" s="31"/>
      <c r="BI86" s="30"/>
    </row>
    <row r="87" spans="1:74" x14ac:dyDescent="0.25">
      <c r="A87" s="30"/>
      <c r="B87" s="30"/>
      <c r="C87" s="30"/>
      <c r="D87" s="30"/>
      <c r="E87" s="30"/>
      <c r="F87" s="30"/>
      <c r="G87" s="30"/>
      <c r="H87" s="30"/>
      <c r="I87" s="30"/>
      <c r="J87" s="30"/>
      <c r="K87" s="30"/>
      <c r="L87" s="30"/>
      <c r="M87" s="30"/>
      <c r="N87" s="168" t="str">
        <f ca="1">'Intermediate Data'!AA131</f>
        <v>Popcorn maker</v>
      </c>
      <c r="O87" s="31"/>
      <c r="P87" s="31"/>
      <c r="Q87" s="31"/>
      <c r="R87" s="31"/>
      <c r="S87" s="31"/>
      <c r="T87" s="31"/>
      <c r="U87" s="148"/>
      <c r="V87" s="804" t="str">
        <f ca="1">IF(OR('Intermediate Data'!AG131="",'Intermediate Data'!AG131="N/A"),"",'Intermediate Data'!AG131)</f>
        <v/>
      </c>
      <c r="W87" s="804"/>
      <c r="X87" s="804"/>
      <c r="Y87" s="804"/>
      <c r="Z87" s="157"/>
      <c r="AA87" s="519" t="str">
        <f ca="1">IF(OR('Intermediate Data'!AB131="",'Intermediate Data'!AB131="N/A"),"",'Intermediate Data'!AB131)</f>
        <v/>
      </c>
      <c r="AB87" s="111" t="str">
        <f ca="1">IF(OR('Intermediate Data'!AC131="",'Intermediate Data'!AC131="N/A"),"",'Intermediate Data'!AC131)</f>
        <v/>
      </c>
      <c r="AC87" s="519" t="str">
        <f ca="1">IF(OR('Intermediate Data'!AD131="",'Intermediate Data'!AD131="N/A"),"",'Intermediate Data'!AD131)</f>
        <v/>
      </c>
      <c r="AD87" s="111" t="str">
        <f ca="1">IF(OR('Intermediate Data'!AE131="",'Intermediate Data'!AE131="N/A"),"",'Intermediate Data'!AE131)</f>
        <v/>
      </c>
      <c r="AE87" s="161" t="str">
        <f ca="1">IF(OR('Intermediate Data'!AF131="",'Intermediate Data'!AF131="N/A"),"",'Intermediate Data'!AF131)</f>
        <v/>
      </c>
      <c r="AF87" s="520"/>
      <c r="AG87" s="805" t="str">
        <f ca="1">IF(OR('Intermediate Data'!AN131="",'Intermediate Data'!AN131="N/A"),"",'Intermediate Data'!AN131)</f>
        <v/>
      </c>
      <c r="AH87" s="805"/>
      <c r="AI87" s="805"/>
      <c r="AJ87" s="805"/>
      <c r="AK87" s="157"/>
      <c r="AL87" s="529" t="str">
        <f ca="1">IF(OR('Intermediate Data'!AI131="",'Intermediate Data'!AI131="N/A"),"",'Intermediate Data'!AI131)</f>
        <v/>
      </c>
      <c r="AM87" s="132" t="str">
        <f ca="1">IF(OR('Intermediate Data'!AJ131="",'Intermediate Data'!AJ131="N/A"),"",'Intermediate Data'!AJ131)</f>
        <v/>
      </c>
      <c r="AN87" s="529" t="str">
        <f ca="1">IF(OR('Intermediate Data'!AK131="",'Intermediate Data'!AK131="N/A"),"",'Intermediate Data'!AK131)</f>
        <v/>
      </c>
      <c r="AO87" s="132" t="str">
        <f ca="1">IF(OR('Intermediate Data'!AL131="",'Intermediate Data'!AL131="N/A"),"",'Intermediate Data'!AL131)</f>
        <v/>
      </c>
      <c r="AP87" s="163" t="str">
        <f ca="1">IF(OR('Intermediate Data'!AM131="",'Intermediate Data'!AM131="N/A"),"",'Intermediate Data'!AM131)</f>
        <v/>
      </c>
      <c r="AQ87" s="693"/>
      <c r="AR87" s="791" t="str">
        <f ca="1">IF('Intermediate Data'!AP131="","",'Intermediate Data'!AP131)</f>
        <v/>
      </c>
      <c r="AS87" s="791"/>
      <c r="AT87" s="693"/>
      <c r="AU87" s="150"/>
      <c r="AV87" s="804" t="str">
        <f ca="1">'Intermediate Data'!AQ131</f>
        <v/>
      </c>
      <c r="AW87" s="804"/>
      <c r="AX87" s="804"/>
      <c r="AY87" s="804"/>
      <c r="AZ87" s="157"/>
      <c r="BA87" s="150"/>
      <c r="BB87" s="803" t="str">
        <f ca="1">'Intermediate Data'!AR131</f>
        <v/>
      </c>
      <c r="BC87" s="803"/>
      <c r="BD87" s="803"/>
      <c r="BE87" s="803"/>
      <c r="BF87" s="692"/>
      <c r="BG87" s="31"/>
      <c r="BH87" s="31"/>
      <c r="BI87" s="30"/>
    </row>
    <row r="88" spans="1:74" x14ac:dyDescent="0.25">
      <c r="A88" s="30"/>
      <c r="B88" s="30"/>
      <c r="C88" s="30"/>
      <c r="D88" s="30"/>
      <c r="E88" s="30"/>
      <c r="F88" s="30"/>
      <c r="G88" s="30"/>
      <c r="H88" s="30"/>
      <c r="I88" s="30"/>
      <c r="J88" s="30"/>
      <c r="K88" s="30"/>
      <c r="L88" s="30"/>
      <c r="M88" s="30"/>
      <c r="N88" s="168" t="str">
        <f ca="1">'Intermediate Data'!AA132</f>
        <v>Portable AC</v>
      </c>
      <c r="O88" s="31"/>
      <c r="P88" s="31"/>
      <c r="Q88" s="31"/>
      <c r="R88" s="31"/>
      <c r="S88" s="31"/>
      <c r="T88" s="31"/>
      <c r="U88" s="148"/>
      <c r="V88" s="804" t="str">
        <f ca="1">IF(OR('Intermediate Data'!AG132="",'Intermediate Data'!AG132="N/A"),"",'Intermediate Data'!AG132)</f>
        <v/>
      </c>
      <c r="W88" s="804"/>
      <c r="X88" s="804"/>
      <c r="Y88" s="804"/>
      <c r="Z88" s="157"/>
      <c r="AA88" s="519" t="str">
        <f ca="1">IF(OR('Intermediate Data'!AB132="",'Intermediate Data'!AB132="N/A"),"",'Intermediate Data'!AB132)</f>
        <v/>
      </c>
      <c r="AB88" s="111" t="str">
        <f ca="1">IF(OR('Intermediate Data'!AC132="",'Intermediate Data'!AC132="N/A"),"",'Intermediate Data'!AC132)</f>
        <v/>
      </c>
      <c r="AC88" s="519" t="str">
        <f ca="1">IF(OR('Intermediate Data'!AD132="",'Intermediate Data'!AD132="N/A"),"",'Intermediate Data'!AD132)</f>
        <v/>
      </c>
      <c r="AD88" s="111" t="str">
        <f ca="1">IF(OR('Intermediate Data'!AE132="",'Intermediate Data'!AE132="N/A"),"",'Intermediate Data'!AE132)</f>
        <v/>
      </c>
      <c r="AE88" s="161" t="str">
        <f ca="1">IF(OR('Intermediate Data'!AF132="",'Intermediate Data'!AF132="N/A"),"",'Intermediate Data'!AF132)</f>
        <v/>
      </c>
      <c r="AF88" s="520"/>
      <c r="AG88" s="805" t="str">
        <f ca="1">IF(OR('Intermediate Data'!AN132="",'Intermediate Data'!AN132="N/A"),"",'Intermediate Data'!AN132)</f>
        <v/>
      </c>
      <c r="AH88" s="805"/>
      <c r="AI88" s="805"/>
      <c r="AJ88" s="805"/>
      <c r="AK88" s="157"/>
      <c r="AL88" s="529" t="str">
        <f ca="1">IF(OR('Intermediate Data'!AI132="",'Intermediate Data'!AI132="N/A"),"",'Intermediate Data'!AI132)</f>
        <v/>
      </c>
      <c r="AM88" s="132" t="str">
        <f ca="1">IF(OR('Intermediate Data'!AJ132="",'Intermediate Data'!AJ132="N/A"),"",'Intermediate Data'!AJ132)</f>
        <v/>
      </c>
      <c r="AN88" s="529" t="str">
        <f ca="1">IF(OR('Intermediate Data'!AK132="",'Intermediate Data'!AK132="N/A"),"",'Intermediate Data'!AK132)</f>
        <v/>
      </c>
      <c r="AO88" s="132" t="str">
        <f ca="1">IF(OR('Intermediate Data'!AL132="",'Intermediate Data'!AL132="N/A"),"",'Intermediate Data'!AL132)</f>
        <v/>
      </c>
      <c r="AP88" s="163" t="str">
        <f ca="1">IF(OR('Intermediate Data'!AM132="",'Intermediate Data'!AM132="N/A"),"",'Intermediate Data'!AM132)</f>
        <v/>
      </c>
      <c r="AQ88" s="693"/>
      <c r="AR88" s="791" t="str">
        <f ca="1">IF('Intermediate Data'!AP132="","",'Intermediate Data'!AP132)</f>
        <v/>
      </c>
      <c r="AS88" s="791"/>
      <c r="AT88" s="693"/>
      <c r="AU88" s="150"/>
      <c r="AV88" s="804" t="str">
        <f ca="1">'Intermediate Data'!AQ132</f>
        <v/>
      </c>
      <c r="AW88" s="804"/>
      <c r="AX88" s="804"/>
      <c r="AY88" s="804"/>
      <c r="AZ88" s="157"/>
      <c r="BA88" s="150"/>
      <c r="BB88" s="803" t="str">
        <f ca="1">'Intermediate Data'!AR132</f>
        <v/>
      </c>
      <c r="BC88" s="803"/>
      <c r="BD88" s="803"/>
      <c r="BE88" s="803"/>
      <c r="BF88" s="692"/>
      <c r="BG88" s="31"/>
      <c r="BH88" s="31"/>
      <c r="BI88" s="30"/>
    </row>
    <row r="89" spans="1:74" x14ac:dyDescent="0.25">
      <c r="A89" s="30"/>
      <c r="B89" s="30"/>
      <c r="C89" s="30"/>
      <c r="D89" s="30"/>
      <c r="E89" s="30"/>
      <c r="F89" s="30"/>
      <c r="G89" s="30"/>
      <c r="H89" s="30"/>
      <c r="I89" s="30"/>
      <c r="J89" s="30"/>
      <c r="K89" s="30"/>
      <c r="L89" s="30"/>
      <c r="M89" s="30"/>
      <c r="N89" s="168" t="str">
        <f ca="1">'Intermediate Data'!AA133</f>
        <v>Portable electric grill</v>
      </c>
      <c r="O89" s="31"/>
      <c r="P89" s="31"/>
      <c r="Q89" s="31"/>
      <c r="R89" s="31"/>
      <c r="S89" s="31"/>
      <c r="T89" s="31"/>
      <c r="U89" s="148"/>
      <c r="V89" s="804" t="str">
        <f ca="1">IF(OR('Intermediate Data'!AG133="",'Intermediate Data'!AG133="N/A"),"",'Intermediate Data'!AG133)</f>
        <v/>
      </c>
      <c r="W89" s="804"/>
      <c r="X89" s="804"/>
      <c r="Y89" s="804"/>
      <c r="Z89" s="157"/>
      <c r="AA89" s="519" t="str">
        <f ca="1">IF(OR('Intermediate Data'!AB133="",'Intermediate Data'!AB133="N/A"),"",'Intermediate Data'!AB133)</f>
        <v/>
      </c>
      <c r="AB89" s="111" t="str">
        <f ca="1">IF(OR('Intermediate Data'!AC133="",'Intermediate Data'!AC133="N/A"),"",'Intermediate Data'!AC133)</f>
        <v/>
      </c>
      <c r="AC89" s="519" t="str">
        <f ca="1">IF(OR('Intermediate Data'!AD133="",'Intermediate Data'!AD133="N/A"),"",'Intermediate Data'!AD133)</f>
        <v/>
      </c>
      <c r="AD89" s="111" t="str">
        <f ca="1">IF(OR('Intermediate Data'!AE133="",'Intermediate Data'!AE133="N/A"),"",'Intermediate Data'!AE133)</f>
        <v/>
      </c>
      <c r="AE89" s="161" t="str">
        <f ca="1">IF(OR('Intermediate Data'!AF133="",'Intermediate Data'!AF133="N/A"),"",'Intermediate Data'!AF133)</f>
        <v/>
      </c>
      <c r="AF89" s="520"/>
      <c r="AG89" s="805" t="str">
        <f ca="1">IF(OR('Intermediate Data'!AN133="",'Intermediate Data'!AN133="N/A"),"",'Intermediate Data'!AN133)</f>
        <v/>
      </c>
      <c r="AH89" s="805"/>
      <c r="AI89" s="805"/>
      <c r="AJ89" s="805"/>
      <c r="AK89" s="157"/>
      <c r="AL89" s="529" t="str">
        <f ca="1">IF(OR('Intermediate Data'!AI133="",'Intermediate Data'!AI133="N/A"),"",'Intermediate Data'!AI133)</f>
        <v/>
      </c>
      <c r="AM89" s="132" t="str">
        <f ca="1">IF(OR('Intermediate Data'!AJ133="",'Intermediate Data'!AJ133="N/A"),"",'Intermediate Data'!AJ133)</f>
        <v/>
      </c>
      <c r="AN89" s="529" t="str">
        <f ca="1">IF(OR('Intermediate Data'!AK133="",'Intermediate Data'!AK133="N/A"),"",'Intermediate Data'!AK133)</f>
        <v/>
      </c>
      <c r="AO89" s="132" t="str">
        <f ca="1">IF(OR('Intermediate Data'!AL133="",'Intermediate Data'!AL133="N/A"),"",'Intermediate Data'!AL133)</f>
        <v/>
      </c>
      <c r="AP89" s="163" t="str">
        <f ca="1">IF(OR('Intermediate Data'!AM133="",'Intermediate Data'!AM133="N/A"),"",'Intermediate Data'!AM133)</f>
        <v/>
      </c>
      <c r="AQ89" s="693"/>
      <c r="AR89" s="791" t="str">
        <f ca="1">IF('Intermediate Data'!AP133="","",'Intermediate Data'!AP133)</f>
        <v/>
      </c>
      <c r="AS89" s="791"/>
      <c r="AT89" s="693"/>
      <c r="AU89" s="150"/>
      <c r="AV89" s="804" t="str">
        <f ca="1">'Intermediate Data'!AQ133</f>
        <v/>
      </c>
      <c r="AW89" s="804"/>
      <c r="AX89" s="804"/>
      <c r="AY89" s="804"/>
      <c r="AZ89" s="157"/>
      <c r="BA89" s="150"/>
      <c r="BB89" s="803" t="str">
        <f ca="1">'Intermediate Data'!AR133</f>
        <v/>
      </c>
      <c r="BC89" s="803"/>
      <c r="BD89" s="803"/>
      <c r="BE89" s="803"/>
      <c r="BF89" s="692"/>
      <c r="BG89" s="31"/>
      <c r="BH89" s="31"/>
      <c r="BI89" s="30"/>
    </row>
    <row r="90" spans="1:74" x14ac:dyDescent="0.25">
      <c r="A90" s="30"/>
      <c r="B90" s="30"/>
      <c r="C90" s="30"/>
      <c r="D90" s="30"/>
      <c r="E90" s="30"/>
      <c r="F90" s="30"/>
      <c r="G90" s="30"/>
      <c r="H90" s="30"/>
      <c r="I90" s="30"/>
      <c r="J90" s="30"/>
      <c r="K90" s="30"/>
      <c r="L90" s="30"/>
      <c r="M90" s="30"/>
      <c r="N90" s="168" t="str">
        <f ca="1">'Intermediate Data'!AA134</f>
        <v>Portable fan</v>
      </c>
      <c r="O90" s="31"/>
      <c r="P90" s="31"/>
      <c r="Q90" s="31"/>
      <c r="R90" s="31"/>
      <c r="S90" s="31"/>
      <c r="T90" s="31"/>
      <c r="U90" s="148"/>
      <c r="V90" s="804">
        <f ca="1">IF(OR('Intermediate Data'!AG134="",'Intermediate Data'!AG134="N/A"),"",'Intermediate Data'!AG134)</f>
        <v>0.47905184261192296</v>
      </c>
      <c r="W90" s="804"/>
      <c r="X90" s="804"/>
      <c r="Y90" s="804"/>
      <c r="Z90" s="157"/>
      <c r="AA90" s="519" t="str">
        <f ca="1">IF(OR('Intermediate Data'!AB134="",'Intermediate Data'!AB134="N/A"),"",'Intermediate Data'!AB134)</f>
        <v/>
      </c>
      <c r="AB90" s="111">
        <f ca="1">IF(OR('Intermediate Data'!AC134="",'Intermediate Data'!AC134="N/A"),"",'Intermediate Data'!AC134)</f>
        <v>0.61502267205466932</v>
      </c>
      <c r="AC90" s="519" t="str">
        <f ca="1">IF(OR('Intermediate Data'!AD134="",'Intermediate Data'!AD134="N/A"),"",'Intermediate Data'!AD134)</f>
        <v/>
      </c>
      <c r="AD90" s="111">
        <f ca="1">IF(OR('Intermediate Data'!AE134="",'Intermediate Data'!AE134="N/A"),"",'Intermediate Data'!AE134)</f>
        <v>0.47905184261192296</v>
      </c>
      <c r="AE90" s="161" t="str">
        <f ca="1">IF(OR('Intermediate Data'!AF134="",'Intermediate Data'!AF134="N/A"),"",'Intermediate Data'!AF134)</f>
        <v/>
      </c>
      <c r="AF90" s="520"/>
      <c r="AG90" s="805">
        <f ca="1">IF(OR('Intermediate Data'!AN134="",'Intermediate Data'!AN134="N/A"),"",'Intermediate Data'!AN134)</f>
        <v>0.74921190581772601</v>
      </c>
      <c r="AH90" s="805"/>
      <c r="AI90" s="805"/>
      <c r="AJ90" s="805"/>
      <c r="AK90" s="157"/>
      <c r="AL90" s="529" t="str">
        <f ca="1">IF(OR('Intermediate Data'!AI134="",'Intermediate Data'!AI134="N/A"),"",'Intermediate Data'!AI134)</f>
        <v/>
      </c>
      <c r="AM90" s="132">
        <f ca="1">IF(OR('Intermediate Data'!AJ134="",'Intermediate Data'!AJ134="N/A"),"",'Intermediate Data'!AJ134)</f>
        <v>0.99578941510944174</v>
      </c>
      <c r="AN90" s="529" t="str">
        <f ca="1">IF(OR('Intermediate Data'!AK134="",'Intermediate Data'!AK134="N/A"),"",'Intermediate Data'!AK134)</f>
        <v/>
      </c>
      <c r="AO90" s="132">
        <f ca="1">IF(OR('Intermediate Data'!AL134="",'Intermediate Data'!AL134="N/A"),"",'Intermediate Data'!AL134)</f>
        <v>0.74921190581772601</v>
      </c>
      <c r="AP90" s="163" t="str">
        <f ca="1">IF(OR('Intermediate Data'!AM134="",'Intermediate Data'!AM134="N/A"),"",'Intermediate Data'!AM134)</f>
        <v/>
      </c>
      <c r="AQ90" s="693"/>
      <c r="AR90" s="791" t="str">
        <f ca="1">IF('Intermediate Data'!AP134="","",'Intermediate Data'!AP134)</f>
        <v/>
      </c>
      <c r="AS90" s="791"/>
      <c r="AT90" s="693"/>
      <c r="AU90" s="150"/>
      <c r="AV90" s="804" t="str">
        <f ca="1">'Intermediate Data'!AQ134</f>
        <v/>
      </c>
      <c r="AW90" s="804"/>
      <c r="AX90" s="804"/>
      <c r="AY90" s="804"/>
      <c r="AZ90" s="157"/>
      <c r="BA90" s="150"/>
      <c r="BB90" s="803" t="str">
        <f ca="1">'Intermediate Data'!AR134</f>
        <v/>
      </c>
      <c r="BC90" s="803"/>
      <c r="BD90" s="803"/>
      <c r="BE90" s="803"/>
      <c r="BF90" s="692"/>
      <c r="BG90" s="31"/>
      <c r="BH90" s="31"/>
      <c r="BI90" s="30"/>
    </row>
    <row r="91" spans="1:74" x14ac:dyDescent="0.25">
      <c r="A91" s="30"/>
      <c r="B91" s="30"/>
      <c r="C91" s="30"/>
      <c r="D91" s="30"/>
      <c r="E91" s="30"/>
      <c r="F91" s="30"/>
      <c r="G91" s="30"/>
      <c r="H91" s="30"/>
      <c r="I91" s="30"/>
      <c r="J91" s="30"/>
      <c r="K91" s="30"/>
      <c r="L91" s="30"/>
      <c r="M91" s="30"/>
      <c r="N91" s="168" t="str">
        <f ca="1">'Intermediate Data'!AA135</f>
        <v>Portable space heater</v>
      </c>
      <c r="O91" s="31"/>
      <c r="P91" s="31"/>
      <c r="Q91" s="31"/>
      <c r="R91" s="31"/>
      <c r="S91" s="31"/>
      <c r="T91" s="31"/>
      <c r="U91" s="148"/>
      <c r="V91" s="804">
        <f ca="1">IF(OR('Intermediate Data'!AG135="",'Intermediate Data'!AG135="N/A"),"",'Intermediate Data'!AG135)</f>
        <v>0.32646402302201455</v>
      </c>
      <c r="W91" s="804"/>
      <c r="X91" s="804"/>
      <c r="Y91" s="804"/>
      <c r="Z91" s="157"/>
      <c r="AA91" s="519" t="str">
        <f ca="1">IF(OR('Intermediate Data'!AB135="",'Intermediate Data'!AB135="N/A"),"",'Intermediate Data'!AB135)</f>
        <v/>
      </c>
      <c r="AB91" s="111">
        <f ca="1">IF(OR('Intermediate Data'!AC135="",'Intermediate Data'!AC135="N/A"),"",'Intermediate Data'!AC135)</f>
        <v>0.23682349997699048</v>
      </c>
      <c r="AC91" s="519" t="str">
        <f ca="1">IF(OR('Intermediate Data'!AD135="",'Intermediate Data'!AD135="N/A"),"",'Intermediate Data'!AD135)</f>
        <v/>
      </c>
      <c r="AD91" s="111">
        <f ca="1">IF(OR('Intermediate Data'!AE135="",'Intermediate Data'!AE135="N/A"),"",'Intermediate Data'!AE135)</f>
        <v>0.32646402302201455</v>
      </c>
      <c r="AE91" s="161" t="str">
        <f ca="1">IF(OR('Intermediate Data'!AF135="",'Intermediate Data'!AF135="N/A"),"",'Intermediate Data'!AF135)</f>
        <v/>
      </c>
      <c r="AF91" s="520"/>
      <c r="AG91" s="805">
        <f ca="1">IF(OR('Intermediate Data'!AN135="",'Intermediate Data'!AN135="N/A"),"",'Intermediate Data'!AN135)</f>
        <v>0.43415130159261134</v>
      </c>
      <c r="AH91" s="805"/>
      <c r="AI91" s="805"/>
      <c r="AJ91" s="805"/>
      <c r="AK91" s="157"/>
      <c r="AL91" s="529" t="str">
        <f ca="1">IF(OR('Intermediate Data'!AI135="",'Intermediate Data'!AI135="N/A"),"",'Intermediate Data'!AI135)</f>
        <v/>
      </c>
      <c r="AM91" s="132">
        <f ca="1">IF(OR('Intermediate Data'!AJ135="",'Intermediate Data'!AJ135="N/A"),"",'Intermediate Data'!AJ135)</f>
        <v>0.3031481797874766</v>
      </c>
      <c r="AN91" s="529" t="str">
        <f ca="1">IF(OR('Intermediate Data'!AK135="",'Intermediate Data'!AK135="N/A"),"",'Intermediate Data'!AK135)</f>
        <v/>
      </c>
      <c r="AO91" s="132">
        <f ca="1">IF(OR('Intermediate Data'!AL135="",'Intermediate Data'!AL135="N/A"),"",'Intermediate Data'!AL135)</f>
        <v>0.43415130159261134</v>
      </c>
      <c r="AP91" s="163" t="str">
        <f ca="1">IF(OR('Intermediate Data'!AM135="",'Intermediate Data'!AM135="N/A"),"",'Intermediate Data'!AM135)</f>
        <v/>
      </c>
      <c r="AQ91" s="693"/>
      <c r="AR91" s="791" t="str">
        <f ca="1">IF('Intermediate Data'!AP135="","",'Intermediate Data'!AP135)</f>
        <v/>
      </c>
      <c r="AS91" s="791"/>
      <c r="AT91" s="693"/>
      <c r="AU91" s="150"/>
      <c r="AV91" s="804" t="str">
        <f ca="1">'Intermediate Data'!AQ135</f>
        <v/>
      </c>
      <c r="AW91" s="804"/>
      <c r="AX91" s="804"/>
      <c r="AY91" s="804"/>
      <c r="AZ91" s="157"/>
      <c r="BA91" s="150"/>
      <c r="BB91" s="803" t="str">
        <f ca="1">'Intermediate Data'!AR135</f>
        <v/>
      </c>
      <c r="BC91" s="803"/>
      <c r="BD91" s="803"/>
      <c r="BE91" s="803"/>
      <c r="BF91" s="692"/>
      <c r="BG91" s="31"/>
      <c r="BH91" s="31"/>
      <c r="BI91" s="30"/>
    </row>
    <row r="92" spans="1:74" x14ac:dyDescent="0.25">
      <c r="A92" s="30"/>
      <c r="B92" s="30"/>
      <c r="C92" s="30"/>
      <c r="D92" s="30"/>
      <c r="E92" s="30"/>
      <c r="F92" s="30"/>
      <c r="G92" s="30"/>
      <c r="H92" s="30"/>
      <c r="I92" s="30"/>
      <c r="J92" s="30"/>
      <c r="K92" s="30"/>
      <c r="L92" s="30"/>
      <c r="M92" s="30"/>
      <c r="N92" s="168" t="str">
        <f ca="1">'Intermediate Data'!AA136</f>
        <v>Power tool</v>
      </c>
      <c r="O92" s="31"/>
      <c r="P92" s="31"/>
      <c r="Q92" s="31"/>
      <c r="R92" s="31"/>
      <c r="S92" s="31"/>
      <c r="T92" s="31"/>
      <c r="U92" s="148"/>
      <c r="V92" s="804" t="str">
        <f ca="1">IF(OR('Intermediate Data'!AG136="",'Intermediate Data'!AG136="N/A"),"",'Intermediate Data'!AG136)</f>
        <v/>
      </c>
      <c r="W92" s="804"/>
      <c r="X92" s="804"/>
      <c r="Y92" s="804"/>
      <c r="Z92" s="157"/>
      <c r="AA92" s="519" t="str">
        <f ca="1">IF(OR('Intermediate Data'!AB136="",'Intermediate Data'!AB136="N/A"),"",'Intermediate Data'!AB136)</f>
        <v/>
      </c>
      <c r="AB92" s="111" t="str">
        <f ca="1">IF(OR('Intermediate Data'!AC136="",'Intermediate Data'!AC136="N/A"),"",'Intermediate Data'!AC136)</f>
        <v/>
      </c>
      <c r="AC92" s="519" t="str">
        <f ca="1">IF(OR('Intermediate Data'!AD136="",'Intermediate Data'!AD136="N/A"),"",'Intermediate Data'!AD136)</f>
        <v/>
      </c>
      <c r="AD92" s="111" t="str">
        <f ca="1">IF(OR('Intermediate Data'!AE136="",'Intermediate Data'!AE136="N/A"),"",'Intermediate Data'!AE136)</f>
        <v/>
      </c>
      <c r="AE92" s="161" t="str">
        <f ca="1">IF(OR('Intermediate Data'!AF136="",'Intermediate Data'!AF136="N/A"),"",'Intermediate Data'!AF136)</f>
        <v/>
      </c>
      <c r="AF92" s="520"/>
      <c r="AG92" s="805" t="str">
        <f ca="1">IF(OR('Intermediate Data'!AN136="",'Intermediate Data'!AN136="N/A"),"",'Intermediate Data'!AN136)</f>
        <v/>
      </c>
      <c r="AH92" s="805"/>
      <c r="AI92" s="805"/>
      <c r="AJ92" s="805"/>
      <c r="AK92" s="157"/>
      <c r="AL92" s="529" t="str">
        <f ca="1">IF(OR('Intermediate Data'!AI136="",'Intermediate Data'!AI136="N/A"),"",'Intermediate Data'!AI136)</f>
        <v/>
      </c>
      <c r="AM92" s="132" t="str">
        <f ca="1">IF(OR('Intermediate Data'!AJ136="",'Intermediate Data'!AJ136="N/A"),"",'Intermediate Data'!AJ136)</f>
        <v/>
      </c>
      <c r="AN92" s="529" t="str">
        <f ca="1">IF(OR('Intermediate Data'!AK136="",'Intermediate Data'!AK136="N/A"),"",'Intermediate Data'!AK136)</f>
        <v/>
      </c>
      <c r="AO92" s="132" t="str">
        <f ca="1">IF(OR('Intermediate Data'!AL136="",'Intermediate Data'!AL136="N/A"),"",'Intermediate Data'!AL136)</f>
        <v/>
      </c>
      <c r="AP92" s="163" t="str">
        <f ca="1">IF(OR('Intermediate Data'!AM136="",'Intermediate Data'!AM136="N/A"),"",'Intermediate Data'!AM136)</f>
        <v/>
      </c>
      <c r="AQ92" s="693"/>
      <c r="AR92" s="791" t="str">
        <f ca="1">IF('Intermediate Data'!AP136="","",'Intermediate Data'!AP136)</f>
        <v/>
      </c>
      <c r="AS92" s="791"/>
      <c r="AT92" s="693"/>
      <c r="AU92" s="150"/>
      <c r="AV92" s="804" t="str">
        <f ca="1">'Intermediate Data'!AQ136</f>
        <v/>
      </c>
      <c r="AW92" s="804"/>
      <c r="AX92" s="804"/>
      <c r="AY92" s="804"/>
      <c r="AZ92" s="157"/>
      <c r="BA92" s="150"/>
      <c r="BB92" s="803" t="str">
        <f ca="1">'Intermediate Data'!AR136</f>
        <v/>
      </c>
      <c r="BC92" s="803"/>
      <c r="BD92" s="803"/>
      <c r="BE92" s="803"/>
      <c r="BF92" s="692"/>
      <c r="BG92" s="31"/>
      <c r="BH92" s="31"/>
      <c r="BI92" s="30"/>
    </row>
    <row r="93" spans="1:74" x14ac:dyDescent="0.25">
      <c r="A93" s="30"/>
      <c r="B93" s="30"/>
      <c r="C93" s="30"/>
      <c r="D93" s="30"/>
      <c r="E93" s="30"/>
      <c r="F93" s="30"/>
      <c r="G93" s="30"/>
      <c r="H93" s="30"/>
      <c r="I93" s="30"/>
      <c r="J93" s="30"/>
      <c r="K93" s="30"/>
      <c r="L93" s="30"/>
      <c r="M93" s="30"/>
      <c r="N93" s="168" t="str">
        <f ca="1">'Intermediate Data'!AA137</f>
        <v>Primary electric heat</v>
      </c>
      <c r="O93" s="31"/>
      <c r="P93" s="31"/>
      <c r="Q93" s="31"/>
      <c r="R93" s="31"/>
      <c r="S93" s="31"/>
      <c r="T93" s="31"/>
      <c r="U93" s="148"/>
      <c r="V93" s="804">
        <f ca="1">IF(OR('Intermediate Data'!AG137="",'Intermediate Data'!AG137="N/A"),"",'Intermediate Data'!AG137)</f>
        <v>0.12864200000000001</v>
      </c>
      <c r="W93" s="804"/>
      <c r="X93" s="804"/>
      <c r="Y93" s="804"/>
      <c r="Z93" s="157"/>
      <c r="AA93" s="519">
        <f ca="1">IF(OR('Intermediate Data'!AB137="",'Intermediate Data'!AB137="N/A"),"",'Intermediate Data'!AB137)</f>
        <v>6.0191999999999996E-2</v>
      </c>
      <c r="AB93" s="111">
        <f ca="1">IF(OR('Intermediate Data'!AC137="",'Intermediate Data'!AC137="N/A"),"",'Intermediate Data'!AC137)</f>
        <v>0.10106100888358101</v>
      </c>
      <c r="AC93" s="519">
        <f ca="1">IF(OR('Intermediate Data'!AD137="",'Intermediate Data'!AD137="N/A"),"",'Intermediate Data'!AD137)</f>
        <v>0.112661</v>
      </c>
      <c r="AD93" s="111">
        <f ca="1">IF(OR('Intermediate Data'!AE137="",'Intermediate Data'!AE137="N/A"),"",'Intermediate Data'!AE137)</f>
        <v>5.069545329760243E-2</v>
      </c>
      <c r="AE93" s="161">
        <f ca="1">IF(OR('Intermediate Data'!AF137="",'Intermediate Data'!AF137="N/A"),"",'Intermediate Data'!AF137)</f>
        <v>0.12864200000000001</v>
      </c>
      <c r="AF93" s="520"/>
      <c r="AG93" s="805" t="str">
        <f ca="1">IF(OR('Intermediate Data'!AN137="",'Intermediate Data'!AN137="N/A"),"",'Intermediate Data'!AN137)</f>
        <v/>
      </c>
      <c r="AH93" s="805"/>
      <c r="AI93" s="805"/>
      <c r="AJ93" s="805"/>
      <c r="AK93" s="157"/>
      <c r="AL93" s="529" t="str">
        <f ca="1">IF(OR('Intermediate Data'!AI137="",'Intermediate Data'!AI137="N/A"),"",'Intermediate Data'!AI137)</f>
        <v/>
      </c>
      <c r="AM93" s="132" t="str">
        <f ca="1">IF(OR('Intermediate Data'!AJ137="",'Intermediate Data'!AJ137="N/A"),"",'Intermediate Data'!AJ137)</f>
        <v/>
      </c>
      <c r="AN93" s="529" t="str">
        <f ca="1">IF(OR('Intermediate Data'!AK137="",'Intermediate Data'!AK137="N/A"),"",'Intermediate Data'!AK137)</f>
        <v/>
      </c>
      <c r="AO93" s="132" t="str">
        <f ca="1">IF(OR('Intermediate Data'!AL137="",'Intermediate Data'!AL137="N/A"),"",'Intermediate Data'!AL137)</f>
        <v/>
      </c>
      <c r="AP93" s="163" t="str">
        <f ca="1">IF(OR('Intermediate Data'!AM137="",'Intermediate Data'!AM137="N/A"),"",'Intermediate Data'!AM137)</f>
        <v/>
      </c>
      <c r="AQ93" s="693"/>
      <c r="AR93" s="791" t="str">
        <f ca="1">IF('Intermediate Data'!AP137="","",'Intermediate Data'!AP137)</f>
        <v/>
      </c>
      <c r="AS93" s="791"/>
      <c r="AT93" s="693"/>
      <c r="AU93" s="150"/>
      <c r="AV93" s="804" t="str">
        <f ca="1">'Intermediate Data'!AQ137</f>
        <v>Not published</v>
      </c>
      <c r="AW93" s="804"/>
      <c r="AX93" s="804"/>
      <c r="AY93" s="804"/>
      <c r="AZ93" s="157"/>
      <c r="BA93" s="150"/>
      <c r="BB93" s="803" t="str">
        <f ca="1">'Intermediate Data'!AR137</f>
        <v>Unknown</v>
      </c>
      <c r="BC93" s="803"/>
      <c r="BD93" s="803"/>
      <c r="BE93" s="803"/>
      <c r="BF93" s="692"/>
      <c r="BG93" s="31"/>
      <c r="BH93" s="31"/>
      <c r="BI93" s="30"/>
    </row>
    <row r="94" spans="1:74" x14ac:dyDescent="0.25">
      <c r="A94" s="30"/>
      <c r="B94" s="30"/>
      <c r="C94" s="30"/>
      <c r="D94" s="30"/>
      <c r="E94" s="30"/>
      <c r="F94" s="30"/>
      <c r="G94" s="30"/>
      <c r="H94" s="30"/>
      <c r="I94" s="30"/>
      <c r="J94" s="30"/>
      <c r="K94" s="30"/>
      <c r="L94" s="30"/>
      <c r="M94" s="30"/>
      <c r="N94" s="168" t="str">
        <f ca="1">'Intermediate Data'!AA138</f>
        <v>Printer</v>
      </c>
      <c r="O94" s="31"/>
      <c r="P94" s="31"/>
      <c r="Q94" s="31"/>
      <c r="R94" s="31"/>
      <c r="S94" s="31"/>
      <c r="T94" s="31"/>
      <c r="U94" s="148"/>
      <c r="V94" s="804">
        <f ca="1">IF(OR('Intermediate Data'!AG138="",'Intermediate Data'!AG138="N/A"),"",'Intermediate Data'!AG138)</f>
        <v>0.50883788026286081</v>
      </c>
      <c r="W94" s="804"/>
      <c r="X94" s="804"/>
      <c r="Y94" s="804"/>
      <c r="Z94" s="157"/>
      <c r="AA94" s="519" t="str">
        <f ca="1">IF(OR('Intermediate Data'!AB138="",'Intermediate Data'!AB138="N/A"),"",'Intermediate Data'!AB138)</f>
        <v/>
      </c>
      <c r="AB94" s="111">
        <f ca="1">IF(OR('Intermediate Data'!AC138="",'Intermediate Data'!AC138="N/A"),"",'Intermediate Data'!AC138)</f>
        <v>0.50883788026286081</v>
      </c>
      <c r="AC94" s="519" t="str">
        <f ca="1">IF(OR('Intermediate Data'!AD138="",'Intermediate Data'!AD138="N/A"),"",'Intermediate Data'!AD138)</f>
        <v/>
      </c>
      <c r="AD94" s="111" t="str">
        <f ca="1">IF(OR('Intermediate Data'!AE138="",'Intermediate Data'!AE138="N/A"),"",'Intermediate Data'!AE138)</f>
        <v/>
      </c>
      <c r="AE94" s="161" t="str">
        <f ca="1">IF(OR('Intermediate Data'!AF138="",'Intermediate Data'!AF138="N/A"),"",'Intermediate Data'!AF138)</f>
        <v/>
      </c>
      <c r="AF94" s="520"/>
      <c r="AG94" s="805">
        <f ca="1">IF(OR('Intermediate Data'!AN138="",'Intermediate Data'!AN138="N/A"),"",'Intermediate Data'!AN138)</f>
        <v>1.1202750863174031</v>
      </c>
      <c r="AH94" s="805"/>
      <c r="AI94" s="805"/>
      <c r="AJ94" s="805"/>
      <c r="AK94" s="157"/>
      <c r="AL94" s="529" t="str">
        <f ca="1">IF(OR('Intermediate Data'!AI138="",'Intermediate Data'!AI138="N/A"),"",'Intermediate Data'!AI138)</f>
        <v/>
      </c>
      <c r="AM94" s="132">
        <f ca="1">IF(OR('Intermediate Data'!AJ138="",'Intermediate Data'!AJ138="N/A"),"",'Intermediate Data'!AJ138)</f>
        <v>0.59654744945467952</v>
      </c>
      <c r="AN94" s="529" t="str">
        <f ca="1">IF(OR('Intermediate Data'!AK138="",'Intermediate Data'!AK138="N/A"),"",'Intermediate Data'!AK138)</f>
        <v/>
      </c>
      <c r="AO94" s="132">
        <f ca="1">IF(OR('Intermediate Data'!AL138="",'Intermediate Data'!AL138="N/A"),"",'Intermediate Data'!AL138)</f>
        <v>1.1202750863174031</v>
      </c>
      <c r="AP94" s="163" t="str">
        <f ca="1">IF(OR('Intermediate Data'!AM138="",'Intermediate Data'!AM138="N/A"),"",'Intermediate Data'!AM138)</f>
        <v/>
      </c>
      <c r="AQ94" s="693"/>
      <c r="AR94" s="791" t="str">
        <f ca="1">IF('Intermediate Data'!AP138="","",'Intermediate Data'!AP138)</f>
        <v/>
      </c>
      <c r="AS94" s="791"/>
      <c r="AT94" s="693"/>
      <c r="AU94" s="150"/>
      <c r="AV94" s="804">
        <f ca="1">'Intermediate Data'!AQ138</f>
        <v>0.9</v>
      </c>
      <c r="AW94" s="804"/>
      <c r="AX94" s="804"/>
      <c r="AY94" s="804"/>
      <c r="AZ94" s="157"/>
      <c r="BA94" s="150"/>
      <c r="BB94" s="803">
        <f ca="1">'Intermediate Data'!AR138</f>
        <v>15.209999999999997</v>
      </c>
      <c r="BC94" s="803"/>
      <c r="BD94" s="803"/>
      <c r="BE94" s="803"/>
      <c r="BF94" s="692"/>
      <c r="BG94" s="31"/>
      <c r="BH94" s="31"/>
      <c r="BI94" s="30"/>
    </row>
    <row r="95" spans="1:74" x14ac:dyDescent="0.25">
      <c r="A95" s="30"/>
      <c r="B95" s="30"/>
      <c r="C95" s="30"/>
      <c r="D95" s="30"/>
      <c r="E95" s="30"/>
      <c r="F95" s="30"/>
      <c r="G95" s="30"/>
      <c r="H95" s="30"/>
      <c r="I95" s="30"/>
      <c r="J95" s="30"/>
      <c r="K95" s="30"/>
      <c r="L95" s="30"/>
      <c r="M95" s="30"/>
      <c r="N95" s="168" t="str">
        <f ca="1">'Intermediate Data'!AA139</f>
        <v>Projector</v>
      </c>
      <c r="O95" s="31"/>
      <c r="P95" s="31"/>
      <c r="Q95" s="31"/>
      <c r="R95" s="31"/>
      <c r="S95" s="31"/>
      <c r="T95" s="31"/>
      <c r="U95" s="148"/>
      <c r="V95" s="804" t="str">
        <f ca="1">IF(OR('Intermediate Data'!AG139="",'Intermediate Data'!AG139="N/A"),"",'Intermediate Data'!AG139)</f>
        <v/>
      </c>
      <c r="W95" s="804"/>
      <c r="X95" s="804"/>
      <c r="Y95" s="804"/>
      <c r="Z95" s="157"/>
      <c r="AA95" s="519" t="str">
        <f ca="1">IF(OR('Intermediate Data'!AB139="",'Intermediate Data'!AB139="N/A"),"",'Intermediate Data'!AB139)</f>
        <v/>
      </c>
      <c r="AB95" s="111" t="str">
        <f ca="1">IF(OR('Intermediate Data'!AC139="",'Intermediate Data'!AC139="N/A"),"",'Intermediate Data'!AC139)</f>
        <v/>
      </c>
      <c r="AC95" s="519" t="str">
        <f ca="1">IF(OR('Intermediate Data'!AD139="",'Intermediate Data'!AD139="N/A"),"",'Intermediate Data'!AD139)</f>
        <v/>
      </c>
      <c r="AD95" s="111" t="str">
        <f ca="1">IF(OR('Intermediate Data'!AE139="",'Intermediate Data'!AE139="N/A"),"",'Intermediate Data'!AE139)</f>
        <v/>
      </c>
      <c r="AE95" s="161" t="str">
        <f ca="1">IF(OR('Intermediate Data'!AF139="",'Intermediate Data'!AF139="N/A"),"",'Intermediate Data'!AF139)</f>
        <v/>
      </c>
      <c r="AF95" s="520"/>
      <c r="AG95" s="805" t="str">
        <f ca="1">IF(OR('Intermediate Data'!AN139="",'Intermediate Data'!AN139="N/A"),"",'Intermediate Data'!AN139)</f>
        <v/>
      </c>
      <c r="AH95" s="805"/>
      <c r="AI95" s="805"/>
      <c r="AJ95" s="805"/>
      <c r="AK95" s="157"/>
      <c r="AL95" s="529" t="str">
        <f ca="1">IF(OR('Intermediate Data'!AI139="",'Intermediate Data'!AI139="N/A"),"",'Intermediate Data'!AI139)</f>
        <v/>
      </c>
      <c r="AM95" s="132" t="str">
        <f ca="1">IF(OR('Intermediate Data'!AJ139="",'Intermediate Data'!AJ139="N/A"),"",'Intermediate Data'!AJ139)</f>
        <v/>
      </c>
      <c r="AN95" s="529" t="str">
        <f ca="1">IF(OR('Intermediate Data'!AK139="",'Intermediate Data'!AK139="N/A"),"",'Intermediate Data'!AK139)</f>
        <v/>
      </c>
      <c r="AO95" s="132" t="str">
        <f ca="1">IF(OR('Intermediate Data'!AL139="",'Intermediate Data'!AL139="N/A"),"",'Intermediate Data'!AL139)</f>
        <v/>
      </c>
      <c r="AP95" s="163" t="str">
        <f ca="1">IF(OR('Intermediate Data'!AM139="",'Intermediate Data'!AM139="N/A"),"",'Intermediate Data'!AM139)</f>
        <v/>
      </c>
      <c r="AQ95" s="693"/>
      <c r="AR95" s="791" t="str">
        <f ca="1">IF('Intermediate Data'!AP139="","",'Intermediate Data'!AP139)</f>
        <v/>
      </c>
      <c r="AS95" s="791"/>
      <c r="AT95" s="693"/>
      <c r="AU95" s="150"/>
      <c r="AV95" s="804" t="str">
        <f ca="1">'Intermediate Data'!AQ139</f>
        <v/>
      </c>
      <c r="AW95" s="804"/>
      <c r="AX95" s="804"/>
      <c r="AY95" s="804"/>
      <c r="AZ95" s="157"/>
      <c r="BA95" s="150"/>
      <c r="BB95" s="803" t="str">
        <f ca="1">'Intermediate Data'!AR139</f>
        <v/>
      </c>
      <c r="BC95" s="803"/>
      <c r="BD95" s="803"/>
      <c r="BE95" s="803"/>
      <c r="BF95" s="692"/>
      <c r="BG95" s="31"/>
      <c r="BH95" s="31"/>
      <c r="BI95" s="30"/>
    </row>
    <row r="96" spans="1:74" x14ac:dyDescent="0.25">
      <c r="A96" s="30"/>
      <c r="B96" s="30"/>
      <c r="C96" s="30"/>
      <c r="D96" s="30"/>
      <c r="E96" s="30"/>
      <c r="F96" s="30"/>
      <c r="G96" s="30"/>
      <c r="H96" s="30"/>
      <c r="I96" s="30"/>
      <c r="J96" s="30"/>
      <c r="K96" s="30"/>
      <c r="L96" s="30"/>
      <c r="M96" s="30"/>
      <c r="N96" s="168" t="str">
        <f ca="1">'Intermediate Data'!AA140</f>
        <v>Radio</v>
      </c>
      <c r="O96" s="31"/>
      <c r="P96" s="31"/>
      <c r="Q96" s="31"/>
      <c r="R96" s="31"/>
      <c r="S96" s="31"/>
      <c r="T96" s="31"/>
      <c r="U96" s="148"/>
      <c r="V96" s="804" t="str">
        <f ca="1">IF(OR('Intermediate Data'!AG140="",'Intermediate Data'!AG140="N/A"),"",'Intermediate Data'!AG140)</f>
        <v/>
      </c>
      <c r="W96" s="804"/>
      <c r="X96" s="804"/>
      <c r="Y96" s="804"/>
      <c r="Z96" s="157"/>
      <c r="AA96" s="519" t="str">
        <f ca="1">IF(OR('Intermediate Data'!AB140="",'Intermediate Data'!AB140="N/A"),"",'Intermediate Data'!AB140)</f>
        <v/>
      </c>
      <c r="AB96" s="111" t="str">
        <f ca="1">IF(OR('Intermediate Data'!AC140="",'Intermediate Data'!AC140="N/A"),"",'Intermediate Data'!AC140)</f>
        <v/>
      </c>
      <c r="AC96" s="519" t="str">
        <f ca="1">IF(OR('Intermediate Data'!AD140="",'Intermediate Data'!AD140="N/A"),"",'Intermediate Data'!AD140)</f>
        <v/>
      </c>
      <c r="AD96" s="111" t="str">
        <f ca="1">IF(OR('Intermediate Data'!AE140="",'Intermediate Data'!AE140="N/A"),"",'Intermediate Data'!AE140)</f>
        <v/>
      </c>
      <c r="AE96" s="161" t="str">
        <f ca="1">IF(OR('Intermediate Data'!AF140="",'Intermediate Data'!AF140="N/A"),"",'Intermediate Data'!AF140)</f>
        <v/>
      </c>
      <c r="AF96" s="520"/>
      <c r="AG96" s="805" t="str">
        <f ca="1">IF(OR('Intermediate Data'!AN140="",'Intermediate Data'!AN140="N/A"),"",'Intermediate Data'!AN140)</f>
        <v/>
      </c>
      <c r="AH96" s="805"/>
      <c r="AI96" s="805"/>
      <c r="AJ96" s="805"/>
      <c r="AK96" s="157"/>
      <c r="AL96" s="529" t="str">
        <f ca="1">IF(OR('Intermediate Data'!AI140="",'Intermediate Data'!AI140="N/A"),"",'Intermediate Data'!AI140)</f>
        <v/>
      </c>
      <c r="AM96" s="132" t="str">
        <f ca="1">IF(OR('Intermediate Data'!AJ140="",'Intermediate Data'!AJ140="N/A"),"",'Intermediate Data'!AJ140)</f>
        <v/>
      </c>
      <c r="AN96" s="529" t="str">
        <f ca="1">IF(OR('Intermediate Data'!AK140="",'Intermediate Data'!AK140="N/A"),"",'Intermediate Data'!AK140)</f>
        <v/>
      </c>
      <c r="AO96" s="132" t="str">
        <f ca="1">IF(OR('Intermediate Data'!AL140="",'Intermediate Data'!AL140="N/A"),"",'Intermediate Data'!AL140)</f>
        <v/>
      </c>
      <c r="AP96" s="163" t="str">
        <f ca="1">IF(OR('Intermediate Data'!AM140="",'Intermediate Data'!AM140="N/A"),"",'Intermediate Data'!AM140)</f>
        <v/>
      </c>
      <c r="AQ96" s="693"/>
      <c r="AR96" s="791" t="str">
        <f ca="1">IF('Intermediate Data'!AP140="","",'Intermediate Data'!AP140)</f>
        <v/>
      </c>
      <c r="AS96" s="791"/>
      <c r="AT96" s="693"/>
      <c r="AU96" s="150"/>
      <c r="AV96" s="804" t="str">
        <f ca="1">'Intermediate Data'!AQ140</f>
        <v/>
      </c>
      <c r="AW96" s="804"/>
      <c r="AX96" s="804"/>
      <c r="AY96" s="804"/>
      <c r="AZ96" s="157"/>
      <c r="BA96" s="150"/>
      <c r="BB96" s="803" t="str">
        <f ca="1">'Intermediate Data'!AR140</f>
        <v/>
      </c>
      <c r="BC96" s="803"/>
      <c r="BD96" s="803"/>
      <c r="BE96" s="803"/>
      <c r="BF96" s="692"/>
      <c r="BG96" s="31"/>
      <c r="BH96" s="31"/>
      <c r="BI96" s="30"/>
    </row>
    <row r="97" spans="1:61" x14ac:dyDescent="0.25">
      <c r="A97" s="30"/>
      <c r="B97" s="30"/>
      <c r="C97" s="30"/>
      <c r="D97" s="30"/>
      <c r="E97" s="30"/>
      <c r="F97" s="30"/>
      <c r="G97" s="30"/>
      <c r="H97" s="30"/>
      <c r="I97" s="30"/>
      <c r="J97" s="30"/>
      <c r="K97" s="30"/>
      <c r="L97" s="30"/>
      <c r="M97" s="30"/>
      <c r="N97" s="168" t="str">
        <f ca="1">'Intermediate Data'!AA141</f>
        <v>Refrigerator/freezer</v>
      </c>
      <c r="O97" s="31"/>
      <c r="P97" s="31"/>
      <c r="Q97" s="31"/>
      <c r="R97" s="31"/>
      <c r="S97" s="31"/>
      <c r="T97" s="31"/>
      <c r="U97" s="148"/>
      <c r="V97" s="804">
        <f ca="1">IF(OR('Intermediate Data'!AG141="",'Intermediate Data'!AG141="N/A"),"",'Intermediate Data'!AG141)</f>
        <v>0.999</v>
      </c>
      <c r="W97" s="804"/>
      <c r="X97" s="804"/>
      <c r="Y97" s="804"/>
      <c r="Z97" s="157"/>
      <c r="AA97" s="519" t="str">
        <f ca="1">IF(OR('Intermediate Data'!AB141="",'Intermediate Data'!AB141="N/A"),"",'Intermediate Data'!AB141)</f>
        <v/>
      </c>
      <c r="AB97" s="111">
        <f ca="1">IF(OR('Intermediate Data'!AC141="",'Intermediate Data'!AC141="N/A"),"",'Intermediate Data'!AC141)</f>
        <v>0.99870892732744043</v>
      </c>
      <c r="AC97" s="519">
        <f ca="1">IF(OR('Intermediate Data'!AD141="",'Intermediate Data'!AD141="N/A"),"",'Intermediate Data'!AD141)</f>
        <v>1</v>
      </c>
      <c r="AD97" s="111">
        <f ca="1">IF(OR('Intermediate Data'!AE141="",'Intermediate Data'!AE141="N/A"),"",'Intermediate Data'!AE141)</f>
        <v>0.99801470744118836</v>
      </c>
      <c r="AE97" s="161">
        <f ca="1">IF(OR('Intermediate Data'!AF141="",'Intermediate Data'!AF141="N/A"),"",'Intermediate Data'!AF141)</f>
        <v>0.999</v>
      </c>
      <c r="AF97" s="520"/>
      <c r="AG97" s="805">
        <f ca="1">IF(OR('Intermediate Data'!AN141="",'Intermediate Data'!AN141="N/A"),"",'Intermediate Data'!AN141)</f>
        <v>1.3069999999999999</v>
      </c>
      <c r="AH97" s="805"/>
      <c r="AI97" s="805"/>
      <c r="AJ97" s="805"/>
      <c r="AK97" s="157"/>
      <c r="AL97" s="529" t="str">
        <f ca="1">IF(OR('Intermediate Data'!AI141="",'Intermediate Data'!AI141="N/A"),"",'Intermediate Data'!AI141)</f>
        <v/>
      </c>
      <c r="AM97" s="132">
        <f ca="1">IF(OR('Intermediate Data'!AJ141="",'Intermediate Data'!AJ141="N/A"),"",'Intermediate Data'!AJ141)</f>
        <v>1.1996594589533784</v>
      </c>
      <c r="AN97" s="529">
        <f ca="1">IF(OR('Intermediate Data'!AK141="",'Intermediate Data'!AK141="N/A"),"",'Intermediate Data'!AK141)</f>
        <v>1.411</v>
      </c>
      <c r="AO97" s="132">
        <f ca="1">IF(OR('Intermediate Data'!AL141="",'Intermediate Data'!AL141="N/A"),"",'Intermediate Data'!AL141)</f>
        <v>1.2706475164401392</v>
      </c>
      <c r="AP97" s="163">
        <f ca="1">IF(OR('Intermediate Data'!AM141="",'Intermediate Data'!AM141="N/A"),"",'Intermediate Data'!AM141)</f>
        <v>1.3069999999999999</v>
      </c>
      <c r="AQ97" s="693"/>
      <c r="AR97" s="791">
        <f ca="1">IF('Intermediate Data'!AP141="","",'Intermediate Data'!AP141)</f>
        <v>0.19899999999999995</v>
      </c>
      <c r="AS97" s="791"/>
      <c r="AT97" s="693"/>
      <c r="AU97" s="150"/>
      <c r="AV97" s="804">
        <f ca="1">'Intermediate Data'!AQ141</f>
        <v>0.74</v>
      </c>
      <c r="AW97" s="804"/>
      <c r="AX97" s="804"/>
      <c r="AY97" s="804"/>
      <c r="AZ97" s="157"/>
      <c r="BA97" s="150"/>
      <c r="BB97" s="803">
        <f ca="1">'Intermediate Data'!AR141</f>
        <v>50</v>
      </c>
      <c r="BC97" s="803"/>
      <c r="BD97" s="803"/>
      <c r="BE97" s="803"/>
      <c r="BF97" s="692"/>
      <c r="BG97" s="31"/>
      <c r="BH97" s="31"/>
      <c r="BI97" s="30"/>
    </row>
    <row r="98" spans="1:61" x14ac:dyDescent="0.25">
      <c r="A98" s="30"/>
      <c r="B98" s="30"/>
      <c r="C98" s="30"/>
      <c r="D98" s="30"/>
      <c r="E98" s="30"/>
      <c r="F98" s="30"/>
      <c r="G98" s="30"/>
      <c r="H98" s="30"/>
      <c r="I98" s="30"/>
      <c r="J98" s="30"/>
      <c r="K98" s="30"/>
      <c r="L98" s="30"/>
      <c r="M98" s="30"/>
      <c r="N98" s="168" t="str">
        <f ca="1">'Intermediate Data'!AA142</f>
        <v>Renewable energy component</v>
      </c>
      <c r="O98" s="31"/>
      <c r="P98" s="31"/>
      <c r="Q98" s="31"/>
      <c r="R98" s="31"/>
      <c r="S98" s="31"/>
      <c r="T98" s="31"/>
      <c r="U98" s="148"/>
      <c r="V98" s="804" t="str">
        <f ca="1">IF(OR('Intermediate Data'!AG142="",'Intermediate Data'!AG142="N/A"),"",'Intermediate Data'!AG142)</f>
        <v/>
      </c>
      <c r="W98" s="804"/>
      <c r="X98" s="804"/>
      <c r="Y98" s="804"/>
      <c r="Z98" s="157"/>
      <c r="AA98" s="519" t="str">
        <f ca="1">IF(OR('Intermediate Data'!AB142="",'Intermediate Data'!AB142="N/A"),"",'Intermediate Data'!AB142)</f>
        <v/>
      </c>
      <c r="AB98" s="111" t="str">
        <f ca="1">IF(OR('Intermediate Data'!AC142="",'Intermediate Data'!AC142="N/A"),"",'Intermediate Data'!AC142)</f>
        <v/>
      </c>
      <c r="AC98" s="519" t="str">
        <f ca="1">IF(OR('Intermediate Data'!AD142="",'Intermediate Data'!AD142="N/A"),"",'Intermediate Data'!AD142)</f>
        <v/>
      </c>
      <c r="AD98" s="111" t="str">
        <f ca="1">IF(OR('Intermediate Data'!AE142="",'Intermediate Data'!AE142="N/A"),"",'Intermediate Data'!AE142)</f>
        <v/>
      </c>
      <c r="AE98" s="161" t="str">
        <f ca="1">IF(OR('Intermediate Data'!AF142="",'Intermediate Data'!AF142="N/A"),"",'Intermediate Data'!AF142)</f>
        <v/>
      </c>
      <c r="AF98" s="520"/>
      <c r="AG98" s="805" t="str">
        <f ca="1">IF(OR('Intermediate Data'!AN142="",'Intermediate Data'!AN142="N/A"),"",'Intermediate Data'!AN142)</f>
        <v/>
      </c>
      <c r="AH98" s="805"/>
      <c r="AI98" s="805"/>
      <c r="AJ98" s="805"/>
      <c r="AK98" s="157"/>
      <c r="AL98" s="529" t="str">
        <f ca="1">IF(OR('Intermediate Data'!AI142="",'Intermediate Data'!AI142="N/A"),"",'Intermediate Data'!AI142)</f>
        <v/>
      </c>
      <c r="AM98" s="132" t="str">
        <f ca="1">IF(OR('Intermediate Data'!AJ142="",'Intermediate Data'!AJ142="N/A"),"",'Intermediate Data'!AJ142)</f>
        <v/>
      </c>
      <c r="AN98" s="529" t="str">
        <f ca="1">IF(OR('Intermediate Data'!AK142="",'Intermediate Data'!AK142="N/A"),"",'Intermediate Data'!AK142)</f>
        <v/>
      </c>
      <c r="AO98" s="132" t="str">
        <f ca="1">IF(OR('Intermediate Data'!AL142="",'Intermediate Data'!AL142="N/A"),"",'Intermediate Data'!AL142)</f>
        <v/>
      </c>
      <c r="AP98" s="163" t="str">
        <f ca="1">IF(OR('Intermediate Data'!AM142="",'Intermediate Data'!AM142="N/A"),"",'Intermediate Data'!AM142)</f>
        <v/>
      </c>
      <c r="AQ98" s="693"/>
      <c r="AR98" s="791" t="str">
        <f ca="1">IF('Intermediate Data'!AP142="","",'Intermediate Data'!AP142)</f>
        <v/>
      </c>
      <c r="AS98" s="791"/>
      <c r="AT98" s="693"/>
      <c r="AU98" s="150"/>
      <c r="AV98" s="804" t="str">
        <f ca="1">'Intermediate Data'!AQ142</f>
        <v/>
      </c>
      <c r="AW98" s="804"/>
      <c r="AX98" s="804"/>
      <c r="AY98" s="804"/>
      <c r="AZ98" s="157"/>
      <c r="BA98" s="150"/>
      <c r="BB98" s="803" t="str">
        <f ca="1">'Intermediate Data'!AR142</f>
        <v/>
      </c>
      <c r="BC98" s="803"/>
      <c r="BD98" s="803"/>
      <c r="BE98" s="803"/>
      <c r="BF98" s="692"/>
      <c r="BG98" s="31"/>
      <c r="BH98" s="31"/>
      <c r="BI98" s="30"/>
    </row>
    <row r="99" spans="1:61" x14ac:dyDescent="0.25">
      <c r="A99" s="30"/>
      <c r="B99" s="30"/>
      <c r="C99" s="30"/>
      <c r="D99" s="30"/>
      <c r="E99" s="30"/>
      <c r="F99" s="30"/>
      <c r="G99" s="30"/>
      <c r="H99" s="30"/>
      <c r="I99" s="30"/>
      <c r="J99" s="30"/>
      <c r="K99" s="30"/>
      <c r="L99" s="30"/>
      <c r="M99" s="30"/>
      <c r="N99" s="168" t="str">
        <f ca="1">'Intermediate Data'!AA143</f>
        <v>Ride-on toy car</v>
      </c>
      <c r="O99" s="31"/>
      <c r="P99" s="31"/>
      <c r="Q99" s="31"/>
      <c r="R99" s="31"/>
      <c r="S99" s="31"/>
      <c r="T99" s="31"/>
      <c r="U99" s="148"/>
      <c r="V99" s="804" t="str">
        <f ca="1">IF(OR('Intermediate Data'!AG143="",'Intermediate Data'!AG143="N/A"),"",'Intermediate Data'!AG143)</f>
        <v/>
      </c>
      <c r="W99" s="804"/>
      <c r="X99" s="804"/>
      <c r="Y99" s="804"/>
      <c r="Z99" s="157"/>
      <c r="AA99" s="519" t="str">
        <f ca="1">IF(OR('Intermediate Data'!AB143="",'Intermediate Data'!AB143="N/A"),"",'Intermediate Data'!AB143)</f>
        <v/>
      </c>
      <c r="AB99" s="111" t="str">
        <f ca="1">IF(OR('Intermediate Data'!AC143="",'Intermediate Data'!AC143="N/A"),"",'Intermediate Data'!AC143)</f>
        <v/>
      </c>
      <c r="AC99" s="519" t="str">
        <f ca="1">IF(OR('Intermediate Data'!AD143="",'Intermediate Data'!AD143="N/A"),"",'Intermediate Data'!AD143)</f>
        <v/>
      </c>
      <c r="AD99" s="111" t="str">
        <f ca="1">IF(OR('Intermediate Data'!AE143="",'Intermediate Data'!AE143="N/A"),"",'Intermediate Data'!AE143)</f>
        <v/>
      </c>
      <c r="AE99" s="161" t="str">
        <f ca="1">IF(OR('Intermediate Data'!AF143="",'Intermediate Data'!AF143="N/A"),"",'Intermediate Data'!AF143)</f>
        <v/>
      </c>
      <c r="AF99" s="520"/>
      <c r="AG99" s="805" t="str">
        <f ca="1">IF(OR('Intermediate Data'!AN143="",'Intermediate Data'!AN143="N/A"),"",'Intermediate Data'!AN143)</f>
        <v/>
      </c>
      <c r="AH99" s="805"/>
      <c r="AI99" s="805"/>
      <c r="AJ99" s="805"/>
      <c r="AK99" s="157"/>
      <c r="AL99" s="529" t="str">
        <f ca="1">IF(OR('Intermediate Data'!AI143="",'Intermediate Data'!AI143="N/A"),"",'Intermediate Data'!AI143)</f>
        <v/>
      </c>
      <c r="AM99" s="132" t="str">
        <f ca="1">IF(OR('Intermediate Data'!AJ143="",'Intermediate Data'!AJ143="N/A"),"",'Intermediate Data'!AJ143)</f>
        <v/>
      </c>
      <c r="AN99" s="529" t="str">
        <f ca="1">IF(OR('Intermediate Data'!AK143="",'Intermediate Data'!AK143="N/A"),"",'Intermediate Data'!AK143)</f>
        <v/>
      </c>
      <c r="AO99" s="132" t="str">
        <f ca="1">IF(OR('Intermediate Data'!AL143="",'Intermediate Data'!AL143="N/A"),"",'Intermediate Data'!AL143)</f>
        <v/>
      </c>
      <c r="AP99" s="163" t="str">
        <f ca="1">IF(OR('Intermediate Data'!AM143="",'Intermediate Data'!AM143="N/A"),"",'Intermediate Data'!AM143)</f>
        <v/>
      </c>
      <c r="AQ99" s="693"/>
      <c r="AR99" s="791" t="str">
        <f ca="1">IF('Intermediate Data'!AP143="","",'Intermediate Data'!AP143)</f>
        <v/>
      </c>
      <c r="AS99" s="791"/>
      <c r="AT99" s="693"/>
      <c r="AU99" s="150"/>
      <c r="AV99" s="804" t="str">
        <f ca="1">'Intermediate Data'!AQ143</f>
        <v/>
      </c>
      <c r="AW99" s="804"/>
      <c r="AX99" s="804"/>
      <c r="AY99" s="804"/>
      <c r="AZ99" s="157"/>
      <c r="BA99" s="150"/>
      <c r="BB99" s="803" t="str">
        <f ca="1">'Intermediate Data'!AR143</f>
        <v/>
      </c>
      <c r="BC99" s="803"/>
      <c r="BD99" s="803"/>
      <c r="BE99" s="803"/>
      <c r="BF99" s="692"/>
      <c r="BG99" s="31"/>
      <c r="BH99" s="31"/>
      <c r="BI99" s="30"/>
    </row>
    <row r="100" spans="1:61" x14ac:dyDescent="0.25">
      <c r="A100" s="30"/>
      <c r="B100" s="30"/>
      <c r="C100" s="30"/>
      <c r="D100" s="30"/>
      <c r="E100" s="30"/>
      <c r="F100" s="30"/>
      <c r="G100" s="30"/>
      <c r="H100" s="30"/>
      <c r="I100" s="30"/>
      <c r="J100" s="30"/>
      <c r="K100" s="30"/>
      <c r="L100" s="30"/>
      <c r="M100" s="30"/>
      <c r="N100" s="168" t="str">
        <f ca="1">'Intermediate Data'!AA144</f>
        <v>Room AC</v>
      </c>
      <c r="O100" s="31"/>
      <c r="P100" s="31"/>
      <c r="Q100" s="31"/>
      <c r="R100" s="31"/>
      <c r="S100" s="31"/>
      <c r="T100" s="31"/>
      <c r="U100" s="148"/>
      <c r="V100" s="804">
        <f ca="1">IF(OR('Intermediate Data'!AG144="",'Intermediate Data'!AG144="N/A"),"",'Intermediate Data'!AG144)</f>
        <v>0.16778750749333124</v>
      </c>
      <c r="W100" s="804"/>
      <c r="X100" s="804"/>
      <c r="Y100" s="804"/>
      <c r="Z100" s="157"/>
      <c r="AA100" s="519">
        <f ca="1">IF(OR('Intermediate Data'!AB144="",'Intermediate Data'!AB144="N/A"),"",'Intermediate Data'!AB144)</f>
        <v>0.09</v>
      </c>
      <c r="AB100" s="111">
        <f ca="1">IF(OR('Intermediate Data'!AC144="",'Intermediate Data'!AC144="N/A"),"",'Intermediate Data'!AC144)</f>
        <v>0.17593836027863638</v>
      </c>
      <c r="AC100" s="519" t="str">
        <f ca="1">IF(OR('Intermediate Data'!AD144="",'Intermediate Data'!AD144="N/A"),"",'Intermediate Data'!AD144)</f>
        <v/>
      </c>
      <c r="AD100" s="111">
        <f ca="1">IF(OR('Intermediate Data'!AE144="",'Intermediate Data'!AE144="N/A"),"",'Intermediate Data'!AE144)</f>
        <v>0.16778750749333124</v>
      </c>
      <c r="AE100" s="161" t="str">
        <f ca="1">IF(OR('Intermediate Data'!AF144="",'Intermediate Data'!AF144="N/A"),"",'Intermediate Data'!AF144)</f>
        <v/>
      </c>
      <c r="AF100" s="520"/>
      <c r="AG100" s="805">
        <f ca="1">IF(OR('Intermediate Data'!AN144="",'Intermediate Data'!AN144="N/A"),"",'Intermediate Data'!AN144)</f>
        <v>0.20626864540110718</v>
      </c>
      <c r="AH100" s="805"/>
      <c r="AI100" s="805"/>
      <c r="AJ100" s="805"/>
      <c r="AK100" s="157"/>
      <c r="AL100" s="529" t="str">
        <f ca="1">IF(OR('Intermediate Data'!AI144="",'Intermediate Data'!AI144="N/A"),"",'Intermediate Data'!AI144)</f>
        <v/>
      </c>
      <c r="AM100" s="132">
        <f ca="1">IF(OR('Intermediate Data'!AJ144="",'Intermediate Data'!AJ144="N/A"),"",'Intermediate Data'!AJ144)</f>
        <v>0.20676044257001719</v>
      </c>
      <c r="AN100" s="529" t="str">
        <f ca="1">IF(OR('Intermediate Data'!AK144="",'Intermediate Data'!AK144="N/A"),"",'Intermediate Data'!AK144)</f>
        <v/>
      </c>
      <c r="AO100" s="132">
        <f ca="1">IF(OR('Intermediate Data'!AL144="",'Intermediate Data'!AL144="N/A"),"",'Intermediate Data'!AL144)</f>
        <v>0.20626864540110718</v>
      </c>
      <c r="AP100" s="163" t="str">
        <f ca="1">IF(OR('Intermediate Data'!AM144="",'Intermediate Data'!AM144="N/A"),"",'Intermediate Data'!AM144)</f>
        <v/>
      </c>
      <c r="AQ100" s="693"/>
      <c r="AR100" s="791">
        <f ca="1">IF('Intermediate Data'!AP144="","",'Intermediate Data'!AP144)</f>
        <v>-1.8000000000000016E-2</v>
      </c>
      <c r="AS100" s="791"/>
      <c r="AT100" s="693"/>
      <c r="AU100" s="150"/>
      <c r="AV100" s="804">
        <f ca="1">'Intermediate Data'!AQ144</f>
        <v>0.72</v>
      </c>
      <c r="AW100" s="804"/>
      <c r="AX100" s="804"/>
      <c r="AY100" s="804"/>
      <c r="AZ100" s="157"/>
      <c r="BA100" s="150"/>
      <c r="BB100" s="803">
        <f ca="1">'Intermediate Data'!AR144</f>
        <v>90</v>
      </c>
      <c r="BC100" s="803"/>
      <c r="BD100" s="803"/>
      <c r="BE100" s="803"/>
      <c r="BF100" s="692"/>
      <c r="BG100" s="31"/>
      <c r="BH100" s="31"/>
      <c r="BI100" s="30"/>
    </row>
    <row r="101" spans="1:61" x14ac:dyDescent="0.25">
      <c r="A101" s="30"/>
      <c r="B101" s="30"/>
      <c r="C101" s="30"/>
      <c r="D101" s="30"/>
      <c r="E101" s="30"/>
      <c r="F101" s="30"/>
      <c r="G101" s="30"/>
      <c r="H101" s="30"/>
      <c r="I101" s="30"/>
      <c r="J101" s="30"/>
      <c r="K101" s="30"/>
      <c r="L101" s="30"/>
      <c r="M101" s="30"/>
      <c r="N101" s="168" t="str">
        <f ca="1">'Intermediate Data'!AA145</f>
        <v>Rug cleaner</v>
      </c>
      <c r="O101" s="31"/>
      <c r="P101" s="31"/>
      <c r="Q101" s="31"/>
      <c r="R101" s="31"/>
      <c r="S101" s="31"/>
      <c r="T101" s="31"/>
      <c r="U101" s="148"/>
      <c r="V101" s="804" t="str">
        <f ca="1">IF(OR('Intermediate Data'!AG145="",'Intermediate Data'!AG145="N/A"),"",'Intermediate Data'!AG145)</f>
        <v/>
      </c>
      <c r="W101" s="804"/>
      <c r="X101" s="804"/>
      <c r="Y101" s="804"/>
      <c r="Z101" s="157"/>
      <c r="AA101" s="519" t="str">
        <f ca="1">IF(OR('Intermediate Data'!AB145="",'Intermediate Data'!AB145="N/A"),"",'Intermediate Data'!AB145)</f>
        <v/>
      </c>
      <c r="AB101" s="111" t="str">
        <f ca="1">IF(OR('Intermediate Data'!AC145="",'Intermediate Data'!AC145="N/A"),"",'Intermediate Data'!AC145)</f>
        <v/>
      </c>
      <c r="AC101" s="519" t="str">
        <f ca="1">IF(OR('Intermediate Data'!AD145="",'Intermediate Data'!AD145="N/A"),"",'Intermediate Data'!AD145)</f>
        <v/>
      </c>
      <c r="AD101" s="111" t="str">
        <f ca="1">IF(OR('Intermediate Data'!AE145="",'Intermediate Data'!AE145="N/A"),"",'Intermediate Data'!AE145)</f>
        <v/>
      </c>
      <c r="AE101" s="161" t="str">
        <f ca="1">IF(OR('Intermediate Data'!AF145="",'Intermediate Data'!AF145="N/A"),"",'Intermediate Data'!AF145)</f>
        <v/>
      </c>
      <c r="AF101" s="520"/>
      <c r="AG101" s="805" t="str">
        <f ca="1">IF(OR('Intermediate Data'!AN145="",'Intermediate Data'!AN145="N/A"),"",'Intermediate Data'!AN145)</f>
        <v/>
      </c>
      <c r="AH101" s="805"/>
      <c r="AI101" s="805"/>
      <c r="AJ101" s="805"/>
      <c r="AK101" s="157"/>
      <c r="AL101" s="529" t="str">
        <f ca="1">IF(OR('Intermediate Data'!AI145="",'Intermediate Data'!AI145="N/A"),"",'Intermediate Data'!AI145)</f>
        <v/>
      </c>
      <c r="AM101" s="132" t="str">
        <f ca="1">IF(OR('Intermediate Data'!AJ145="",'Intermediate Data'!AJ145="N/A"),"",'Intermediate Data'!AJ145)</f>
        <v/>
      </c>
      <c r="AN101" s="529" t="str">
        <f ca="1">IF(OR('Intermediate Data'!AK145="",'Intermediate Data'!AK145="N/A"),"",'Intermediate Data'!AK145)</f>
        <v/>
      </c>
      <c r="AO101" s="132" t="str">
        <f ca="1">IF(OR('Intermediate Data'!AL145="",'Intermediate Data'!AL145="N/A"),"",'Intermediate Data'!AL145)</f>
        <v/>
      </c>
      <c r="AP101" s="163" t="str">
        <f ca="1">IF(OR('Intermediate Data'!AM145="",'Intermediate Data'!AM145="N/A"),"",'Intermediate Data'!AM145)</f>
        <v/>
      </c>
      <c r="AQ101" s="693"/>
      <c r="AR101" s="791" t="str">
        <f ca="1">IF('Intermediate Data'!AP145="","",'Intermediate Data'!AP145)</f>
        <v/>
      </c>
      <c r="AS101" s="791"/>
      <c r="AT101" s="693"/>
      <c r="AU101" s="150"/>
      <c r="AV101" s="804" t="str">
        <f ca="1">'Intermediate Data'!AQ145</f>
        <v/>
      </c>
      <c r="AW101" s="804"/>
      <c r="AX101" s="804"/>
      <c r="AY101" s="804"/>
      <c r="AZ101" s="157"/>
      <c r="BA101" s="150"/>
      <c r="BB101" s="803" t="str">
        <f ca="1">'Intermediate Data'!AR145</f>
        <v/>
      </c>
      <c r="BC101" s="803"/>
      <c r="BD101" s="803"/>
      <c r="BE101" s="803"/>
      <c r="BF101" s="692"/>
      <c r="BG101" s="31"/>
      <c r="BH101" s="31"/>
      <c r="BI101" s="30"/>
    </row>
    <row r="102" spans="1:61" x14ac:dyDescent="0.25">
      <c r="A102" s="30"/>
      <c r="B102" s="30"/>
      <c r="C102" s="30"/>
      <c r="D102" s="30"/>
      <c r="E102" s="30"/>
      <c r="F102" s="30"/>
      <c r="G102" s="30"/>
      <c r="H102" s="30"/>
      <c r="I102" s="30"/>
      <c r="J102" s="30"/>
      <c r="K102" s="30"/>
      <c r="L102" s="30"/>
      <c r="M102" s="30"/>
      <c r="N102" s="168" t="str">
        <f ca="1">'Intermediate Data'!AA146</f>
        <v>Sauna</v>
      </c>
      <c r="O102" s="31"/>
      <c r="P102" s="31"/>
      <c r="Q102" s="31"/>
      <c r="R102" s="31"/>
      <c r="S102" s="31"/>
      <c r="T102" s="31"/>
      <c r="U102" s="148"/>
      <c r="V102" s="804">
        <f ca="1">IF(OR('Intermediate Data'!AG146="",'Intermediate Data'!AG146="N/A"),"",'Intermediate Data'!AG146)</f>
        <v>8.358238643330072E-3</v>
      </c>
      <c r="W102" s="804"/>
      <c r="X102" s="804"/>
      <c r="Y102" s="804"/>
      <c r="Z102" s="157"/>
      <c r="AA102" s="519" t="str">
        <f ca="1">IF(OR('Intermediate Data'!AB146="",'Intermediate Data'!AB146="N/A"),"",'Intermediate Data'!AB146)</f>
        <v/>
      </c>
      <c r="AB102" s="111">
        <f ca="1">IF(OR('Intermediate Data'!AC146="",'Intermediate Data'!AC146="N/A"),"",'Intermediate Data'!AC146)</f>
        <v>7.8222873142073206E-3</v>
      </c>
      <c r="AC102" s="519" t="str">
        <f ca="1">IF(OR('Intermediate Data'!AD146="",'Intermediate Data'!AD146="N/A"),"",'Intermediate Data'!AD146)</f>
        <v/>
      </c>
      <c r="AD102" s="111">
        <f ca="1">IF(OR('Intermediate Data'!AE146="",'Intermediate Data'!AE146="N/A"),"",'Intermediate Data'!AE146)</f>
        <v>8.358238643330072E-3</v>
      </c>
      <c r="AE102" s="161" t="str">
        <f ca="1">IF(OR('Intermediate Data'!AF146="",'Intermediate Data'!AF146="N/A"),"",'Intermediate Data'!AF146)</f>
        <v/>
      </c>
      <c r="AF102" s="520"/>
      <c r="AG102" s="805">
        <f ca="1">IF(OR('Intermediate Data'!AN146="",'Intermediate Data'!AN146="N/A"),"",'Intermediate Data'!AN146)</f>
        <v>8.5905611976979934E-3</v>
      </c>
      <c r="AH102" s="805"/>
      <c r="AI102" s="805"/>
      <c r="AJ102" s="805"/>
      <c r="AK102" s="157"/>
      <c r="AL102" s="529" t="str">
        <f ca="1">IF(OR('Intermediate Data'!AI146="",'Intermediate Data'!AI146="N/A"),"",'Intermediate Data'!AI146)</f>
        <v/>
      </c>
      <c r="AM102" s="132">
        <f ca="1">IF(OR('Intermediate Data'!AJ146="",'Intermediate Data'!AJ146="N/A"),"",'Intermediate Data'!AJ146)</f>
        <v>7.920143926447373E-3</v>
      </c>
      <c r="AN102" s="529" t="str">
        <f ca="1">IF(OR('Intermediate Data'!AK146="",'Intermediate Data'!AK146="N/A"),"",'Intermediate Data'!AK146)</f>
        <v/>
      </c>
      <c r="AO102" s="132">
        <f ca="1">IF(OR('Intermediate Data'!AL146="",'Intermediate Data'!AL146="N/A"),"",'Intermediate Data'!AL146)</f>
        <v>8.5905611976979934E-3</v>
      </c>
      <c r="AP102" s="163" t="str">
        <f ca="1">IF(OR('Intermediate Data'!AM146="",'Intermediate Data'!AM146="N/A"),"",'Intermediate Data'!AM146)</f>
        <v/>
      </c>
      <c r="AQ102" s="693"/>
      <c r="AR102" s="791" t="str">
        <f ca="1">IF('Intermediate Data'!AP146="","",'Intermediate Data'!AP146)</f>
        <v/>
      </c>
      <c r="AS102" s="791"/>
      <c r="AT102" s="693"/>
      <c r="AU102" s="150"/>
      <c r="AV102" s="804" t="str">
        <f ca="1">'Intermediate Data'!AQ146</f>
        <v/>
      </c>
      <c r="AW102" s="804"/>
      <c r="AX102" s="804"/>
      <c r="AY102" s="804"/>
      <c r="AZ102" s="157"/>
      <c r="BA102" s="150"/>
      <c r="BB102" s="803" t="str">
        <f ca="1">'Intermediate Data'!AR146</f>
        <v/>
      </c>
      <c r="BC102" s="803"/>
      <c r="BD102" s="803"/>
      <c r="BE102" s="803"/>
      <c r="BF102" s="692"/>
      <c r="BG102" s="31"/>
      <c r="BH102" s="31"/>
      <c r="BI102" s="30"/>
    </row>
    <row r="103" spans="1:61" x14ac:dyDescent="0.25">
      <c r="A103" s="30"/>
      <c r="B103" s="30"/>
      <c r="C103" s="30"/>
      <c r="D103" s="30"/>
      <c r="E103" s="30"/>
      <c r="F103" s="30"/>
      <c r="G103" s="30"/>
      <c r="H103" s="30"/>
      <c r="I103" s="30"/>
      <c r="J103" s="30"/>
      <c r="K103" s="30"/>
      <c r="L103" s="30"/>
      <c r="M103" s="30"/>
      <c r="N103" s="168" t="str">
        <f ca="1">'Intermediate Data'!AA147</f>
        <v>Scanner</v>
      </c>
      <c r="O103" s="31"/>
      <c r="P103" s="31"/>
      <c r="Q103" s="31"/>
      <c r="R103" s="31"/>
      <c r="S103" s="31"/>
      <c r="T103" s="31"/>
      <c r="U103" s="148"/>
      <c r="V103" s="804">
        <f ca="1">IF(OR('Intermediate Data'!AG147="",'Intermediate Data'!AG147="N/A"),"",'Intermediate Data'!AG147)</f>
        <v>0.12603127327316591</v>
      </c>
      <c r="W103" s="804"/>
      <c r="X103" s="804"/>
      <c r="Y103" s="804"/>
      <c r="Z103" s="157"/>
      <c r="AA103" s="519" t="str">
        <f ca="1">IF(OR('Intermediate Data'!AB147="",'Intermediate Data'!AB147="N/A"),"",'Intermediate Data'!AB147)</f>
        <v/>
      </c>
      <c r="AB103" s="111">
        <f ca="1">IF(OR('Intermediate Data'!AC147="",'Intermediate Data'!AC147="N/A"),"",'Intermediate Data'!AC147)</f>
        <v>0.21647641047097599</v>
      </c>
      <c r="AC103" s="519" t="str">
        <f ca="1">IF(OR('Intermediate Data'!AD147="",'Intermediate Data'!AD147="N/A"),"",'Intermediate Data'!AD147)</f>
        <v/>
      </c>
      <c r="AD103" s="111">
        <f ca="1">IF(OR('Intermediate Data'!AE147="",'Intermediate Data'!AE147="N/A"),"",'Intermediate Data'!AE147)</f>
        <v>0.12603127327316591</v>
      </c>
      <c r="AE103" s="161" t="str">
        <f ca="1">IF(OR('Intermediate Data'!AF147="",'Intermediate Data'!AF147="N/A"),"",'Intermediate Data'!AF147)</f>
        <v/>
      </c>
      <c r="AF103" s="520"/>
      <c r="AG103" s="805">
        <f ca="1">IF(OR('Intermediate Data'!AN147="",'Intermediate Data'!AN147="N/A"),"",'Intermediate Data'!AN147)</f>
        <v>0.13129243147241795</v>
      </c>
      <c r="AH103" s="805"/>
      <c r="AI103" s="805"/>
      <c r="AJ103" s="805"/>
      <c r="AK103" s="157"/>
      <c r="AL103" s="529" t="str">
        <f ca="1">IF(OR('Intermediate Data'!AI147="",'Intermediate Data'!AI147="N/A"),"",'Intermediate Data'!AI147)</f>
        <v/>
      </c>
      <c r="AM103" s="132">
        <f ca="1">IF(OR('Intermediate Data'!AJ147="",'Intermediate Data'!AJ147="N/A"),"",'Intermediate Data'!AJ147)</f>
        <v>0.22742217621491642</v>
      </c>
      <c r="AN103" s="529" t="str">
        <f ca="1">IF(OR('Intermediate Data'!AK147="",'Intermediate Data'!AK147="N/A"),"",'Intermediate Data'!AK147)</f>
        <v/>
      </c>
      <c r="AO103" s="132">
        <f ca="1">IF(OR('Intermediate Data'!AL147="",'Intermediate Data'!AL147="N/A"),"",'Intermediate Data'!AL147)</f>
        <v>0.13129243147241795</v>
      </c>
      <c r="AP103" s="163" t="str">
        <f ca="1">IF(OR('Intermediate Data'!AM147="",'Intermediate Data'!AM147="N/A"),"",'Intermediate Data'!AM147)</f>
        <v/>
      </c>
      <c r="AQ103" s="693"/>
      <c r="AR103" s="791" t="str">
        <f ca="1">IF('Intermediate Data'!AP147="","",'Intermediate Data'!AP147)</f>
        <v/>
      </c>
      <c r="AS103" s="791"/>
      <c r="AT103" s="693"/>
      <c r="AU103" s="150"/>
      <c r="AV103" s="804" t="str">
        <f ca="1">'Intermediate Data'!AQ147</f>
        <v>Not published</v>
      </c>
      <c r="AW103" s="804"/>
      <c r="AX103" s="804"/>
      <c r="AY103" s="804"/>
      <c r="AZ103" s="157"/>
      <c r="BA103" s="150"/>
      <c r="BB103" s="803">
        <f ca="1">'Intermediate Data'!AR147</f>
        <v>3</v>
      </c>
      <c r="BC103" s="803"/>
      <c r="BD103" s="803"/>
      <c r="BE103" s="803"/>
      <c r="BF103" s="692"/>
      <c r="BG103" s="31"/>
      <c r="BH103" s="31"/>
      <c r="BI103" s="30"/>
    </row>
    <row r="104" spans="1:61" x14ac:dyDescent="0.25">
      <c r="A104" s="30"/>
      <c r="B104" s="30"/>
      <c r="C104" s="30"/>
      <c r="D104" s="30"/>
      <c r="E104" s="30"/>
      <c r="F104" s="30"/>
      <c r="G104" s="30"/>
      <c r="H104" s="30"/>
      <c r="I104" s="30"/>
      <c r="J104" s="30"/>
      <c r="K104" s="30"/>
      <c r="L104" s="30"/>
      <c r="M104" s="30"/>
      <c r="N104" s="168" t="str">
        <f ca="1">'Intermediate Data'!AA148</f>
        <v>Security system</v>
      </c>
      <c r="O104" s="31"/>
      <c r="P104" s="31"/>
      <c r="Q104" s="31"/>
      <c r="R104" s="31"/>
      <c r="S104" s="31"/>
      <c r="T104" s="31"/>
      <c r="U104" s="148"/>
      <c r="V104" s="804">
        <f ca="1">IF(OR('Intermediate Data'!AG148="",'Intermediate Data'!AG148="N/A"),"",'Intermediate Data'!AG148)</f>
        <v>0.13852058628509761</v>
      </c>
      <c r="W104" s="804"/>
      <c r="X104" s="804"/>
      <c r="Y104" s="804"/>
      <c r="Z104" s="157"/>
      <c r="AA104" s="519" t="str">
        <f ca="1">IF(OR('Intermediate Data'!AB148="",'Intermediate Data'!AB148="N/A"),"",'Intermediate Data'!AB148)</f>
        <v/>
      </c>
      <c r="AB104" s="111">
        <f ca="1">IF(OR('Intermediate Data'!AC148="",'Intermediate Data'!AC148="N/A"),"",'Intermediate Data'!AC148)</f>
        <v>0.12599829634246817</v>
      </c>
      <c r="AC104" s="519" t="str">
        <f ca="1">IF(OR('Intermediate Data'!AD148="",'Intermediate Data'!AD148="N/A"),"",'Intermediate Data'!AD148)</f>
        <v/>
      </c>
      <c r="AD104" s="111">
        <f ca="1">IF(OR('Intermediate Data'!AE148="",'Intermediate Data'!AE148="N/A"),"",'Intermediate Data'!AE148)</f>
        <v>0.13852058628509761</v>
      </c>
      <c r="AE104" s="161" t="str">
        <f ca="1">IF(OR('Intermediate Data'!AF148="",'Intermediate Data'!AF148="N/A"),"",'Intermediate Data'!AF148)</f>
        <v/>
      </c>
      <c r="AF104" s="520"/>
      <c r="AG104" s="805">
        <f ca="1">IF(OR('Intermediate Data'!AN148="",'Intermediate Data'!AN148="N/A"),"",'Intermediate Data'!AN148)</f>
        <v>0.14247251135258887</v>
      </c>
      <c r="AH104" s="805"/>
      <c r="AI104" s="805"/>
      <c r="AJ104" s="805"/>
      <c r="AK104" s="157"/>
      <c r="AL104" s="529" t="str">
        <f ca="1">IF(OR('Intermediate Data'!AI148="",'Intermediate Data'!AI148="N/A"),"",'Intermediate Data'!AI148)</f>
        <v/>
      </c>
      <c r="AM104" s="132">
        <f ca="1">IF(OR('Intermediate Data'!AJ148="",'Intermediate Data'!AJ148="N/A"),"",'Intermediate Data'!AJ148)</f>
        <v>0.12826751231724084</v>
      </c>
      <c r="AN104" s="529" t="str">
        <f ca="1">IF(OR('Intermediate Data'!AK148="",'Intermediate Data'!AK148="N/A"),"",'Intermediate Data'!AK148)</f>
        <v/>
      </c>
      <c r="AO104" s="132">
        <f ca="1">IF(OR('Intermediate Data'!AL148="",'Intermediate Data'!AL148="N/A"),"",'Intermediate Data'!AL148)</f>
        <v>0.14247251135258887</v>
      </c>
      <c r="AP104" s="163" t="str">
        <f ca="1">IF(OR('Intermediate Data'!AM148="",'Intermediate Data'!AM148="N/A"),"",'Intermediate Data'!AM148)</f>
        <v/>
      </c>
      <c r="AQ104" s="693"/>
      <c r="AR104" s="791" t="str">
        <f ca="1">IF('Intermediate Data'!AP148="","",'Intermediate Data'!AP148)</f>
        <v/>
      </c>
      <c r="AS104" s="791"/>
      <c r="AT104" s="693"/>
      <c r="AU104" s="150"/>
      <c r="AV104" s="804" t="str">
        <f ca="1">'Intermediate Data'!AQ148</f>
        <v/>
      </c>
      <c r="AW104" s="804"/>
      <c r="AX104" s="804"/>
      <c r="AY104" s="804"/>
      <c r="AZ104" s="157"/>
      <c r="BA104" s="150"/>
      <c r="BB104" s="803" t="str">
        <f ca="1">'Intermediate Data'!AR148</f>
        <v/>
      </c>
      <c r="BC104" s="803"/>
      <c r="BD104" s="803"/>
      <c r="BE104" s="803"/>
      <c r="BF104" s="692"/>
      <c r="BG104" s="31"/>
      <c r="BH104" s="31"/>
      <c r="BI104" s="30"/>
    </row>
    <row r="105" spans="1:61" x14ac:dyDescent="0.25">
      <c r="A105" s="30"/>
      <c r="B105" s="30"/>
      <c r="C105" s="30"/>
      <c r="D105" s="30"/>
      <c r="E105" s="30"/>
      <c r="F105" s="30"/>
      <c r="G105" s="30"/>
      <c r="H105" s="30"/>
      <c r="I105" s="30"/>
      <c r="J105" s="30"/>
      <c r="K105" s="30"/>
      <c r="L105" s="30"/>
      <c r="M105" s="30"/>
      <c r="N105" s="168" t="str">
        <f ca="1">'Intermediate Data'!AA149</f>
        <v>Set top box</v>
      </c>
      <c r="O105" s="31"/>
      <c r="P105" s="31"/>
      <c r="Q105" s="31"/>
      <c r="R105" s="31"/>
      <c r="S105" s="31"/>
      <c r="T105" s="31"/>
      <c r="U105" s="148"/>
      <c r="V105" s="804" t="str">
        <f ca="1">IF(OR('Intermediate Data'!AG149="",'Intermediate Data'!AG149="N/A"),"",'Intermediate Data'!AG149)</f>
        <v/>
      </c>
      <c r="W105" s="804"/>
      <c r="X105" s="804"/>
      <c r="Y105" s="804"/>
      <c r="Z105" s="157"/>
      <c r="AA105" s="519" t="str">
        <f ca="1">IF(OR('Intermediate Data'!AB149="",'Intermediate Data'!AB149="N/A"),"",'Intermediate Data'!AB149)</f>
        <v/>
      </c>
      <c r="AB105" s="111" t="str">
        <f ca="1">IF(OR('Intermediate Data'!AC149="",'Intermediate Data'!AC149="N/A"),"",'Intermediate Data'!AC149)</f>
        <v/>
      </c>
      <c r="AC105" s="519" t="str">
        <f ca="1">IF(OR('Intermediate Data'!AD149="",'Intermediate Data'!AD149="N/A"),"",'Intermediate Data'!AD149)</f>
        <v/>
      </c>
      <c r="AD105" s="111" t="str">
        <f ca="1">IF(OR('Intermediate Data'!AE149="",'Intermediate Data'!AE149="N/A"),"",'Intermediate Data'!AE149)</f>
        <v/>
      </c>
      <c r="AE105" s="161" t="str">
        <f ca="1">IF(OR('Intermediate Data'!AF149="",'Intermediate Data'!AF149="N/A"),"",'Intermediate Data'!AF149)</f>
        <v/>
      </c>
      <c r="AF105" s="520"/>
      <c r="AG105" s="805">
        <f ca="1">IF(OR('Intermediate Data'!AN149="",'Intermediate Data'!AN149="N/A"),"",'Intermediate Data'!AN149)</f>
        <v>1.6160000000000001</v>
      </c>
      <c r="AH105" s="805"/>
      <c r="AI105" s="805"/>
      <c r="AJ105" s="805"/>
      <c r="AK105" s="157"/>
      <c r="AL105" s="529" t="str">
        <f ca="1">IF(OR('Intermediate Data'!AI149="",'Intermediate Data'!AI149="N/A"),"",'Intermediate Data'!AI149)</f>
        <v/>
      </c>
      <c r="AM105" s="132">
        <f ca="1">IF(OR('Intermediate Data'!AJ149="",'Intermediate Data'!AJ149="N/A"),"",'Intermediate Data'!AJ149)</f>
        <v>0.84714932044525826</v>
      </c>
      <c r="AN105" s="529" t="str">
        <f ca="1">IF(OR('Intermediate Data'!AK149="",'Intermediate Data'!AK149="N/A"),"",'Intermediate Data'!AK149)</f>
        <v/>
      </c>
      <c r="AO105" s="132">
        <f ca="1">IF(OR('Intermediate Data'!AL149="",'Intermediate Data'!AL149="N/A"),"",'Intermediate Data'!AL149)</f>
        <v>1.582170066925229</v>
      </c>
      <c r="AP105" s="163">
        <f ca="1">IF(OR('Intermediate Data'!AM149="",'Intermediate Data'!AM149="N/A"),"",'Intermediate Data'!AM149)</f>
        <v>1.6160000000000001</v>
      </c>
      <c r="AQ105" s="693"/>
      <c r="AR105" s="791" t="str">
        <f ca="1">IF('Intermediate Data'!AP149="","",'Intermediate Data'!AP149)</f>
        <v/>
      </c>
      <c r="AS105" s="791"/>
      <c r="AT105" s="693"/>
      <c r="AU105" s="150"/>
      <c r="AV105" s="804">
        <f ca="1">'Intermediate Data'!AQ149</f>
        <v>0.89</v>
      </c>
      <c r="AW105" s="804"/>
      <c r="AX105" s="804"/>
      <c r="AY105" s="804"/>
      <c r="AZ105" s="157"/>
      <c r="BA105" s="150"/>
      <c r="BB105" s="803">
        <f ca="1">'Intermediate Data'!AR149</f>
        <v>115</v>
      </c>
      <c r="BC105" s="803"/>
      <c r="BD105" s="803"/>
      <c r="BE105" s="803"/>
      <c r="BF105" s="692"/>
      <c r="BG105" s="31"/>
      <c r="BH105" s="31"/>
      <c r="BI105" s="30"/>
    </row>
    <row r="106" spans="1:61" x14ac:dyDescent="0.25">
      <c r="A106" s="30"/>
      <c r="B106" s="30"/>
      <c r="C106" s="30"/>
      <c r="D106" s="30"/>
      <c r="E106" s="30"/>
      <c r="F106" s="30"/>
      <c r="G106" s="30"/>
      <c r="H106" s="30"/>
      <c r="I106" s="30"/>
      <c r="J106" s="30"/>
      <c r="K106" s="30"/>
      <c r="L106" s="30"/>
      <c r="M106" s="30"/>
      <c r="N106" s="168" t="str">
        <f ca="1">'Intermediate Data'!AA150</f>
        <v>Sewing machine &amp; peripherals</v>
      </c>
      <c r="O106" s="31"/>
      <c r="P106" s="31"/>
      <c r="Q106" s="31"/>
      <c r="R106" s="31"/>
      <c r="S106" s="31"/>
      <c r="T106" s="31"/>
      <c r="U106" s="148"/>
      <c r="V106" s="804" t="str">
        <f ca="1">IF(OR('Intermediate Data'!AG150="",'Intermediate Data'!AG150="N/A"),"",'Intermediate Data'!AG150)</f>
        <v/>
      </c>
      <c r="W106" s="804"/>
      <c r="X106" s="804"/>
      <c r="Y106" s="804"/>
      <c r="Z106" s="157"/>
      <c r="AA106" s="519" t="str">
        <f ca="1">IF(OR('Intermediate Data'!AB150="",'Intermediate Data'!AB150="N/A"),"",'Intermediate Data'!AB150)</f>
        <v/>
      </c>
      <c r="AB106" s="111" t="str">
        <f ca="1">IF(OR('Intermediate Data'!AC150="",'Intermediate Data'!AC150="N/A"),"",'Intermediate Data'!AC150)</f>
        <v/>
      </c>
      <c r="AC106" s="519" t="str">
        <f ca="1">IF(OR('Intermediate Data'!AD150="",'Intermediate Data'!AD150="N/A"),"",'Intermediate Data'!AD150)</f>
        <v/>
      </c>
      <c r="AD106" s="111" t="str">
        <f ca="1">IF(OR('Intermediate Data'!AE150="",'Intermediate Data'!AE150="N/A"),"",'Intermediate Data'!AE150)</f>
        <v/>
      </c>
      <c r="AE106" s="161" t="str">
        <f ca="1">IF(OR('Intermediate Data'!AF150="",'Intermediate Data'!AF150="N/A"),"",'Intermediate Data'!AF150)</f>
        <v/>
      </c>
      <c r="AF106" s="520"/>
      <c r="AG106" s="805" t="str">
        <f ca="1">IF(OR('Intermediate Data'!AN150="",'Intermediate Data'!AN150="N/A"),"",'Intermediate Data'!AN150)</f>
        <v/>
      </c>
      <c r="AH106" s="805"/>
      <c r="AI106" s="805"/>
      <c r="AJ106" s="805"/>
      <c r="AK106" s="157"/>
      <c r="AL106" s="529" t="str">
        <f ca="1">IF(OR('Intermediate Data'!AI150="",'Intermediate Data'!AI150="N/A"),"",'Intermediate Data'!AI150)</f>
        <v/>
      </c>
      <c r="AM106" s="132" t="str">
        <f ca="1">IF(OR('Intermediate Data'!AJ150="",'Intermediate Data'!AJ150="N/A"),"",'Intermediate Data'!AJ150)</f>
        <v/>
      </c>
      <c r="AN106" s="529" t="str">
        <f ca="1">IF(OR('Intermediate Data'!AK150="",'Intermediate Data'!AK150="N/A"),"",'Intermediate Data'!AK150)</f>
        <v/>
      </c>
      <c r="AO106" s="132" t="str">
        <f ca="1">IF(OR('Intermediate Data'!AL150="",'Intermediate Data'!AL150="N/A"),"",'Intermediate Data'!AL150)</f>
        <v/>
      </c>
      <c r="AP106" s="163" t="str">
        <f ca="1">IF(OR('Intermediate Data'!AM150="",'Intermediate Data'!AM150="N/A"),"",'Intermediate Data'!AM150)</f>
        <v/>
      </c>
      <c r="AQ106" s="693"/>
      <c r="AR106" s="791" t="str">
        <f ca="1">IF('Intermediate Data'!AP150="","",'Intermediate Data'!AP150)</f>
        <v/>
      </c>
      <c r="AS106" s="791"/>
      <c r="AT106" s="693"/>
      <c r="AU106" s="150"/>
      <c r="AV106" s="804" t="str">
        <f ca="1">'Intermediate Data'!AQ150</f>
        <v/>
      </c>
      <c r="AW106" s="804"/>
      <c r="AX106" s="804"/>
      <c r="AY106" s="804"/>
      <c r="AZ106" s="157"/>
      <c r="BA106" s="150"/>
      <c r="BB106" s="803" t="str">
        <f ca="1">'Intermediate Data'!AR150</f>
        <v/>
      </c>
      <c r="BC106" s="803"/>
      <c r="BD106" s="803"/>
      <c r="BE106" s="803"/>
      <c r="BF106" s="692"/>
      <c r="BG106" s="31"/>
      <c r="BH106" s="31"/>
      <c r="BI106" s="30"/>
    </row>
    <row r="107" spans="1:61" x14ac:dyDescent="0.25">
      <c r="A107" s="30"/>
      <c r="B107" s="30"/>
      <c r="C107" s="30"/>
      <c r="D107" s="30"/>
      <c r="E107" s="30"/>
      <c r="F107" s="30"/>
      <c r="G107" s="30"/>
      <c r="H107" s="30"/>
      <c r="I107" s="30"/>
      <c r="J107" s="30"/>
      <c r="K107" s="30"/>
      <c r="L107" s="30"/>
      <c r="M107" s="30"/>
      <c r="N107" s="168" t="str">
        <f ca="1">'Intermediate Data'!AA151</f>
        <v>Shaver</v>
      </c>
      <c r="O107" s="31"/>
      <c r="P107" s="31"/>
      <c r="Q107" s="31"/>
      <c r="R107" s="31"/>
      <c r="S107" s="31"/>
      <c r="T107" s="31"/>
      <c r="U107" s="148"/>
      <c r="V107" s="804" t="str">
        <f ca="1">IF(OR('Intermediate Data'!AG151="",'Intermediate Data'!AG151="N/A"),"",'Intermediate Data'!AG151)</f>
        <v/>
      </c>
      <c r="W107" s="804"/>
      <c r="X107" s="804"/>
      <c r="Y107" s="804"/>
      <c r="Z107" s="157"/>
      <c r="AA107" s="519" t="str">
        <f ca="1">IF(OR('Intermediate Data'!AB151="",'Intermediate Data'!AB151="N/A"),"",'Intermediate Data'!AB151)</f>
        <v/>
      </c>
      <c r="AB107" s="111" t="str">
        <f ca="1">IF(OR('Intermediate Data'!AC151="",'Intermediate Data'!AC151="N/A"),"",'Intermediate Data'!AC151)</f>
        <v/>
      </c>
      <c r="AC107" s="519" t="str">
        <f ca="1">IF(OR('Intermediate Data'!AD151="",'Intermediate Data'!AD151="N/A"),"",'Intermediate Data'!AD151)</f>
        <v/>
      </c>
      <c r="AD107" s="111" t="str">
        <f ca="1">IF(OR('Intermediate Data'!AE151="",'Intermediate Data'!AE151="N/A"),"",'Intermediate Data'!AE151)</f>
        <v/>
      </c>
      <c r="AE107" s="161" t="str">
        <f ca="1">IF(OR('Intermediate Data'!AF151="",'Intermediate Data'!AF151="N/A"),"",'Intermediate Data'!AF151)</f>
        <v/>
      </c>
      <c r="AF107" s="520"/>
      <c r="AG107" s="805" t="str">
        <f ca="1">IF(OR('Intermediate Data'!AN151="",'Intermediate Data'!AN151="N/A"),"",'Intermediate Data'!AN151)</f>
        <v/>
      </c>
      <c r="AH107" s="805"/>
      <c r="AI107" s="805"/>
      <c r="AJ107" s="805"/>
      <c r="AK107" s="157"/>
      <c r="AL107" s="529" t="str">
        <f ca="1">IF(OR('Intermediate Data'!AI151="",'Intermediate Data'!AI151="N/A"),"",'Intermediate Data'!AI151)</f>
        <v/>
      </c>
      <c r="AM107" s="132" t="str">
        <f ca="1">IF(OR('Intermediate Data'!AJ151="",'Intermediate Data'!AJ151="N/A"),"",'Intermediate Data'!AJ151)</f>
        <v/>
      </c>
      <c r="AN107" s="529" t="str">
        <f ca="1">IF(OR('Intermediate Data'!AK151="",'Intermediate Data'!AK151="N/A"),"",'Intermediate Data'!AK151)</f>
        <v/>
      </c>
      <c r="AO107" s="132" t="str">
        <f ca="1">IF(OR('Intermediate Data'!AL151="",'Intermediate Data'!AL151="N/A"),"",'Intermediate Data'!AL151)</f>
        <v/>
      </c>
      <c r="AP107" s="163" t="str">
        <f ca="1">IF(OR('Intermediate Data'!AM151="",'Intermediate Data'!AM151="N/A"),"",'Intermediate Data'!AM151)</f>
        <v/>
      </c>
      <c r="AQ107" s="693"/>
      <c r="AR107" s="791" t="str">
        <f ca="1">IF('Intermediate Data'!AP151="","",'Intermediate Data'!AP151)</f>
        <v/>
      </c>
      <c r="AS107" s="791"/>
      <c r="AT107" s="693"/>
      <c r="AU107" s="150"/>
      <c r="AV107" s="804" t="str">
        <f ca="1">'Intermediate Data'!AQ151</f>
        <v/>
      </c>
      <c r="AW107" s="804"/>
      <c r="AX107" s="804"/>
      <c r="AY107" s="804"/>
      <c r="AZ107" s="157"/>
      <c r="BA107" s="150"/>
      <c r="BB107" s="803" t="str">
        <f ca="1">'Intermediate Data'!AR151</f>
        <v/>
      </c>
      <c r="BC107" s="803"/>
      <c r="BD107" s="803"/>
      <c r="BE107" s="803"/>
      <c r="BF107" s="692"/>
      <c r="BG107" s="31"/>
      <c r="BH107" s="31"/>
      <c r="BI107" s="30"/>
    </row>
    <row r="108" spans="1:61" x14ac:dyDescent="0.25">
      <c r="A108" s="30"/>
      <c r="B108" s="30"/>
      <c r="C108" s="30"/>
      <c r="D108" s="30"/>
      <c r="E108" s="30"/>
      <c r="F108" s="30"/>
      <c r="G108" s="30"/>
      <c r="H108" s="30"/>
      <c r="I108" s="30"/>
      <c r="J108" s="30"/>
      <c r="K108" s="30"/>
      <c r="L108" s="30"/>
      <c r="M108" s="30"/>
      <c r="N108" s="168" t="str">
        <f ca="1">'Intermediate Data'!AA152</f>
        <v>Shredder</v>
      </c>
      <c r="O108" s="31"/>
      <c r="P108" s="31"/>
      <c r="Q108" s="31"/>
      <c r="R108" s="31"/>
      <c r="S108" s="31"/>
      <c r="T108" s="31"/>
      <c r="U108" s="148"/>
      <c r="V108" s="804" t="str">
        <f ca="1">IF(OR('Intermediate Data'!AG152="",'Intermediate Data'!AG152="N/A"),"",'Intermediate Data'!AG152)</f>
        <v/>
      </c>
      <c r="W108" s="804"/>
      <c r="X108" s="804"/>
      <c r="Y108" s="804"/>
      <c r="Z108" s="157"/>
      <c r="AA108" s="519" t="str">
        <f ca="1">IF(OR('Intermediate Data'!AB152="",'Intermediate Data'!AB152="N/A"),"",'Intermediate Data'!AB152)</f>
        <v/>
      </c>
      <c r="AB108" s="111" t="str">
        <f ca="1">IF(OR('Intermediate Data'!AC152="",'Intermediate Data'!AC152="N/A"),"",'Intermediate Data'!AC152)</f>
        <v/>
      </c>
      <c r="AC108" s="519" t="str">
        <f ca="1">IF(OR('Intermediate Data'!AD152="",'Intermediate Data'!AD152="N/A"),"",'Intermediate Data'!AD152)</f>
        <v/>
      </c>
      <c r="AD108" s="111" t="str">
        <f ca="1">IF(OR('Intermediate Data'!AE152="",'Intermediate Data'!AE152="N/A"),"",'Intermediate Data'!AE152)</f>
        <v/>
      </c>
      <c r="AE108" s="161" t="str">
        <f ca="1">IF(OR('Intermediate Data'!AF152="",'Intermediate Data'!AF152="N/A"),"",'Intermediate Data'!AF152)</f>
        <v/>
      </c>
      <c r="AF108" s="520"/>
      <c r="AG108" s="805" t="str">
        <f ca="1">IF(OR('Intermediate Data'!AN152="",'Intermediate Data'!AN152="N/A"),"",'Intermediate Data'!AN152)</f>
        <v/>
      </c>
      <c r="AH108" s="805"/>
      <c r="AI108" s="805"/>
      <c r="AJ108" s="805"/>
      <c r="AK108" s="157"/>
      <c r="AL108" s="529" t="str">
        <f ca="1">IF(OR('Intermediate Data'!AI152="",'Intermediate Data'!AI152="N/A"),"",'Intermediate Data'!AI152)</f>
        <v/>
      </c>
      <c r="AM108" s="132" t="str">
        <f ca="1">IF(OR('Intermediate Data'!AJ152="",'Intermediate Data'!AJ152="N/A"),"",'Intermediate Data'!AJ152)</f>
        <v/>
      </c>
      <c r="AN108" s="529" t="str">
        <f ca="1">IF(OR('Intermediate Data'!AK152="",'Intermediate Data'!AK152="N/A"),"",'Intermediate Data'!AK152)</f>
        <v/>
      </c>
      <c r="AO108" s="132" t="str">
        <f ca="1">IF(OR('Intermediate Data'!AL152="",'Intermediate Data'!AL152="N/A"),"",'Intermediate Data'!AL152)</f>
        <v/>
      </c>
      <c r="AP108" s="163" t="str">
        <f ca="1">IF(OR('Intermediate Data'!AM152="",'Intermediate Data'!AM152="N/A"),"",'Intermediate Data'!AM152)</f>
        <v/>
      </c>
      <c r="AQ108" s="693"/>
      <c r="AR108" s="791" t="str">
        <f ca="1">IF('Intermediate Data'!AP152="","",'Intermediate Data'!AP152)</f>
        <v/>
      </c>
      <c r="AS108" s="791"/>
      <c r="AT108" s="693"/>
      <c r="AU108" s="150"/>
      <c r="AV108" s="804" t="str">
        <f ca="1">'Intermediate Data'!AQ152</f>
        <v/>
      </c>
      <c r="AW108" s="804"/>
      <c r="AX108" s="804"/>
      <c r="AY108" s="804"/>
      <c r="AZ108" s="157"/>
      <c r="BA108" s="150"/>
      <c r="BB108" s="803" t="str">
        <f ca="1">'Intermediate Data'!AR152</f>
        <v/>
      </c>
      <c r="BC108" s="803"/>
      <c r="BD108" s="803"/>
      <c r="BE108" s="803"/>
      <c r="BF108" s="692"/>
      <c r="BG108" s="31"/>
      <c r="BH108" s="31"/>
      <c r="BI108" s="30"/>
    </row>
    <row r="109" spans="1:61" x14ac:dyDescent="0.25">
      <c r="A109" s="30"/>
      <c r="B109" s="30"/>
      <c r="C109" s="30"/>
      <c r="D109" s="30"/>
      <c r="E109" s="30"/>
      <c r="F109" s="30"/>
      <c r="G109" s="30"/>
      <c r="H109" s="30"/>
      <c r="I109" s="30"/>
      <c r="J109" s="30"/>
      <c r="K109" s="30"/>
      <c r="L109" s="30"/>
      <c r="M109" s="30"/>
      <c r="N109" s="168" t="str">
        <f ca="1">'Intermediate Data'!AA153</f>
        <v>Smart power strip</v>
      </c>
      <c r="O109" s="31"/>
      <c r="P109" s="31"/>
      <c r="Q109" s="31"/>
      <c r="R109" s="31"/>
      <c r="S109" s="31"/>
      <c r="T109" s="31"/>
      <c r="U109" s="148"/>
      <c r="V109" s="804" t="str">
        <f ca="1">IF(OR('Intermediate Data'!AG153="",'Intermediate Data'!AG153="N/A"),"",'Intermediate Data'!AG153)</f>
        <v/>
      </c>
      <c r="W109" s="804"/>
      <c r="X109" s="804"/>
      <c r="Y109" s="804"/>
      <c r="Z109" s="157"/>
      <c r="AA109" s="519" t="str">
        <f ca="1">IF(OR('Intermediate Data'!AB153="",'Intermediate Data'!AB153="N/A"),"",'Intermediate Data'!AB153)</f>
        <v/>
      </c>
      <c r="AB109" s="111" t="str">
        <f ca="1">IF(OR('Intermediate Data'!AC153="",'Intermediate Data'!AC153="N/A"),"",'Intermediate Data'!AC153)</f>
        <v/>
      </c>
      <c r="AC109" s="519" t="str">
        <f ca="1">IF(OR('Intermediate Data'!AD153="",'Intermediate Data'!AD153="N/A"),"",'Intermediate Data'!AD153)</f>
        <v/>
      </c>
      <c r="AD109" s="111" t="str">
        <f ca="1">IF(OR('Intermediate Data'!AE153="",'Intermediate Data'!AE153="N/A"),"",'Intermediate Data'!AE153)</f>
        <v/>
      </c>
      <c r="AE109" s="161" t="str">
        <f ca="1">IF(OR('Intermediate Data'!AF153="",'Intermediate Data'!AF153="N/A"),"",'Intermediate Data'!AF153)</f>
        <v/>
      </c>
      <c r="AF109" s="520"/>
      <c r="AG109" s="805" t="str">
        <f ca="1">IF(OR('Intermediate Data'!AN153="",'Intermediate Data'!AN153="N/A"),"",'Intermediate Data'!AN153)</f>
        <v/>
      </c>
      <c r="AH109" s="805"/>
      <c r="AI109" s="805"/>
      <c r="AJ109" s="805"/>
      <c r="AK109" s="157"/>
      <c r="AL109" s="529" t="str">
        <f ca="1">IF(OR('Intermediate Data'!AI153="",'Intermediate Data'!AI153="N/A"),"",'Intermediate Data'!AI153)</f>
        <v/>
      </c>
      <c r="AM109" s="132" t="str">
        <f ca="1">IF(OR('Intermediate Data'!AJ153="",'Intermediate Data'!AJ153="N/A"),"",'Intermediate Data'!AJ153)</f>
        <v/>
      </c>
      <c r="AN109" s="529" t="str">
        <f ca="1">IF(OR('Intermediate Data'!AK153="",'Intermediate Data'!AK153="N/A"),"",'Intermediate Data'!AK153)</f>
        <v/>
      </c>
      <c r="AO109" s="132" t="str">
        <f ca="1">IF(OR('Intermediate Data'!AL153="",'Intermediate Data'!AL153="N/A"),"",'Intermediate Data'!AL153)</f>
        <v/>
      </c>
      <c r="AP109" s="163" t="str">
        <f ca="1">IF(OR('Intermediate Data'!AM153="",'Intermediate Data'!AM153="N/A"),"",'Intermediate Data'!AM153)</f>
        <v/>
      </c>
      <c r="AQ109" s="693"/>
      <c r="AR109" s="791" t="str">
        <f ca="1">IF('Intermediate Data'!AP153="","",'Intermediate Data'!AP153)</f>
        <v/>
      </c>
      <c r="AS109" s="791"/>
      <c r="AT109" s="693"/>
      <c r="AU109" s="150"/>
      <c r="AV109" s="804" t="str">
        <f ca="1">'Intermediate Data'!AQ153</f>
        <v/>
      </c>
      <c r="AW109" s="804"/>
      <c r="AX109" s="804"/>
      <c r="AY109" s="804"/>
      <c r="AZ109" s="157"/>
      <c r="BA109" s="150"/>
      <c r="BB109" s="803" t="str">
        <f ca="1">'Intermediate Data'!AR153</f>
        <v/>
      </c>
      <c r="BC109" s="803"/>
      <c r="BD109" s="803"/>
      <c r="BE109" s="803"/>
      <c r="BF109" s="692"/>
      <c r="BG109" s="31"/>
      <c r="BH109" s="31"/>
      <c r="BI109" s="30"/>
    </row>
    <row r="110" spans="1:61" x14ac:dyDescent="0.25">
      <c r="A110" s="30"/>
      <c r="B110" s="30"/>
      <c r="C110" s="30"/>
      <c r="D110" s="30"/>
      <c r="E110" s="30"/>
      <c r="F110" s="30"/>
      <c r="G110" s="30"/>
      <c r="H110" s="30"/>
      <c r="I110" s="30"/>
      <c r="J110" s="30"/>
      <c r="K110" s="30"/>
      <c r="L110" s="30"/>
      <c r="M110" s="30"/>
      <c r="N110" s="168" t="str">
        <f ca="1">'Intermediate Data'!AA154</f>
        <v>Smoke detector</v>
      </c>
      <c r="O110" s="31"/>
      <c r="P110" s="31"/>
      <c r="Q110" s="31"/>
      <c r="R110" s="31"/>
      <c r="S110" s="31"/>
      <c r="T110" s="31"/>
      <c r="U110" s="148"/>
      <c r="V110" s="804" t="str">
        <f ca="1">IF(OR('Intermediate Data'!AG154="",'Intermediate Data'!AG154="N/A"),"",'Intermediate Data'!AG154)</f>
        <v/>
      </c>
      <c r="W110" s="804"/>
      <c r="X110" s="804"/>
      <c r="Y110" s="804"/>
      <c r="Z110" s="157"/>
      <c r="AA110" s="519" t="str">
        <f ca="1">IF(OR('Intermediate Data'!AB154="",'Intermediate Data'!AB154="N/A"),"",'Intermediate Data'!AB154)</f>
        <v/>
      </c>
      <c r="AB110" s="111" t="str">
        <f ca="1">IF(OR('Intermediate Data'!AC154="",'Intermediate Data'!AC154="N/A"),"",'Intermediate Data'!AC154)</f>
        <v/>
      </c>
      <c r="AC110" s="519" t="str">
        <f ca="1">IF(OR('Intermediate Data'!AD154="",'Intermediate Data'!AD154="N/A"),"",'Intermediate Data'!AD154)</f>
        <v/>
      </c>
      <c r="AD110" s="111" t="str">
        <f ca="1">IF(OR('Intermediate Data'!AE154="",'Intermediate Data'!AE154="N/A"),"",'Intermediate Data'!AE154)</f>
        <v/>
      </c>
      <c r="AE110" s="161" t="str">
        <f ca="1">IF(OR('Intermediate Data'!AF154="",'Intermediate Data'!AF154="N/A"),"",'Intermediate Data'!AF154)</f>
        <v/>
      </c>
      <c r="AF110" s="520"/>
      <c r="AG110" s="805" t="str">
        <f ca="1">IF(OR('Intermediate Data'!AN154="",'Intermediate Data'!AN154="N/A"),"",'Intermediate Data'!AN154)</f>
        <v/>
      </c>
      <c r="AH110" s="805"/>
      <c r="AI110" s="805"/>
      <c r="AJ110" s="805"/>
      <c r="AK110" s="157"/>
      <c r="AL110" s="529" t="str">
        <f ca="1">IF(OR('Intermediate Data'!AI154="",'Intermediate Data'!AI154="N/A"),"",'Intermediate Data'!AI154)</f>
        <v/>
      </c>
      <c r="AM110" s="132" t="str">
        <f ca="1">IF(OR('Intermediate Data'!AJ154="",'Intermediate Data'!AJ154="N/A"),"",'Intermediate Data'!AJ154)</f>
        <v/>
      </c>
      <c r="AN110" s="529" t="str">
        <f ca="1">IF(OR('Intermediate Data'!AK154="",'Intermediate Data'!AK154="N/A"),"",'Intermediate Data'!AK154)</f>
        <v/>
      </c>
      <c r="AO110" s="132" t="str">
        <f ca="1">IF(OR('Intermediate Data'!AL154="",'Intermediate Data'!AL154="N/A"),"",'Intermediate Data'!AL154)</f>
        <v/>
      </c>
      <c r="AP110" s="163" t="str">
        <f ca="1">IF(OR('Intermediate Data'!AM154="",'Intermediate Data'!AM154="N/A"),"",'Intermediate Data'!AM154)</f>
        <v/>
      </c>
      <c r="AQ110" s="693"/>
      <c r="AR110" s="791" t="str">
        <f ca="1">IF('Intermediate Data'!AP154="","",'Intermediate Data'!AP154)</f>
        <v/>
      </c>
      <c r="AS110" s="791"/>
      <c r="AT110" s="693"/>
      <c r="AU110" s="150"/>
      <c r="AV110" s="804" t="str">
        <f ca="1">'Intermediate Data'!AQ154</f>
        <v/>
      </c>
      <c r="AW110" s="804"/>
      <c r="AX110" s="804"/>
      <c r="AY110" s="804"/>
      <c r="AZ110" s="157"/>
      <c r="BA110" s="150"/>
      <c r="BB110" s="803" t="str">
        <f ca="1">'Intermediate Data'!AR154</f>
        <v/>
      </c>
      <c r="BC110" s="803"/>
      <c r="BD110" s="803"/>
      <c r="BE110" s="803"/>
      <c r="BF110" s="692"/>
      <c r="BG110" s="31"/>
      <c r="BH110" s="31"/>
      <c r="BI110" s="30"/>
    </row>
    <row r="111" spans="1:61" x14ac:dyDescent="0.25">
      <c r="A111" s="30"/>
      <c r="B111" s="30"/>
      <c r="C111" s="30"/>
      <c r="D111" s="30"/>
      <c r="E111" s="30"/>
      <c r="F111" s="30"/>
      <c r="G111" s="30"/>
      <c r="H111" s="30"/>
      <c r="I111" s="30"/>
      <c r="J111" s="30"/>
      <c r="K111" s="30"/>
      <c r="L111" s="30"/>
      <c r="M111" s="30"/>
      <c r="N111" s="168" t="str">
        <f ca="1">'Intermediate Data'!AA155</f>
        <v>Soundbar</v>
      </c>
      <c r="O111" s="31"/>
      <c r="P111" s="31"/>
      <c r="Q111" s="31"/>
      <c r="R111" s="31"/>
      <c r="S111" s="31"/>
      <c r="T111" s="31"/>
      <c r="U111" s="148"/>
      <c r="V111" s="804" t="str">
        <f ca="1">IF(OR('Intermediate Data'!AG155="",'Intermediate Data'!AG155="N/A"),"",'Intermediate Data'!AG155)</f>
        <v/>
      </c>
      <c r="W111" s="804"/>
      <c r="X111" s="804"/>
      <c r="Y111" s="804"/>
      <c r="Z111" s="157"/>
      <c r="AA111" s="519" t="str">
        <f ca="1">IF(OR('Intermediate Data'!AB155="",'Intermediate Data'!AB155="N/A"),"",'Intermediate Data'!AB155)</f>
        <v/>
      </c>
      <c r="AB111" s="111" t="str">
        <f ca="1">IF(OR('Intermediate Data'!AC155="",'Intermediate Data'!AC155="N/A"),"",'Intermediate Data'!AC155)</f>
        <v/>
      </c>
      <c r="AC111" s="519" t="str">
        <f ca="1">IF(OR('Intermediate Data'!AD155="",'Intermediate Data'!AD155="N/A"),"",'Intermediate Data'!AD155)</f>
        <v/>
      </c>
      <c r="AD111" s="111" t="str">
        <f ca="1">IF(OR('Intermediate Data'!AE155="",'Intermediate Data'!AE155="N/A"),"",'Intermediate Data'!AE155)</f>
        <v/>
      </c>
      <c r="AE111" s="161" t="str">
        <f ca="1">IF(OR('Intermediate Data'!AF155="",'Intermediate Data'!AF155="N/A"),"",'Intermediate Data'!AF155)</f>
        <v/>
      </c>
      <c r="AF111" s="520"/>
      <c r="AG111" s="805" t="str">
        <f ca="1">IF(OR('Intermediate Data'!AN155="",'Intermediate Data'!AN155="N/A"),"",'Intermediate Data'!AN155)</f>
        <v/>
      </c>
      <c r="AH111" s="805"/>
      <c r="AI111" s="805"/>
      <c r="AJ111" s="805"/>
      <c r="AK111" s="157"/>
      <c r="AL111" s="529" t="str">
        <f ca="1">IF(OR('Intermediate Data'!AI155="",'Intermediate Data'!AI155="N/A"),"",'Intermediate Data'!AI155)</f>
        <v/>
      </c>
      <c r="AM111" s="132" t="str">
        <f ca="1">IF(OR('Intermediate Data'!AJ155="",'Intermediate Data'!AJ155="N/A"),"",'Intermediate Data'!AJ155)</f>
        <v/>
      </c>
      <c r="AN111" s="529" t="str">
        <f ca="1">IF(OR('Intermediate Data'!AK155="",'Intermediate Data'!AK155="N/A"),"",'Intermediate Data'!AK155)</f>
        <v/>
      </c>
      <c r="AO111" s="132" t="str">
        <f ca="1">IF(OR('Intermediate Data'!AL155="",'Intermediate Data'!AL155="N/A"),"",'Intermediate Data'!AL155)</f>
        <v/>
      </c>
      <c r="AP111" s="163" t="str">
        <f ca="1">IF(OR('Intermediate Data'!AM155="",'Intermediate Data'!AM155="N/A"),"",'Intermediate Data'!AM155)</f>
        <v/>
      </c>
      <c r="AQ111" s="693"/>
      <c r="AR111" s="791" t="str">
        <f ca="1">IF('Intermediate Data'!AP155="","",'Intermediate Data'!AP155)</f>
        <v/>
      </c>
      <c r="AS111" s="791"/>
      <c r="AT111" s="693"/>
      <c r="AU111" s="150"/>
      <c r="AV111" s="804">
        <f ca="1">'Intermediate Data'!AQ155</f>
        <v>0.62</v>
      </c>
      <c r="AW111" s="804"/>
      <c r="AX111" s="804"/>
      <c r="AY111" s="804"/>
      <c r="AZ111" s="157"/>
      <c r="BA111" s="150"/>
      <c r="BB111" s="803">
        <f ca="1">'Intermediate Data'!AR155</f>
        <v>70</v>
      </c>
      <c r="BC111" s="803"/>
      <c r="BD111" s="803"/>
      <c r="BE111" s="803"/>
      <c r="BF111" s="692"/>
      <c r="BG111" s="31"/>
      <c r="BH111" s="31"/>
      <c r="BI111" s="30"/>
    </row>
    <row r="112" spans="1:61" x14ac:dyDescent="0.25">
      <c r="A112" s="30"/>
      <c r="B112" s="30"/>
      <c r="C112" s="30"/>
      <c r="D112" s="30"/>
      <c r="E112" s="30"/>
      <c r="F112" s="30"/>
      <c r="G112" s="30"/>
      <c r="H112" s="30"/>
      <c r="I112" s="30"/>
      <c r="J112" s="30"/>
      <c r="K112" s="30"/>
      <c r="L112" s="30"/>
      <c r="M112" s="30"/>
      <c r="N112" s="168" t="str">
        <f ca="1">'Intermediate Data'!AA156</f>
        <v>Speciality cooking</v>
      </c>
      <c r="O112" s="31"/>
      <c r="P112" s="31"/>
      <c r="Q112" s="31"/>
      <c r="R112" s="31"/>
      <c r="S112" s="31"/>
      <c r="T112" s="31"/>
      <c r="U112" s="148"/>
      <c r="V112" s="804" t="str">
        <f ca="1">IF(OR('Intermediate Data'!AG156="",'Intermediate Data'!AG156="N/A"),"",'Intermediate Data'!AG156)</f>
        <v/>
      </c>
      <c r="W112" s="804"/>
      <c r="X112" s="804"/>
      <c r="Y112" s="804"/>
      <c r="Z112" s="157"/>
      <c r="AA112" s="519" t="str">
        <f ca="1">IF(OR('Intermediate Data'!AB156="",'Intermediate Data'!AB156="N/A"),"",'Intermediate Data'!AB156)</f>
        <v/>
      </c>
      <c r="AB112" s="111" t="str">
        <f ca="1">IF(OR('Intermediate Data'!AC156="",'Intermediate Data'!AC156="N/A"),"",'Intermediate Data'!AC156)</f>
        <v/>
      </c>
      <c r="AC112" s="519" t="str">
        <f ca="1">IF(OR('Intermediate Data'!AD156="",'Intermediate Data'!AD156="N/A"),"",'Intermediate Data'!AD156)</f>
        <v/>
      </c>
      <c r="AD112" s="111" t="str">
        <f ca="1">IF(OR('Intermediate Data'!AE156="",'Intermediate Data'!AE156="N/A"),"",'Intermediate Data'!AE156)</f>
        <v/>
      </c>
      <c r="AE112" s="161" t="str">
        <f ca="1">IF(OR('Intermediate Data'!AF156="",'Intermediate Data'!AF156="N/A"),"",'Intermediate Data'!AF156)</f>
        <v/>
      </c>
      <c r="AF112" s="520"/>
      <c r="AG112" s="805" t="str">
        <f ca="1">IF(OR('Intermediate Data'!AN156="",'Intermediate Data'!AN156="N/A"),"",'Intermediate Data'!AN156)</f>
        <v/>
      </c>
      <c r="AH112" s="805"/>
      <c r="AI112" s="805"/>
      <c r="AJ112" s="805"/>
      <c r="AK112" s="157"/>
      <c r="AL112" s="529" t="str">
        <f ca="1">IF(OR('Intermediate Data'!AI156="",'Intermediate Data'!AI156="N/A"),"",'Intermediate Data'!AI156)</f>
        <v/>
      </c>
      <c r="AM112" s="132" t="str">
        <f ca="1">IF(OR('Intermediate Data'!AJ156="",'Intermediate Data'!AJ156="N/A"),"",'Intermediate Data'!AJ156)</f>
        <v/>
      </c>
      <c r="AN112" s="529" t="str">
        <f ca="1">IF(OR('Intermediate Data'!AK156="",'Intermediate Data'!AK156="N/A"),"",'Intermediate Data'!AK156)</f>
        <v/>
      </c>
      <c r="AO112" s="132" t="str">
        <f ca="1">IF(OR('Intermediate Data'!AL156="",'Intermediate Data'!AL156="N/A"),"",'Intermediate Data'!AL156)</f>
        <v/>
      </c>
      <c r="AP112" s="163" t="str">
        <f ca="1">IF(OR('Intermediate Data'!AM156="",'Intermediate Data'!AM156="N/A"),"",'Intermediate Data'!AM156)</f>
        <v/>
      </c>
      <c r="AQ112" s="693"/>
      <c r="AR112" s="791" t="str">
        <f ca="1">IF('Intermediate Data'!AP156="","",'Intermediate Data'!AP156)</f>
        <v/>
      </c>
      <c r="AS112" s="791"/>
      <c r="AT112" s="693"/>
      <c r="AU112" s="150"/>
      <c r="AV112" s="804" t="str">
        <f ca="1">'Intermediate Data'!AQ156</f>
        <v/>
      </c>
      <c r="AW112" s="804"/>
      <c r="AX112" s="804"/>
      <c r="AY112" s="804"/>
      <c r="AZ112" s="157"/>
      <c r="BA112" s="150"/>
      <c r="BB112" s="803" t="str">
        <f ca="1">'Intermediate Data'!AR156</f>
        <v/>
      </c>
      <c r="BC112" s="803"/>
      <c r="BD112" s="803"/>
      <c r="BE112" s="803"/>
      <c r="BF112" s="692"/>
      <c r="BG112" s="31"/>
      <c r="BH112" s="31"/>
      <c r="BI112" s="30"/>
    </row>
    <row r="113" spans="1:61" x14ac:dyDescent="0.25">
      <c r="A113" s="30"/>
      <c r="B113" s="30"/>
      <c r="C113" s="30"/>
      <c r="D113" s="30"/>
      <c r="E113" s="30"/>
      <c r="F113" s="30"/>
      <c r="G113" s="30"/>
      <c r="H113" s="30"/>
      <c r="I113" s="30"/>
      <c r="J113" s="30"/>
      <c r="K113" s="30"/>
      <c r="L113" s="30"/>
      <c r="M113" s="30"/>
      <c r="N113" s="168" t="str">
        <f ca="1">'Intermediate Data'!AA157</f>
        <v>Stand alone electric mixer</v>
      </c>
      <c r="O113" s="31"/>
      <c r="P113" s="31"/>
      <c r="Q113" s="31"/>
      <c r="R113" s="31"/>
      <c r="S113" s="31"/>
      <c r="T113" s="31"/>
      <c r="U113" s="148"/>
      <c r="V113" s="804" t="str">
        <f ca="1">IF(OR('Intermediate Data'!AG157="",'Intermediate Data'!AG157="N/A"),"",'Intermediate Data'!AG157)</f>
        <v/>
      </c>
      <c r="W113" s="804"/>
      <c r="X113" s="804"/>
      <c r="Y113" s="804"/>
      <c r="Z113" s="157"/>
      <c r="AA113" s="519" t="str">
        <f ca="1">IF(OR('Intermediate Data'!AB157="",'Intermediate Data'!AB157="N/A"),"",'Intermediate Data'!AB157)</f>
        <v/>
      </c>
      <c r="AB113" s="111" t="str">
        <f ca="1">IF(OR('Intermediate Data'!AC157="",'Intermediate Data'!AC157="N/A"),"",'Intermediate Data'!AC157)</f>
        <v/>
      </c>
      <c r="AC113" s="519" t="str">
        <f ca="1">IF(OR('Intermediate Data'!AD157="",'Intermediate Data'!AD157="N/A"),"",'Intermediate Data'!AD157)</f>
        <v/>
      </c>
      <c r="AD113" s="111" t="str">
        <f ca="1">IF(OR('Intermediate Data'!AE157="",'Intermediate Data'!AE157="N/A"),"",'Intermediate Data'!AE157)</f>
        <v/>
      </c>
      <c r="AE113" s="161" t="str">
        <f ca="1">IF(OR('Intermediate Data'!AF157="",'Intermediate Data'!AF157="N/A"),"",'Intermediate Data'!AF157)</f>
        <v/>
      </c>
      <c r="AF113" s="520"/>
      <c r="AG113" s="805" t="str">
        <f ca="1">IF(OR('Intermediate Data'!AN157="",'Intermediate Data'!AN157="N/A"),"",'Intermediate Data'!AN157)</f>
        <v/>
      </c>
      <c r="AH113" s="805"/>
      <c r="AI113" s="805"/>
      <c r="AJ113" s="805"/>
      <c r="AK113" s="157"/>
      <c r="AL113" s="529" t="str">
        <f ca="1">IF(OR('Intermediate Data'!AI157="",'Intermediate Data'!AI157="N/A"),"",'Intermediate Data'!AI157)</f>
        <v/>
      </c>
      <c r="AM113" s="132" t="str">
        <f ca="1">IF(OR('Intermediate Data'!AJ157="",'Intermediate Data'!AJ157="N/A"),"",'Intermediate Data'!AJ157)</f>
        <v/>
      </c>
      <c r="AN113" s="529" t="str">
        <f ca="1">IF(OR('Intermediate Data'!AK157="",'Intermediate Data'!AK157="N/A"),"",'Intermediate Data'!AK157)</f>
        <v/>
      </c>
      <c r="AO113" s="132" t="str">
        <f ca="1">IF(OR('Intermediate Data'!AL157="",'Intermediate Data'!AL157="N/A"),"",'Intermediate Data'!AL157)</f>
        <v/>
      </c>
      <c r="AP113" s="163" t="str">
        <f ca="1">IF(OR('Intermediate Data'!AM157="",'Intermediate Data'!AM157="N/A"),"",'Intermediate Data'!AM157)</f>
        <v/>
      </c>
      <c r="AQ113" s="693"/>
      <c r="AR113" s="791" t="str">
        <f ca="1">IF('Intermediate Data'!AP157="","",'Intermediate Data'!AP157)</f>
        <v/>
      </c>
      <c r="AS113" s="791"/>
      <c r="AT113" s="693"/>
      <c r="AU113" s="150"/>
      <c r="AV113" s="804" t="str">
        <f ca="1">'Intermediate Data'!AQ157</f>
        <v/>
      </c>
      <c r="AW113" s="804"/>
      <c r="AX113" s="804"/>
      <c r="AY113" s="804"/>
      <c r="AZ113" s="157"/>
      <c r="BA113" s="150"/>
      <c r="BB113" s="803" t="str">
        <f ca="1">'Intermediate Data'!AR157</f>
        <v/>
      </c>
      <c r="BC113" s="803"/>
      <c r="BD113" s="803"/>
      <c r="BE113" s="803"/>
      <c r="BF113" s="692"/>
      <c r="BG113" s="31"/>
      <c r="BH113" s="31"/>
      <c r="BI113" s="30"/>
    </row>
    <row r="114" spans="1:61" x14ac:dyDescent="0.25">
      <c r="A114" s="30"/>
      <c r="B114" s="30"/>
      <c r="C114" s="30"/>
      <c r="D114" s="30"/>
      <c r="E114" s="30"/>
      <c r="F114" s="30"/>
      <c r="G114" s="30"/>
      <c r="H114" s="30"/>
      <c r="I114" s="30"/>
      <c r="J114" s="30"/>
      <c r="K114" s="30"/>
      <c r="L114" s="30"/>
      <c r="M114" s="30"/>
      <c r="N114" s="168" t="str">
        <f ca="1">'Intermediate Data'!AA158</f>
        <v>Stand-alone freezer</v>
      </c>
      <c r="O114" s="31"/>
      <c r="P114" s="31"/>
      <c r="Q114" s="31"/>
      <c r="R114" s="31"/>
      <c r="S114" s="31"/>
      <c r="T114" s="31"/>
      <c r="U114" s="148"/>
      <c r="V114" s="804">
        <f ca="1">IF(OR('Intermediate Data'!AG158="",'Intermediate Data'!AG158="N/A"),"",'Intermediate Data'!AG158)</f>
        <v>0.15100000000000002</v>
      </c>
      <c r="W114" s="804"/>
      <c r="X114" s="804"/>
      <c r="Y114" s="804"/>
      <c r="Z114" s="157"/>
      <c r="AA114" s="519">
        <f ca="1">IF(OR('Intermediate Data'!AB158="",'Intermediate Data'!AB158="N/A"),"",'Intermediate Data'!AB158)</f>
        <v>0.161</v>
      </c>
      <c r="AB114" s="111">
        <f ca="1">IF(OR('Intermediate Data'!AC158="",'Intermediate Data'!AC158="N/A"),"",'Intermediate Data'!AC158)</f>
        <v>0.18872987922376952</v>
      </c>
      <c r="AC114" s="519">
        <f ca="1">IF(OR('Intermediate Data'!AD158="",'Intermediate Data'!AD158="N/A"),"",'Intermediate Data'!AD158)</f>
        <v>0.193</v>
      </c>
      <c r="AD114" s="111">
        <f ca="1">IF(OR('Intermediate Data'!AE158="",'Intermediate Data'!AE158="N/A"),"",'Intermediate Data'!AE158)</f>
        <v>0.18694317807906549</v>
      </c>
      <c r="AE114" s="161">
        <f ca="1">IF(OR('Intermediate Data'!AF158="",'Intermediate Data'!AF158="N/A"),"",'Intermediate Data'!AF158)</f>
        <v>0.15100000000000002</v>
      </c>
      <c r="AF114" s="520"/>
      <c r="AG114" s="805">
        <f ca="1">IF(OR('Intermediate Data'!AN158="",'Intermediate Data'!AN158="N/A"),"",'Intermediate Data'!AN158)</f>
        <v>0.152</v>
      </c>
      <c r="AH114" s="805"/>
      <c r="AI114" s="805"/>
      <c r="AJ114" s="805"/>
      <c r="AK114" s="157"/>
      <c r="AL114" s="529">
        <f ca="1">IF(OR('Intermediate Data'!AI158="",'Intermediate Data'!AI158="N/A"),"",'Intermediate Data'!AI158)</f>
        <v>0.16900000000000001</v>
      </c>
      <c r="AM114" s="132">
        <f ca="1">IF(OR('Intermediate Data'!AJ158="",'Intermediate Data'!AJ158="N/A"),"",'Intermediate Data'!AJ158)</f>
        <v>0.1969225414581483</v>
      </c>
      <c r="AN114" s="529">
        <f ca="1">IF(OR('Intermediate Data'!AK158="",'Intermediate Data'!AK158="N/A"),"",'Intermediate Data'!AK158)</f>
        <v>0.19800000000000001</v>
      </c>
      <c r="AO114" s="132">
        <f ca="1">IF(OR('Intermediate Data'!AL158="",'Intermediate Data'!AL158="N/A"),"",'Intermediate Data'!AL158)</f>
        <v>0.19606892223426714</v>
      </c>
      <c r="AP114" s="163">
        <f ca="1">IF(OR('Intermediate Data'!AM158="",'Intermediate Data'!AM158="N/A"),"",'Intermediate Data'!AM158)</f>
        <v>0.152</v>
      </c>
      <c r="AQ114" s="693"/>
      <c r="AR114" s="791">
        <f ca="1">IF('Intermediate Data'!AP158="","",'Intermediate Data'!AP158)</f>
        <v>7.1000000000000035E-2</v>
      </c>
      <c r="AS114" s="791"/>
      <c r="AT114" s="693"/>
      <c r="AU114" s="150"/>
      <c r="AV114" s="804">
        <f ca="1">'Intermediate Data'!AQ158</f>
        <v>0.28999999999999998</v>
      </c>
      <c r="AW114" s="804"/>
      <c r="AX114" s="804"/>
      <c r="AY114" s="804"/>
      <c r="AZ114" s="157"/>
      <c r="BA114" s="150"/>
      <c r="BB114" s="803">
        <f ca="1">'Intermediate Data'!AR158</f>
        <v>30</v>
      </c>
      <c r="BC114" s="803"/>
      <c r="BD114" s="803"/>
      <c r="BE114" s="803"/>
      <c r="BF114" s="692"/>
      <c r="BG114" s="31"/>
      <c r="BH114" s="31"/>
      <c r="BI114" s="30"/>
    </row>
    <row r="115" spans="1:61" x14ac:dyDescent="0.25">
      <c r="A115" s="30"/>
      <c r="B115" s="30"/>
      <c r="C115" s="30"/>
      <c r="D115" s="30"/>
      <c r="E115" s="30"/>
      <c r="F115" s="30"/>
      <c r="G115" s="30"/>
      <c r="H115" s="30"/>
      <c r="I115" s="30"/>
      <c r="J115" s="30"/>
      <c r="K115" s="30"/>
      <c r="L115" s="30"/>
      <c r="M115" s="30"/>
      <c r="N115" s="168" t="str">
        <f ca="1">'Intermediate Data'!AA159</f>
        <v>Sump pump</v>
      </c>
      <c r="O115" s="31"/>
      <c r="P115" s="31"/>
      <c r="Q115" s="31"/>
      <c r="R115" s="31"/>
      <c r="S115" s="31"/>
      <c r="T115" s="31"/>
      <c r="U115" s="148"/>
      <c r="V115" s="804">
        <f ca="1">IF(OR('Intermediate Data'!AG159="",'Intermediate Data'!AG159="N/A"),"",'Intermediate Data'!AG159)</f>
        <v>3.5212495005260962E-2</v>
      </c>
      <c r="W115" s="804"/>
      <c r="X115" s="804"/>
      <c r="Y115" s="804"/>
      <c r="Z115" s="157"/>
      <c r="AA115" s="519" t="str">
        <f ca="1">IF(OR('Intermediate Data'!AB159="",'Intermediate Data'!AB159="N/A"),"",'Intermediate Data'!AB159)</f>
        <v/>
      </c>
      <c r="AB115" s="111">
        <f ca="1">IF(OR('Intermediate Data'!AC159="",'Intermediate Data'!AC159="N/A"),"",'Intermediate Data'!AC159)</f>
        <v>2.7347908079528544E-2</v>
      </c>
      <c r="AC115" s="519" t="str">
        <f ca="1">IF(OR('Intermediate Data'!AD159="",'Intermediate Data'!AD159="N/A"),"",'Intermediate Data'!AD159)</f>
        <v/>
      </c>
      <c r="AD115" s="111">
        <f ca="1">IF(OR('Intermediate Data'!AE159="",'Intermediate Data'!AE159="N/A"),"",'Intermediate Data'!AE159)</f>
        <v>3.5212495005260962E-2</v>
      </c>
      <c r="AE115" s="161" t="str">
        <f ca="1">IF(OR('Intermediate Data'!AF159="",'Intermediate Data'!AF159="N/A"),"",'Intermediate Data'!AF159)</f>
        <v/>
      </c>
      <c r="AF115" s="520"/>
      <c r="AG115" s="805" t="str">
        <f ca="1">IF(OR('Intermediate Data'!AN159="",'Intermediate Data'!AN159="N/A"),"",'Intermediate Data'!AN159)</f>
        <v/>
      </c>
      <c r="AH115" s="805"/>
      <c r="AI115" s="805"/>
      <c r="AJ115" s="805"/>
      <c r="AK115" s="157"/>
      <c r="AL115" s="529" t="str">
        <f ca="1">IF(OR('Intermediate Data'!AI159="",'Intermediate Data'!AI159="N/A"),"",'Intermediate Data'!AI159)</f>
        <v/>
      </c>
      <c r="AM115" s="132" t="str">
        <f ca="1">IF(OR('Intermediate Data'!AJ159="",'Intermediate Data'!AJ159="N/A"),"",'Intermediate Data'!AJ159)</f>
        <v/>
      </c>
      <c r="AN115" s="529" t="str">
        <f ca="1">IF(OR('Intermediate Data'!AK159="",'Intermediate Data'!AK159="N/A"),"",'Intermediate Data'!AK159)</f>
        <v/>
      </c>
      <c r="AO115" s="132" t="str">
        <f ca="1">IF(OR('Intermediate Data'!AL159="",'Intermediate Data'!AL159="N/A"),"",'Intermediate Data'!AL159)</f>
        <v/>
      </c>
      <c r="AP115" s="163" t="str">
        <f ca="1">IF(OR('Intermediate Data'!AM159="",'Intermediate Data'!AM159="N/A"),"",'Intermediate Data'!AM159)</f>
        <v/>
      </c>
      <c r="AQ115" s="693"/>
      <c r="AR115" s="791" t="str">
        <f ca="1">IF('Intermediate Data'!AP159="","",'Intermediate Data'!AP159)</f>
        <v/>
      </c>
      <c r="AS115" s="791"/>
      <c r="AT115" s="693"/>
      <c r="AU115" s="150"/>
      <c r="AV115" s="804" t="str">
        <f ca="1">'Intermediate Data'!AQ159</f>
        <v/>
      </c>
      <c r="AW115" s="804"/>
      <c r="AX115" s="804"/>
      <c r="AY115" s="804"/>
      <c r="AZ115" s="157"/>
      <c r="BA115" s="150"/>
      <c r="BB115" s="803" t="str">
        <f ca="1">'Intermediate Data'!AR159</f>
        <v/>
      </c>
      <c r="BC115" s="803"/>
      <c r="BD115" s="803"/>
      <c r="BE115" s="803"/>
      <c r="BF115" s="692"/>
      <c r="BG115" s="31"/>
      <c r="BH115" s="31"/>
      <c r="BI115" s="30"/>
    </row>
    <row r="116" spans="1:61" x14ac:dyDescent="0.25">
      <c r="A116" s="30"/>
      <c r="B116" s="30"/>
      <c r="C116" s="30"/>
      <c r="D116" s="30"/>
      <c r="E116" s="30"/>
      <c r="F116" s="30"/>
      <c r="G116" s="30"/>
      <c r="H116" s="30"/>
      <c r="I116" s="30"/>
      <c r="J116" s="30"/>
      <c r="K116" s="30"/>
      <c r="L116" s="30"/>
      <c r="M116" s="30"/>
      <c r="N116" s="168" t="str">
        <f ca="1">'Intermediate Data'!AA160</f>
        <v>Task lamps</v>
      </c>
      <c r="O116" s="31"/>
      <c r="P116" s="31"/>
      <c r="Q116" s="31"/>
      <c r="R116" s="31"/>
      <c r="S116" s="31"/>
      <c r="T116" s="31"/>
      <c r="U116" s="148"/>
      <c r="V116" s="804" t="str">
        <f ca="1">IF(OR('Intermediate Data'!AG160="",'Intermediate Data'!AG160="N/A"),"",'Intermediate Data'!AG160)</f>
        <v/>
      </c>
      <c r="W116" s="804"/>
      <c r="X116" s="804"/>
      <c r="Y116" s="804"/>
      <c r="Z116" s="157"/>
      <c r="AA116" s="519" t="str">
        <f ca="1">IF(OR('Intermediate Data'!AB160="",'Intermediate Data'!AB160="N/A"),"",'Intermediate Data'!AB160)</f>
        <v/>
      </c>
      <c r="AB116" s="111" t="str">
        <f ca="1">IF(OR('Intermediate Data'!AC160="",'Intermediate Data'!AC160="N/A"),"",'Intermediate Data'!AC160)</f>
        <v/>
      </c>
      <c r="AC116" s="519" t="str">
        <f ca="1">IF(OR('Intermediate Data'!AD160="",'Intermediate Data'!AD160="N/A"),"",'Intermediate Data'!AD160)</f>
        <v/>
      </c>
      <c r="AD116" s="111" t="str">
        <f ca="1">IF(OR('Intermediate Data'!AE160="",'Intermediate Data'!AE160="N/A"),"",'Intermediate Data'!AE160)</f>
        <v/>
      </c>
      <c r="AE116" s="161" t="str">
        <f ca="1">IF(OR('Intermediate Data'!AF160="",'Intermediate Data'!AF160="N/A"),"",'Intermediate Data'!AF160)</f>
        <v/>
      </c>
      <c r="AF116" s="520"/>
      <c r="AG116" s="805" t="str">
        <f ca="1">IF(OR('Intermediate Data'!AN160="",'Intermediate Data'!AN160="N/A"),"",'Intermediate Data'!AN160)</f>
        <v/>
      </c>
      <c r="AH116" s="805"/>
      <c r="AI116" s="805"/>
      <c r="AJ116" s="805"/>
      <c r="AK116" s="157"/>
      <c r="AL116" s="529" t="str">
        <f ca="1">IF(OR('Intermediate Data'!AI160="",'Intermediate Data'!AI160="N/A"),"",'Intermediate Data'!AI160)</f>
        <v/>
      </c>
      <c r="AM116" s="132" t="str">
        <f ca="1">IF(OR('Intermediate Data'!AJ160="",'Intermediate Data'!AJ160="N/A"),"",'Intermediate Data'!AJ160)</f>
        <v/>
      </c>
      <c r="AN116" s="529" t="str">
        <f ca="1">IF(OR('Intermediate Data'!AK160="",'Intermediate Data'!AK160="N/A"),"",'Intermediate Data'!AK160)</f>
        <v/>
      </c>
      <c r="AO116" s="132" t="str">
        <f ca="1">IF(OR('Intermediate Data'!AL160="",'Intermediate Data'!AL160="N/A"),"",'Intermediate Data'!AL160)</f>
        <v/>
      </c>
      <c r="AP116" s="163" t="str">
        <f ca="1">IF(OR('Intermediate Data'!AM160="",'Intermediate Data'!AM160="N/A"),"",'Intermediate Data'!AM160)</f>
        <v/>
      </c>
      <c r="AQ116" s="693"/>
      <c r="AR116" s="791" t="str">
        <f ca="1">IF('Intermediate Data'!AP160="","",'Intermediate Data'!AP160)</f>
        <v/>
      </c>
      <c r="AS116" s="791"/>
      <c r="AT116" s="693"/>
      <c r="AU116" s="150"/>
      <c r="AV116" s="804" t="str">
        <f ca="1">'Intermediate Data'!AQ160</f>
        <v/>
      </c>
      <c r="AW116" s="804"/>
      <c r="AX116" s="804"/>
      <c r="AY116" s="804"/>
      <c r="AZ116" s="157"/>
      <c r="BA116" s="150"/>
      <c r="BB116" s="803" t="str">
        <f ca="1">'Intermediate Data'!AR160</f>
        <v/>
      </c>
      <c r="BC116" s="803"/>
      <c r="BD116" s="803"/>
      <c r="BE116" s="803"/>
      <c r="BF116" s="692"/>
      <c r="BG116" s="31"/>
      <c r="BH116" s="31"/>
      <c r="BI116" s="30"/>
    </row>
    <row r="117" spans="1:61" x14ac:dyDescent="0.25">
      <c r="A117" s="30"/>
      <c r="B117" s="30"/>
      <c r="C117" s="30"/>
      <c r="D117" s="30"/>
      <c r="E117" s="30"/>
      <c r="F117" s="30"/>
      <c r="G117" s="30"/>
      <c r="H117" s="30"/>
      <c r="I117" s="30"/>
      <c r="J117" s="30"/>
      <c r="K117" s="30"/>
      <c r="L117" s="30"/>
      <c r="M117" s="30"/>
      <c r="N117" s="168" t="str">
        <f ca="1">'Intermediate Data'!AA161</f>
        <v>Telephone</v>
      </c>
      <c r="O117" s="31"/>
      <c r="P117" s="31"/>
      <c r="Q117" s="31"/>
      <c r="R117" s="31"/>
      <c r="S117" s="31"/>
      <c r="T117" s="31"/>
      <c r="U117" s="148"/>
      <c r="V117" s="804" t="str">
        <f ca="1">IF(OR('Intermediate Data'!AG161="",'Intermediate Data'!AG161="N/A"),"",'Intermediate Data'!AG161)</f>
        <v/>
      </c>
      <c r="W117" s="804"/>
      <c r="X117" s="804"/>
      <c r="Y117" s="804"/>
      <c r="Z117" s="157"/>
      <c r="AA117" s="519" t="str">
        <f ca="1">IF(OR('Intermediate Data'!AB161="",'Intermediate Data'!AB161="N/A"),"",'Intermediate Data'!AB161)</f>
        <v/>
      </c>
      <c r="AB117" s="111" t="str">
        <f ca="1">IF(OR('Intermediate Data'!AC161="",'Intermediate Data'!AC161="N/A"),"",'Intermediate Data'!AC161)</f>
        <v/>
      </c>
      <c r="AC117" s="519" t="str">
        <f ca="1">IF(OR('Intermediate Data'!AD161="",'Intermediate Data'!AD161="N/A"),"",'Intermediate Data'!AD161)</f>
        <v/>
      </c>
      <c r="AD117" s="111" t="str">
        <f ca="1">IF(OR('Intermediate Data'!AE161="",'Intermediate Data'!AE161="N/A"),"",'Intermediate Data'!AE161)</f>
        <v/>
      </c>
      <c r="AE117" s="161" t="str">
        <f ca="1">IF(OR('Intermediate Data'!AF161="",'Intermediate Data'!AF161="N/A"),"",'Intermediate Data'!AF161)</f>
        <v/>
      </c>
      <c r="AF117" s="520"/>
      <c r="AG117" s="805" t="str">
        <f ca="1">IF(OR('Intermediate Data'!AN161="",'Intermediate Data'!AN161="N/A"),"",'Intermediate Data'!AN161)</f>
        <v/>
      </c>
      <c r="AH117" s="805"/>
      <c r="AI117" s="805"/>
      <c r="AJ117" s="805"/>
      <c r="AK117" s="157"/>
      <c r="AL117" s="529" t="str">
        <f ca="1">IF(OR('Intermediate Data'!AI161="",'Intermediate Data'!AI161="N/A"),"",'Intermediate Data'!AI161)</f>
        <v/>
      </c>
      <c r="AM117" s="132" t="str">
        <f ca="1">IF(OR('Intermediate Data'!AJ161="",'Intermediate Data'!AJ161="N/A"),"",'Intermediate Data'!AJ161)</f>
        <v/>
      </c>
      <c r="AN117" s="529" t="str">
        <f ca="1">IF(OR('Intermediate Data'!AK161="",'Intermediate Data'!AK161="N/A"),"",'Intermediate Data'!AK161)</f>
        <v/>
      </c>
      <c r="AO117" s="132" t="str">
        <f ca="1">IF(OR('Intermediate Data'!AL161="",'Intermediate Data'!AL161="N/A"),"",'Intermediate Data'!AL161)</f>
        <v/>
      </c>
      <c r="AP117" s="163" t="str">
        <f ca="1">IF(OR('Intermediate Data'!AM161="",'Intermediate Data'!AM161="N/A"),"",'Intermediate Data'!AM161)</f>
        <v/>
      </c>
      <c r="AQ117" s="693"/>
      <c r="AR117" s="791" t="str">
        <f ca="1">IF('Intermediate Data'!AP161="","",'Intermediate Data'!AP161)</f>
        <v/>
      </c>
      <c r="AS117" s="791"/>
      <c r="AT117" s="693"/>
      <c r="AU117" s="150"/>
      <c r="AV117" s="804">
        <f ca="1">'Intermediate Data'!AQ161</f>
        <v>0.71</v>
      </c>
      <c r="AW117" s="804"/>
      <c r="AX117" s="804"/>
      <c r="AY117" s="804"/>
      <c r="AZ117" s="157"/>
      <c r="BA117" s="150"/>
      <c r="BB117" s="803">
        <f ca="1">'Intermediate Data'!AR161</f>
        <v>5</v>
      </c>
      <c r="BC117" s="803"/>
      <c r="BD117" s="803"/>
      <c r="BE117" s="803"/>
      <c r="BF117" s="692"/>
      <c r="BG117" s="31"/>
      <c r="BH117" s="31"/>
      <c r="BI117" s="30"/>
    </row>
    <row r="118" spans="1:61" x14ac:dyDescent="0.25">
      <c r="A118" s="30"/>
      <c r="B118" s="30"/>
      <c r="C118" s="30"/>
      <c r="D118" s="30"/>
      <c r="E118" s="30"/>
      <c r="F118" s="30"/>
      <c r="G118" s="30"/>
      <c r="H118" s="30"/>
      <c r="I118" s="30"/>
      <c r="J118" s="30"/>
      <c r="K118" s="30"/>
      <c r="L118" s="30"/>
      <c r="M118" s="30"/>
      <c r="N118" s="168" t="str">
        <f ca="1">'Intermediate Data'!AA162</f>
        <v>Television</v>
      </c>
      <c r="O118" s="31"/>
      <c r="P118" s="31"/>
      <c r="Q118" s="31"/>
      <c r="R118" s="31"/>
      <c r="S118" s="31"/>
      <c r="T118" s="31"/>
      <c r="U118" s="148"/>
      <c r="V118" s="804">
        <f ca="1">IF(OR('Intermediate Data'!AG162="",'Intermediate Data'!AG162="N/A"),"",'Intermediate Data'!AG162)</f>
        <v>0.98699999999999999</v>
      </c>
      <c r="W118" s="804"/>
      <c r="X118" s="804"/>
      <c r="Y118" s="804"/>
      <c r="Z118" s="157"/>
      <c r="AA118" s="519" t="str">
        <f ca="1">IF(OR('Intermediate Data'!AB162="",'Intermediate Data'!AB162="N/A"),"",'Intermediate Data'!AB162)</f>
        <v/>
      </c>
      <c r="AB118" s="111">
        <f ca="1">IF(OR('Intermediate Data'!AC162="",'Intermediate Data'!AC162="N/A"),"",'Intermediate Data'!AC162)</f>
        <v>0.94825099025602044</v>
      </c>
      <c r="AC118" s="519" t="str">
        <f ca="1">IF(OR('Intermediate Data'!AD162="",'Intermediate Data'!AD162="N/A"),"",'Intermediate Data'!AD162)</f>
        <v/>
      </c>
      <c r="AD118" s="111">
        <f ca="1">IF(OR('Intermediate Data'!AE162="",'Intermediate Data'!AE162="N/A"),"",'Intermediate Data'!AE162)</f>
        <v>0.96754869853464853</v>
      </c>
      <c r="AE118" s="161">
        <f ca="1">IF(OR('Intermediate Data'!AF162="",'Intermediate Data'!AF162="N/A"),"",'Intermediate Data'!AF162)</f>
        <v>0.98699999999999999</v>
      </c>
      <c r="AF118" s="520"/>
      <c r="AG118" s="805">
        <f ca="1">IF(OR('Intermediate Data'!AN162="",'Intermediate Data'!AN162="N/A"),"",'Intermediate Data'!AN162)</f>
        <v>2.4670000000000001</v>
      </c>
      <c r="AH118" s="805"/>
      <c r="AI118" s="805"/>
      <c r="AJ118" s="805"/>
      <c r="AK118" s="157"/>
      <c r="AL118" s="529" t="str">
        <f ca="1">IF(OR('Intermediate Data'!AI162="",'Intermediate Data'!AI162="N/A"),"",'Intermediate Data'!AI162)</f>
        <v/>
      </c>
      <c r="AM118" s="132">
        <f ca="1">IF(OR('Intermediate Data'!AJ162="",'Intermediate Data'!AJ162="N/A"),"",'Intermediate Data'!AJ162)</f>
        <v>1.9806353930334133</v>
      </c>
      <c r="AN118" s="529" t="str">
        <f ca="1">IF(OR('Intermediate Data'!AK162="",'Intermediate Data'!AK162="N/A"),"",'Intermediate Data'!AK162)</f>
        <v/>
      </c>
      <c r="AO118" s="132">
        <f ca="1">IF(OR('Intermediate Data'!AL162="",'Intermediate Data'!AL162="N/A"),"",'Intermediate Data'!AL162)</f>
        <v>2.3271024065605226</v>
      </c>
      <c r="AP118" s="163">
        <f ca="1">IF(OR('Intermediate Data'!AM162="",'Intermediate Data'!AM162="N/A"),"",'Intermediate Data'!AM162)</f>
        <v>2.4670000000000001</v>
      </c>
      <c r="AQ118" s="693"/>
      <c r="AR118" s="791" t="str">
        <f ca="1">IF('Intermediate Data'!AP162="","",'Intermediate Data'!AP162)</f>
        <v/>
      </c>
      <c r="AS118" s="791"/>
      <c r="AT118" s="693"/>
      <c r="AU118" s="150"/>
      <c r="AV118" s="804">
        <f ca="1">'Intermediate Data'!AQ162</f>
        <v>0.84</v>
      </c>
      <c r="AW118" s="804"/>
      <c r="AX118" s="804"/>
      <c r="AY118" s="804"/>
      <c r="AZ118" s="157"/>
      <c r="BA118" s="150"/>
      <c r="BB118" s="803">
        <f ca="1">'Intermediate Data'!AR162</f>
        <v>35</v>
      </c>
      <c r="BC118" s="803"/>
      <c r="BD118" s="803"/>
      <c r="BE118" s="803"/>
      <c r="BF118" s="692"/>
      <c r="BG118" s="31"/>
      <c r="BH118" s="31"/>
      <c r="BI118" s="30"/>
    </row>
    <row r="119" spans="1:61" x14ac:dyDescent="0.25">
      <c r="A119" s="30"/>
      <c r="B119" s="30"/>
      <c r="C119" s="30"/>
      <c r="D119" s="30"/>
      <c r="E119" s="30"/>
      <c r="F119" s="30"/>
      <c r="G119" s="30"/>
      <c r="H119" s="30"/>
      <c r="I119" s="30"/>
      <c r="J119" s="30"/>
      <c r="K119" s="30"/>
      <c r="L119" s="30"/>
      <c r="M119" s="30"/>
      <c r="N119" s="168" t="str">
        <f ca="1">'Intermediate Data'!AA163</f>
        <v>Thermostat - Smart</v>
      </c>
      <c r="O119" s="31"/>
      <c r="P119" s="31"/>
      <c r="Q119" s="31"/>
      <c r="R119" s="31"/>
      <c r="S119" s="31"/>
      <c r="T119" s="31"/>
      <c r="U119" s="148"/>
      <c r="V119" s="804">
        <f ca="1">IF(OR('Intermediate Data'!AG163="",'Intermediate Data'!AG163="N/A"),"",'Intermediate Data'!AG163)</f>
        <v>0.41900000000000004</v>
      </c>
      <c r="W119" s="804"/>
      <c r="X119" s="804"/>
      <c r="Y119" s="804"/>
      <c r="Z119" s="157"/>
      <c r="AA119" s="519" t="str">
        <f ca="1">IF(OR('Intermediate Data'!AB163="",'Intermediate Data'!AB163="N/A"),"",'Intermediate Data'!AB163)</f>
        <v/>
      </c>
      <c r="AB119" s="111">
        <f ca="1">IF(OR('Intermediate Data'!AC163="",'Intermediate Data'!AC163="N/A"),"",'Intermediate Data'!AC163)</f>
        <v>0.31399245879919252</v>
      </c>
      <c r="AC119" s="519">
        <f ca="1">IF(OR('Intermediate Data'!AD163="",'Intermediate Data'!AD163="N/A"),"",'Intermediate Data'!AD163)</f>
        <v>0.311</v>
      </c>
      <c r="AD119" s="111">
        <f ca="1">IF(OR('Intermediate Data'!AE163="",'Intermediate Data'!AE163="N/A"),"",'Intermediate Data'!AE163)</f>
        <v>0.45028942619851753</v>
      </c>
      <c r="AE119" s="161">
        <f ca="1">IF(OR('Intermediate Data'!AF163="",'Intermediate Data'!AF163="N/A"),"",'Intermediate Data'!AF163)</f>
        <v>0.41900000000000004</v>
      </c>
      <c r="AF119" s="520"/>
      <c r="AG119" s="805" t="str">
        <f ca="1">IF(OR('Intermediate Data'!AN163="",'Intermediate Data'!AN163="N/A"),"",'Intermediate Data'!AN163)</f>
        <v/>
      </c>
      <c r="AH119" s="805"/>
      <c r="AI119" s="805"/>
      <c r="AJ119" s="805"/>
      <c r="AK119" s="157"/>
      <c r="AL119" s="529" t="str">
        <f ca="1">IF(OR('Intermediate Data'!AI163="",'Intermediate Data'!AI163="N/A"),"",'Intermediate Data'!AI163)</f>
        <v/>
      </c>
      <c r="AM119" s="132" t="str">
        <f ca="1">IF(OR('Intermediate Data'!AJ163="",'Intermediate Data'!AJ163="N/A"),"",'Intermediate Data'!AJ163)</f>
        <v/>
      </c>
      <c r="AN119" s="529" t="str">
        <f ca="1">IF(OR('Intermediate Data'!AK163="",'Intermediate Data'!AK163="N/A"),"",'Intermediate Data'!AK163)</f>
        <v/>
      </c>
      <c r="AO119" s="132" t="str">
        <f ca="1">IF(OR('Intermediate Data'!AL163="",'Intermediate Data'!AL163="N/A"),"",'Intermediate Data'!AL163)</f>
        <v/>
      </c>
      <c r="AP119" s="163" t="str">
        <f ca="1">IF(OR('Intermediate Data'!AM163="",'Intermediate Data'!AM163="N/A"),"",'Intermediate Data'!AM163)</f>
        <v/>
      </c>
      <c r="AQ119" s="693"/>
      <c r="AR119" s="791" t="str">
        <f ca="1">IF('Intermediate Data'!AP163="","",'Intermediate Data'!AP163)</f>
        <v/>
      </c>
      <c r="AS119" s="791"/>
      <c r="AT119" s="693"/>
      <c r="AU119" s="150"/>
      <c r="AV119" s="804" t="str">
        <f ca="1">'Intermediate Data'!AQ163</f>
        <v/>
      </c>
      <c r="AW119" s="804"/>
      <c r="AX119" s="804"/>
      <c r="AY119" s="804"/>
      <c r="AZ119" s="157"/>
      <c r="BA119" s="150"/>
      <c r="BB119" s="803" t="str">
        <f ca="1">'Intermediate Data'!AR163</f>
        <v/>
      </c>
      <c r="BC119" s="803"/>
      <c r="BD119" s="803"/>
      <c r="BE119" s="803"/>
      <c r="BF119" s="692"/>
      <c r="BG119" s="31"/>
      <c r="BH119" s="31"/>
      <c r="BI119" s="30"/>
    </row>
    <row r="120" spans="1:61" x14ac:dyDescent="0.25">
      <c r="A120" s="30"/>
      <c r="B120" s="30"/>
      <c r="C120" s="30"/>
      <c r="D120" s="30"/>
      <c r="E120" s="30"/>
      <c r="F120" s="30"/>
      <c r="G120" s="30"/>
      <c r="H120" s="30"/>
      <c r="I120" s="30"/>
      <c r="J120" s="30"/>
      <c r="K120" s="30"/>
      <c r="L120" s="30"/>
      <c r="M120" s="30"/>
      <c r="N120" s="168" t="str">
        <f ca="1">'Intermediate Data'!AA164</f>
        <v>Timer for devices, lights, etc</v>
      </c>
      <c r="O120" s="31"/>
      <c r="P120" s="31"/>
      <c r="Q120" s="31"/>
      <c r="R120" s="31"/>
      <c r="S120" s="31"/>
      <c r="T120" s="31"/>
      <c r="U120" s="148"/>
      <c r="V120" s="804" t="str">
        <f ca="1">IF(OR('Intermediate Data'!AG164="",'Intermediate Data'!AG164="N/A"),"",'Intermediate Data'!AG164)</f>
        <v/>
      </c>
      <c r="W120" s="804"/>
      <c r="X120" s="804"/>
      <c r="Y120" s="804"/>
      <c r="Z120" s="157"/>
      <c r="AA120" s="519" t="str">
        <f ca="1">IF(OR('Intermediate Data'!AB164="",'Intermediate Data'!AB164="N/A"),"",'Intermediate Data'!AB164)</f>
        <v/>
      </c>
      <c r="AB120" s="111" t="str">
        <f ca="1">IF(OR('Intermediate Data'!AC164="",'Intermediate Data'!AC164="N/A"),"",'Intermediate Data'!AC164)</f>
        <v/>
      </c>
      <c r="AC120" s="519" t="str">
        <f ca="1">IF(OR('Intermediate Data'!AD164="",'Intermediate Data'!AD164="N/A"),"",'Intermediate Data'!AD164)</f>
        <v/>
      </c>
      <c r="AD120" s="111" t="str">
        <f ca="1">IF(OR('Intermediate Data'!AE164="",'Intermediate Data'!AE164="N/A"),"",'Intermediate Data'!AE164)</f>
        <v/>
      </c>
      <c r="AE120" s="161" t="str">
        <f ca="1">IF(OR('Intermediate Data'!AF164="",'Intermediate Data'!AF164="N/A"),"",'Intermediate Data'!AF164)</f>
        <v/>
      </c>
      <c r="AF120" s="520"/>
      <c r="AG120" s="805" t="str">
        <f ca="1">IF(OR('Intermediate Data'!AN164="",'Intermediate Data'!AN164="N/A"),"",'Intermediate Data'!AN164)</f>
        <v/>
      </c>
      <c r="AH120" s="805"/>
      <c r="AI120" s="805"/>
      <c r="AJ120" s="805"/>
      <c r="AK120" s="157"/>
      <c r="AL120" s="529" t="str">
        <f ca="1">IF(OR('Intermediate Data'!AI164="",'Intermediate Data'!AI164="N/A"),"",'Intermediate Data'!AI164)</f>
        <v/>
      </c>
      <c r="AM120" s="132" t="str">
        <f ca="1">IF(OR('Intermediate Data'!AJ164="",'Intermediate Data'!AJ164="N/A"),"",'Intermediate Data'!AJ164)</f>
        <v/>
      </c>
      <c r="AN120" s="529" t="str">
        <f ca="1">IF(OR('Intermediate Data'!AK164="",'Intermediate Data'!AK164="N/A"),"",'Intermediate Data'!AK164)</f>
        <v/>
      </c>
      <c r="AO120" s="132" t="str">
        <f ca="1">IF(OR('Intermediate Data'!AL164="",'Intermediate Data'!AL164="N/A"),"",'Intermediate Data'!AL164)</f>
        <v/>
      </c>
      <c r="AP120" s="163" t="str">
        <f ca="1">IF(OR('Intermediate Data'!AM164="",'Intermediate Data'!AM164="N/A"),"",'Intermediate Data'!AM164)</f>
        <v/>
      </c>
      <c r="AQ120" s="693"/>
      <c r="AR120" s="791" t="str">
        <f ca="1">IF('Intermediate Data'!AP164="","",'Intermediate Data'!AP164)</f>
        <v/>
      </c>
      <c r="AS120" s="791"/>
      <c r="AT120" s="693"/>
      <c r="AU120" s="150"/>
      <c r="AV120" s="804" t="str">
        <f ca="1">'Intermediate Data'!AQ164</f>
        <v/>
      </c>
      <c r="AW120" s="804"/>
      <c r="AX120" s="804"/>
      <c r="AY120" s="804"/>
      <c r="AZ120" s="157"/>
      <c r="BA120" s="150"/>
      <c r="BB120" s="803" t="str">
        <f ca="1">'Intermediate Data'!AR164</f>
        <v/>
      </c>
      <c r="BC120" s="803"/>
      <c r="BD120" s="803"/>
      <c r="BE120" s="803"/>
      <c r="BF120" s="692"/>
      <c r="BG120" s="31"/>
      <c r="BH120" s="31"/>
      <c r="BI120" s="30"/>
    </row>
    <row r="121" spans="1:61" x14ac:dyDescent="0.25">
      <c r="A121" s="30"/>
      <c r="B121" s="30"/>
      <c r="C121" s="30"/>
      <c r="D121" s="30"/>
      <c r="E121" s="30"/>
      <c r="F121" s="30"/>
      <c r="G121" s="30"/>
      <c r="H121" s="30"/>
      <c r="I121" s="30"/>
      <c r="J121" s="30"/>
      <c r="K121" s="30"/>
      <c r="L121" s="30"/>
      <c r="M121" s="30"/>
      <c r="N121" s="168" t="str">
        <f ca="1">'Intermediate Data'!AA165</f>
        <v>Toaster/Toaster oven</v>
      </c>
      <c r="O121" s="31"/>
      <c r="P121" s="31"/>
      <c r="Q121" s="31"/>
      <c r="R121" s="31"/>
      <c r="S121" s="31"/>
      <c r="T121" s="31"/>
      <c r="U121" s="148"/>
      <c r="V121" s="804" t="str">
        <f ca="1">IF(OR('Intermediate Data'!AG165="",'Intermediate Data'!AG165="N/A"),"",'Intermediate Data'!AG165)</f>
        <v/>
      </c>
      <c r="W121" s="804"/>
      <c r="X121" s="804"/>
      <c r="Y121" s="804"/>
      <c r="Z121" s="157"/>
      <c r="AA121" s="519" t="str">
        <f ca="1">IF(OR('Intermediate Data'!AB165="",'Intermediate Data'!AB165="N/A"),"",'Intermediate Data'!AB165)</f>
        <v/>
      </c>
      <c r="AB121" s="111" t="str">
        <f ca="1">IF(OR('Intermediate Data'!AC165="",'Intermediate Data'!AC165="N/A"),"",'Intermediate Data'!AC165)</f>
        <v/>
      </c>
      <c r="AC121" s="519" t="str">
        <f ca="1">IF(OR('Intermediate Data'!AD165="",'Intermediate Data'!AD165="N/A"),"",'Intermediate Data'!AD165)</f>
        <v/>
      </c>
      <c r="AD121" s="111" t="str">
        <f ca="1">IF(OR('Intermediate Data'!AE165="",'Intermediate Data'!AE165="N/A"),"",'Intermediate Data'!AE165)</f>
        <v/>
      </c>
      <c r="AE121" s="161" t="str">
        <f ca="1">IF(OR('Intermediate Data'!AF165="",'Intermediate Data'!AF165="N/A"),"",'Intermediate Data'!AF165)</f>
        <v/>
      </c>
      <c r="AF121" s="520"/>
      <c r="AG121" s="805" t="str">
        <f ca="1">IF(OR('Intermediate Data'!AN165="",'Intermediate Data'!AN165="N/A"),"",'Intermediate Data'!AN165)</f>
        <v/>
      </c>
      <c r="AH121" s="805"/>
      <c r="AI121" s="805"/>
      <c r="AJ121" s="805"/>
      <c r="AK121" s="157"/>
      <c r="AL121" s="529" t="str">
        <f ca="1">IF(OR('Intermediate Data'!AI165="",'Intermediate Data'!AI165="N/A"),"",'Intermediate Data'!AI165)</f>
        <v/>
      </c>
      <c r="AM121" s="132" t="str">
        <f ca="1">IF(OR('Intermediate Data'!AJ165="",'Intermediate Data'!AJ165="N/A"),"",'Intermediate Data'!AJ165)</f>
        <v/>
      </c>
      <c r="AN121" s="529" t="str">
        <f ca="1">IF(OR('Intermediate Data'!AK165="",'Intermediate Data'!AK165="N/A"),"",'Intermediate Data'!AK165)</f>
        <v/>
      </c>
      <c r="AO121" s="132" t="str">
        <f ca="1">IF(OR('Intermediate Data'!AL165="",'Intermediate Data'!AL165="N/A"),"",'Intermediate Data'!AL165)</f>
        <v/>
      </c>
      <c r="AP121" s="163" t="str">
        <f ca="1">IF(OR('Intermediate Data'!AM165="",'Intermediate Data'!AM165="N/A"),"",'Intermediate Data'!AM165)</f>
        <v/>
      </c>
      <c r="AQ121" s="693"/>
      <c r="AR121" s="791" t="str">
        <f ca="1">IF('Intermediate Data'!AP165="","",'Intermediate Data'!AP165)</f>
        <v/>
      </c>
      <c r="AS121" s="791"/>
      <c r="AT121" s="693"/>
      <c r="AU121" s="150"/>
      <c r="AV121" s="804" t="str">
        <f ca="1">'Intermediate Data'!AQ165</f>
        <v/>
      </c>
      <c r="AW121" s="804"/>
      <c r="AX121" s="804"/>
      <c r="AY121" s="804"/>
      <c r="AZ121" s="157"/>
      <c r="BA121" s="150"/>
      <c r="BB121" s="803" t="str">
        <f ca="1">'Intermediate Data'!AR165</f>
        <v/>
      </c>
      <c r="BC121" s="803"/>
      <c r="BD121" s="803"/>
      <c r="BE121" s="803"/>
      <c r="BF121" s="692"/>
      <c r="BG121" s="31"/>
      <c r="BH121" s="31"/>
      <c r="BI121" s="30"/>
    </row>
    <row r="122" spans="1:61" x14ac:dyDescent="0.25">
      <c r="A122" s="30"/>
      <c r="B122" s="30"/>
      <c r="C122" s="30"/>
      <c r="D122" s="30"/>
      <c r="E122" s="30"/>
      <c r="F122" s="30"/>
      <c r="G122" s="30"/>
      <c r="H122" s="30"/>
      <c r="I122" s="30"/>
      <c r="J122" s="30"/>
      <c r="K122" s="30"/>
      <c r="L122" s="30"/>
      <c r="M122" s="30"/>
      <c r="N122" s="168" t="str">
        <f ca="1">'Intermediate Data'!AA166</f>
        <v>Tooth brush</v>
      </c>
      <c r="O122" s="31"/>
      <c r="P122" s="31"/>
      <c r="Q122" s="31"/>
      <c r="R122" s="31"/>
      <c r="S122" s="31"/>
      <c r="T122" s="31"/>
      <c r="U122" s="148"/>
      <c r="V122" s="804" t="str">
        <f ca="1">IF(OR('Intermediate Data'!AG166="",'Intermediate Data'!AG166="N/A"),"",'Intermediate Data'!AG166)</f>
        <v/>
      </c>
      <c r="W122" s="804"/>
      <c r="X122" s="804"/>
      <c r="Y122" s="804"/>
      <c r="Z122" s="157"/>
      <c r="AA122" s="519" t="str">
        <f ca="1">IF(OR('Intermediate Data'!AB166="",'Intermediate Data'!AB166="N/A"),"",'Intermediate Data'!AB166)</f>
        <v/>
      </c>
      <c r="AB122" s="111" t="str">
        <f ca="1">IF(OR('Intermediate Data'!AC166="",'Intermediate Data'!AC166="N/A"),"",'Intermediate Data'!AC166)</f>
        <v/>
      </c>
      <c r="AC122" s="519" t="str">
        <f ca="1">IF(OR('Intermediate Data'!AD166="",'Intermediate Data'!AD166="N/A"),"",'Intermediate Data'!AD166)</f>
        <v/>
      </c>
      <c r="AD122" s="111" t="str">
        <f ca="1">IF(OR('Intermediate Data'!AE166="",'Intermediate Data'!AE166="N/A"),"",'Intermediate Data'!AE166)</f>
        <v/>
      </c>
      <c r="AE122" s="161" t="str">
        <f ca="1">IF(OR('Intermediate Data'!AF166="",'Intermediate Data'!AF166="N/A"),"",'Intermediate Data'!AF166)</f>
        <v/>
      </c>
      <c r="AF122" s="520"/>
      <c r="AG122" s="805" t="str">
        <f ca="1">IF(OR('Intermediate Data'!AN166="",'Intermediate Data'!AN166="N/A"),"",'Intermediate Data'!AN166)</f>
        <v/>
      </c>
      <c r="AH122" s="805"/>
      <c r="AI122" s="805"/>
      <c r="AJ122" s="805"/>
      <c r="AK122" s="157"/>
      <c r="AL122" s="529" t="str">
        <f ca="1">IF(OR('Intermediate Data'!AI166="",'Intermediate Data'!AI166="N/A"),"",'Intermediate Data'!AI166)</f>
        <v/>
      </c>
      <c r="AM122" s="132" t="str">
        <f ca="1">IF(OR('Intermediate Data'!AJ166="",'Intermediate Data'!AJ166="N/A"),"",'Intermediate Data'!AJ166)</f>
        <v/>
      </c>
      <c r="AN122" s="529" t="str">
        <f ca="1">IF(OR('Intermediate Data'!AK166="",'Intermediate Data'!AK166="N/A"),"",'Intermediate Data'!AK166)</f>
        <v/>
      </c>
      <c r="AO122" s="132" t="str">
        <f ca="1">IF(OR('Intermediate Data'!AL166="",'Intermediate Data'!AL166="N/A"),"",'Intermediate Data'!AL166)</f>
        <v/>
      </c>
      <c r="AP122" s="163" t="str">
        <f ca="1">IF(OR('Intermediate Data'!AM166="",'Intermediate Data'!AM166="N/A"),"",'Intermediate Data'!AM166)</f>
        <v/>
      </c>
      <c r="AQ122" s="693"/>
      <c r="AR122" s="791" t="str">
        <f ca="1">IF('Intermediate Data'!AP166="","",'Intermediate Data'!AP166)</f>
        <v/>
      </c>
      <c r="AS122" s="791"/>
      <c r="AT122" s="693"/>
      <c r="AU122" s="150"/>
      <c r="AV122" s="804" t="str">
        <f ca="1">'Intermediate Data'!AQ166</f>
        <v/>
      </c>
      <c r="AW122" s="804"/>
      <c r="AX122" s="804"/>
      <c r="AY122" s="804"/>
      <c r="AZ122" s="157"/>
      <c r="BA122" s="150"/>
      <c r="BB122" s="803" t="str">
        <f ca="1">'Intermediate Data'!AR166</f>
        <v/>
      </c>
      <c r="BC122" s="803"/>
      <c r="BD122" s="803"/>
      <c r="BE122" s="803"/>
      <c r="BF122" s="692"/>
      <c r="BG122" s="31"/>
      <c r="BH122" s="31"/>
      <c r="BI122" s="30"/>
    </row>
    <row r="123" spans="1:61" x14ac:dyDescent="0.25">
      <c r="A123" s="30"/>
      <c r="B123" s="30"/>
      <c r="C123" s="30"/>
      <c r="D123" s="30"/>
      <c r="E123" s="30"/>
      <c r="F123" s="30"/>
      <c r="G123" s="30"/>
      <c r="H123" s="30"/>
      <c r="I123" s="30"/>
      <c r="J123" s="30"/>
      <c r="K123" s="30"/>
      <c r="L123" s="30"/>
      <c r="M123" s="30"/>
      <c r="N123" s="168" t="str">
        <f ca="1">'Intermediate Data'!AA167</f>
        <v>Towel warmer</v>
      </c>
      <c r="O123" s="31"/>
      <c r="P123" s="31"/>
      <c r="Q123" s="31"/>
      <c r="R123" s="31"/>
      <c r="S123" s="31"/>
      <c r="T123" s="31"/>
      <c r="U123" s="148"/>
      <c r="V123" s="804" t="str">
        <f ca="1">IF(OR('Intermediate Data'!AG167="",'Intermediate Data'!AG167="N/A"),"",'Intermediate Data'!AG167)</f>
        <v/>
      </c>
      <c r="W123" s="804"/>
      <c r="X123" s="804"/>
      <c r="Y123" s="804"/>
      <c r="Z123" s="157"/>
      <c r="AA123" s="519" t="str">
        <f ca="1">IF(OR('Intermediate Data'!AB167="",'Intermediate Data'!AB167="N/A"),"",'Intermediate Data'!AB167)</f>
        <v/>
      </c>
      <c r="AB123" s="111" t="str">
        <f ca="1">IF(OR('Intermediate Data'!AC167="",'Intermediate Data'!AC167="N/A"),"",'Intermediate Data'!AC167)</f>
        <v/>
      </c>
      <c r="AC123" s="519" t="str">
        <f ca="1">IF(OR('Intermediate Data'!AD167="",'Intermediate Data'!AD167="N/A"),"",'Intermediate Data'!AD167)</f>
        <v/>
      </c>
      <c r="AD123" s="111" t="str">
        <f ca="1">IF(OR('Intermediate Data'!AE167="",'Intermediate Data'!AE167="N/A"),"",'Intermediate Data'!AE167)</f>
        <v/>
      </c>
      <c r="AE123" s="161" t="str">
        <f ca="1">IF(OR('Intermediate Data'!AF167="",'Intermediate Data'!AF167="N/A"),"",'Intermediate Data'!AF167)</f>
        <v/>
      </c>
      <c r="AF123" s="520"/>
      <c r="AG123" s="805" t="str">
        <f ca="1">IF(OR('Intermediate Data'!AN167="",'Intermediate Data'!AN167="N/A"),"",'Intermediate Data'!AN167)</f>
        <v/>
      </c>
      <c r="AH123" s="805"/>
      <c r="AI123" s="805"/>
      <c r="AJ123" s="805"/>
      <c r="AK123" s="157"/>
      <c r="AL123" s="529" t="str">
        <f ca="1">IF(OR('Intermediate Data'!AI167="",'Intermediate Data'!AI167="N/A"),"",'Intermediate Data'!AI167)</f>
        <v/>
      </c>
      <c r="AM123" s="132" t="str">
        <f ca="1">IF(OR('Intermediate Data'!AJ167="",'Intermediate Data'!AJ167="N/A"),"",'Intermediate Data'!AJ167)</f>
        <v/>
      </c>
      <c r="AN123" s="529" t="str">
        <f ca="1">IF(OR('Intermediate Data'!AK167="",'Intermediate Data'!AK167="N/A"),"",'Intermediate Data'!AK167)</f>
        <v/>
      </c>
      <c r="AO123" s="132" t="str">
        <f ca="1">IF(OR('Intermediate Data'!AL167="",'Intermediate Data'!AL167="N/A"),"",'Intermediate Data'!AL167)</f>
        <v/>
      </c>
      <c r="AP123" s="163" t="str">
        <f ca="1">IF(OR('Intermediate Data'!AM167="",'Intermediate Data'!AM167="N/A"),"",'Intermediate Data'!AM167)</f>
        <v/>
      </c>
      <c r="AQ123" s="693"/>
      <c r="AR123" s="791" t="str">
        <f ca="1">IF('Intermediate Data'!AP167="","",'Intermediate Data'!AP167)</f>
        <v/>
      </c>
      <c r="AS123" s="791"/>
      <c r="AT123" s="693"/>
      <c r="AU123" s="150"/>
      <c r="AV123" s="804" t="str">
        <f ca="1">'Intermediate Data'!AQ167</f>
        <v/>
      </c>
      <c r="AW123" s="804"/>
      <c r="AX123" s="804"/>
      <c r="AY123" s="804"/>
      <c r="AZ123" s="157"/>
      <c r="BA123" s="150"/>
      <c r="BB123" s="803" t="str">
        <f ca="1">'Intermediate Data'!AR167</f>
        <v/>
      </c>
      <c r="BC123" s="803"/>
      <c r="BD123" s="803"/>
      <c r="BE123" s="803"/>
      <c r="BF123" s="692"/>
      <c r="BG123" s="31"/>
      <c r="BH123" s="31"/>
      <c r="BI123" s="30"/>
    </row>
    <row r="124" spans="1:61" x14ac:dyDescent="0.25">
      <c r="A124" s="30"/>
      <c r="B124" s="30"/>
      <c r="C124" s="30"/>
      <c r="D124" s="30"/>
      <c r="E124" s="30"/>
      <c r="F124" s="30"/>
      <c r="G124" s="30"/>
      <c r="H124" s="30"/>
      <c r="I124" s="30"/>
      <c r="J124" s="30"/>
      <c r="K124" s="30"/>
      <c r="L124" s="30"/>
      <c r="M124" s="30"/>
      <c r="N124" s="168" t="str">
        <f ca="1">'Intermediate Data'!AA168</f>
        <v>Trash compactor</v>
      </c>
      <c r="O124" s="31"/>
      <c r="P124" s="31"/>
      <c r="Q124" s="31"/>
      <c r="R124" s="31"/>
      <c r="S124" s="31"/>
      <c r="T124" s="31"/>
      <c r="U124" s="148"/>
      <c r="V124" s="804">
        <f ca="1">IF(OR('Intermediate Data'!AG168="",'Intermediate Data'!AG168="N/A"),"",'Intermediate Data'!AG168)</f>
        <v>6.9025004374366011E-2</v>
      </c>
      <c r="W124" s="804"/>
      <c r="X124" s="804"/>
      <c r="Y124" s="804"/>
      <c r="Z124" s="157"/>
      <c r="AA124" s="519" t="str">
        <f ca="1">IF(OR('Intermediate Data'!AB168="",'Intermediate Data'!AB168="N/A"),"",'Intermediate Data'!AB168)</f>
        <v/>
      </c>
      <c r="AB124" s="111">
        <f ca="1">IF(OR('Intermediate Data'!AC168="",'Intermediate Data'!AC168="N/A"),"",'Intermediate Data'!AC168)</f>
        <v>6.421953903505552E-2</v>
      </c>
      <c r="AC124" s="519" t="str">
        <f ca="1">IF(OR('Intermediate Data'!AD168="",'Intermediate Data'!AD168="N/A"),"",'Intermediate Data'!AD168)</f>
        <v/>
      </c>
      <c r="AD124" s="111">
        <f ca="1">IF(OR('Intermediate Data'!AE168="",'Intermediate Data'!AE168="N/A"),"",'Intermediate Data'!AE168)</f>
        <v>6.9025004374366011E-2</v>
      </c>
      <c r="AE124" s="161" t="str">
        <f ca="1">IF(OR('Intermediate Data'!AF168="",'Intermediate Data'!AF168="N/A"),"",'Intermediate Data'!AF168)</f>
        <v/>
      </c>
      <c r="AF124" s="520"/>
      <c r="AG124" s="805">
        <f ca="1">IF(OR('Intermediate Data'!AN168="",'Intermediate Data'!AN168="N/A"),"",'Intermediate Data'!AN168)</f>
        <v>6.9628964858429301E-2</v>
      </c>
      <c r="AH124" s="805"/>
      <c r="AI124" s="805"/>
      <c r="AJ124" s="805"/>
      <c r="AK124" s="157"/>
      <c r="AL124" s="529" t="str">
        <f ca="1">IF(OR('Intermediate Data'!AI168="",'Intermediate Data'!AI168="N/A"),"",'Intermediate Data'!AI168)</f>
        <v/>
      </c>
      <c r="AM124" s="132">
        <f ca="1">IF(OR('Intermediate Data'!AJ168="",'Intermediate Data'!AJ168="N/A"),"",'Intermediate Data'!AJ168)</f>
        <v>6.4555425244636241E-2</v>
      </c>
      <c r="AN124" s="529" t="str">
        <f ca="1">IF(OR('Intermediate Data'!AK168="",'Intermediate Data'!AK168="N/A"),"",'Intermediate Data'!AK168)</f>
        <v/>
      </c>
      <c r="AO124" s="132">
        <f ca="1">IF(OR('Intermediate Data'!AL168="",'Intermediate Data'!AL168="N/A"),"",'Intermediate Data'!AL168)</f>
        <v>6.9628964858429301E-2</v>
      </c>
      <c r="AP124" s="163" t="str">
        <f ca="1">IF(OR('Intermediate Data'!AM168="",'Intermediate Data'!AM168="N/A"),"",'Intermediate Data'!AM168)</f>
        <v/>
      </c>
      <c r="AQ124" s="693"/>
      <c r="AR124" s="791" t="str">
        <f ca="1">IF('Intermediate Data'!AP168="","",'Intermediate Data'!AP168)</f>
        <v/>
      </c>
      <c r="AS124" s="791"/>
      <c r="AT124" s="693"/>
      <c r="AU124" s="150"/>
      <c r="AV124" s="804" t="str">
        <f ca="1">'Intermediate Data'!AQ168</f>
        <v/>
      </c>
      <c r="AW124" s="804"/>
      <c r="AX124" s="804"/>
      <c r="AY124" s="804"/>
      <c r="AZ124" s="157"/>
      <c r="BA124" s="150"/>
      <c r="BB124" s="803" t="str">
        <f ca="1">'Intermediate Data'!AR168</f>
        <v/>
      </c>
      <c r="BC124" s="803"/>
      <c r="BD124" s="803"/>
      <c r="BE124" s="803"/>
      <c r="BF124" s="692"/>
      <c r="BG124" s="31"/>
      <c r="BH124" s="31"/>
      <c r="BI124" s="30"/>
    </row>
    <row r="125" spans="1:61" x14ac:dyDescent="0.25">
      <c r="A125" s="30"/>
      <c r="B125" s="30"/>
      <c r="C125" s="30"/>
      <c r="D125" s="30"/>
      <c r="E125" s="30"/>
      <c r="F125" s="30"/>
      <c r="G125" s="30"/>
      <c r="H125" s="30"/>
      <c r="I125" s="30"/>
      <c r="J125" s="30"/>
      <c r="K125" s="30"/>
      <c r="L125" s="30"/>
      <c r="M125" s="30"/>
      <c r="N125" s="168" t="str">
        <f ca="1">'Intermediate Data'!AA169</f>
        <v>Uninterruptible power supply</v>
      </c>
      <c r="O125" s="31"/>
      <c r="P125" s="31"/>
      <c r="Q125" s="31"/>
      <c r="R125" s="31"/>
      <c r="S125" s="31"/>
      <c r="T125" s="31"/>
      <c r="U125" s="148"/>
      <c r="V125" s="804">
        <f ca="1">IF(OR('Intermediate Data'!AG169="",'Intermediate Data'!AG169="N/A"),"",'Intermediate Data'!AG169)</f>
        <v>0.12944048176150891</v>
      </c>
      <c r="W125" s="804"/>
      <c r="X125" s="804"/>
      <c r="Y125" s="804"/>
      <c r="Z125" s="157"/>
      <c r="AA125" s="519" t="str">
        <f ca="1">IF(OR('Intermediate Data'!AB169="",'Intermediate Data'!AB169="N/A"),"",'Intermediate Data'!AB169)</f>
        <v/>
      </c>
      <c r="AB125" s="111" t="str">
        <f ca="1">IF(OR('Intermediate Data'!AC169="",'Intermediate Data'!AC169="N/A"),"",'Intermediate Data'!AC169)</f>
        <v/>
      </c>
      <c r="AC125" s="519" t="str">
        <f ca="1">IF(OR('Intermediate Data'!AD169="",'Intermediate Data'!AD169="N/A"),"",'Intermediate Data'!AD169)</f>
        <v/>
      </c>
      <c r="AD125" s="111">
        <f ca="1">IF(OR('Intermediate Data'!AE169="",'Intermediate Data'!AE169="N/A"),"",'Intermediate Data'!AE169)</f>
        <v>0.12944048176150891</v>
      </c>
      <c r="AE125" s="161" t="str">
        <f ca="1">IF(OR('Intermediate Data'!AF169="",'Intermediate Data'!AF169="N/A"),"",'Intermediate Data'!AF169)</f>
        <v/>
      </c>
      <c r="AF125" s="520"/>
      <c r="AG125" s="805">
        <f ca="1">IF(OR('Intermediate Data'!AN169="",'Intermediate Data'!AN169="N/A"),"",'Intermediate Data'!AN169)</f>
        <v>0.16293009710065778</v>
      </c>
      <c r="AH125" s="805"/>
      <c r="AI125" s="805"/>
      <c r="AJ125" s="805"/>
      <c r="AK125" s="157"/>
      <c r="AL125" s="529" t="str">
        <f ca="1">IF(OR('Intermediate Data'!AI169="",'Intermediate Data'!AI169="N/A"),"",'Intermediate Data'!AI169)</f>
        <v/>
      </c>
      <c r="AM125" s="132" t="str">
        <f ca="1">IF(OR('Intermediate Data'!AJ169="",'Intermediate Data'!AJ169="N/A"),"",'Intermediate Data'!AJ169)</f>
        <v/>
      </c>
      <c r="AN125" s="529" t="str">
        <f ca="1">IF(OR('Intermediate Data'!AK169="",'Intermediate Data'!AK169="N/A"),"",'Intermediate Data'!AK169)</f>
        <v/>
      </c>
      <c r="AO125" s="132">
        <f ca="1">IF(OR('Intermediate Data'!AL169="",'Intermediate Data'!AL169="N/A"),"",'Intermediate Data'!AL169)</f>
        <v>0.16293009710065778</v>
      </c>
      <c r="AP125" s="163" t="str">
        <f ca="1">IF(OR('Intermediate Data'!AM169="",'Intermediate Data'!AM169="N/A"),"",'Intermediate Data'!AM169)</f>
        <v/>
      </c>
      <c r="AQ125" s="693"/>
      <c r="AR125" s="791" t="str">
        <f ca="1">IF('Intermediate Data'!AP169="","",'Intermediate Data'!AP169)</f>
        <v/>
      </c>
      <c r="AS125" s="791"/>
      <c r="AT125" s="693"/>
      <c r="AU125" s="150"/>
      <c r="AV125" s="804">
        <f ca="1">'Intermediate Data'!AQ169</f>
        <v>0.78</v>
      </c>
      <c r="AW125" s="804"/>
      <c r="AX125" s="804"/>
      <c r="AY125" s="804"/>
      <c r="AZ125" s="157"/>
      <c r="BA125" s="150"/>
      <c r="BB125" s="803">
        <f ca="1">'Intermediate Data'!AR169</f>
        <v>40</v>
      </c>
      <c r="BC125" s="803"/>
      <c r="BD125" s="803"/>
      <c r="BE125" s="803"/>
      <c r="BF125" s="692"/>
      <c r="BG125" s="31"/>
      <c r="BH125" s="31"/>
      <c r="BI125" s="30"/>
    </row>
    <row r="126" spans="1:61" x14ac:dyDescent="0.25">
      <c r="A126" s="30"/>
      <c r="B126" s="30"/>
      <c r="C126" s="30"/>
      <c r="D126" s="30"/>
      <c r="E126" s="30"/>
      <c r="F126" s="30"/>
      <c r="G126" s="30"/>
      <c r="H126" s="30"/>
      <c r="I126" s="30"/>
      <c r="J126" s="30"/>
      <c r="K126" s="30"/>
      <c r="L126" s="30"/>
      <c r="M126" s="30"/>
      <c r="N126" s="168" t="str">
        <f ca="1">'Intermediate Data'!AA170</f>
        <v>Vacuum cleaner - Built-in</v>
      </c>
      <c r="O126" s="31"/>
      <c r="P126" s="31"/>
      <c r="Q126" s="31"/>
      <c r="R126" s="31"/>
      <c r="S126" s="31"/>
      <c r="T126" s="31"/>
      <c r="U126" s="148"/>
      <c r="V126" s="804" t="str">
        <f ca="1">IF(OR('Intermediate Data'!AG170="",'Intermediate Data'!AG170="N/A"),"",'Intermediate Data'!AG170)</f>
        <v/>
      </c>
      <c r="W126" s="804"/>
      <c r="X126" s="804"/>
      <c r="Y126" s="804"/>
      <c r="Z126" s="157"/>
      <c r="AA126" s="519" t="str">
        <f ca="1">IF(OR('Intermediate Data'!AB170="",'Intermediate Data'!AB170="N/A"),"",'Intermediate Data'!AB170)</f>
        <v/>
      </c>
      <c r="AB126" s="111" t="str">
        <f ca="1">IF(OR('Intermediate Data'!AC170="",'Intermediate Data'!AC170="N/A"),"",'Intermediate Data'!AC170)</f>
        <v/>
      </c>
      <c r="AC126" s="519" t="str">
        <f ca="1">IF(OR('Intermediate Data'!AD170="",'Intermediate Data'!AD170="N/A"),"",'Intermediate Data'!AD170)</f>
        <v/>
      </c>
      <c r="AD126" s="111" t="str">
        <f ca="1">IF(OR('Intermediate Data'!AE170="",'Intermediate Data'!AE170="N/A"),"",'Intermediate Data'!AE170)</f>
        <v/>
      </c>
      <c r="AE126" s="161" t="str">
        <f ca="1">IF(OR('Intermediate Data'!AF170="",'Intermediate Data'!AF170="N/A"),"",'Intermediate Data'!AF170)</f>
        <v/>
      </c>
      <c r="AF126" s="520"/>
      <c r="AG126" s="805" t="str">
        <f ca="1">IF(OR('Intermediate Data'!AN170="",'Intermediate Data'!AN170="N/A"),"",'Intermediate Data'!AN170)</f>
        <v/>
      </c>
      <c r="AH126" s="805"/>
      <c r="AI126" s="805"/>
      <c r="AJ126" s="805"/>
      <c r="AK126" s="157"/>
      <c r="AL126" s="529" t="str">
        <f ca="1">IF(OR('Intermediate Data'!AI170="",'Intermediate Data'!AI170="N/A"),"",'Intermediate Data'!AI170)</f>
        <v/>
      </c>
      <c r="AM126" s="132" t="str">
        <f ca="1">IF(OR('Intermediate Data'!AJ170="",'Intermediate Data'!AJ170="N/A"),"",'Intermediate Data'!AJ170)</f>
        <v/>
      </c>
      <c r="AN126" s="529" t="str">
        <f ca="1">IF(OR('Intermediate Data'!AK170="",'Intermediate Data'!AK170="N/A"),"",'Intermediate Data'!AK170)</f>
        <v/>
      </c>
      <c r="AO126" s="132" t="str">
        <f ca="1">IF(OR('Intermediate Data'!AL170="",'Intermediate Data'!AL170="N/A"),"",'Intermediate Data'!AL170)</f>
        <v/>
      </c>
      <c r="AP126" s="163" t="str">
        <f ca="1">IF(OR('Intermediate Data'!AM170="",'Intermediate Data'!AM170="N/A"),"",'Intermediate Data'!AM170)</f>
        <v/>
      </c>
      <c r="AQ126" s="693"/>
      <c r="AR126" s="791" t="str">
        <f ca="1">IF('Intermediate Data'!AP170="","",'Intermediate Data'!AP170)</f>
        <v/>
      </c>
      <c r="AS126" s="791"/>
      <c r="AT126" s="693"/>
      <c r="AU126" s="150"/>
      <c r="AV126" s="804" t="str">
        <f ca="1">'Intermediate Data'!AQ170</f>
        <v/>
      </c>
      <c r="AW126" s="804"/>
      <c r="AX126" s="804"/>
      <c r="AY126" s="804"/>
      <c r="AZ126" s="157"/>
      <c r="BA126" s="150"/>
      <c r="BB126" s="803" t="str">
        <f ca="1">'Intermediate Data'!AR170</f>
        <v/>
      </c>
      <c r="BC126" s="803"/>
      <c r="BD126" s="803"/>
      <c r="BE126" s="803"/>
      <c r="BF126" s="692"/>
      <c r="BG126" s="31"/>
      <c r="BH126" s="31"/>
      <c r="BI126" s="30"/>
    </row>
    <row r="127" spans="1:61" x14ac:dyDescent="0.25">
      <c r="A127" s="30"/>
      <c r="B127" s="30"/>
      <c r="C127" s="30"/>
      <c r="D127" s="30"/>
      <c r="E127" s="30"/>
      <c r="F127" s="30"/>
      <c r="G127" s="30"/>
      <c r="H127" s="30"/>
      <c r="I127" s="30"/>
      <c r="J127" s="30"/>
      <c r="K127" s="30"/>
      <c r="L127" s="30"/>
      <c r="M127" s="30"/>
      <c r="N127" s="168" t="str">
        <f ca="1">'Intermediate Data'!AA171</f>
        <v>Vacuum cleaner - Portable</v>
      </c>
      <c r="O127" s="31"/>
      <c r="P127" s="31"/>
      <c r="Q127" s="31"/>
      <c r="R127" s="31"/>
      <c r="S127" s="31"/>
      <c r="T127" s="31"/>
      <c r="U127" s="148"/>
      <c r="V127" s="804" t="str">
        <f ca="1">IF(OR('Intermediate Data'!AG171="",'Intermediate Data'!AG171="N/A"),"",'Intermediate Data'!AG171)</f>
        <v/>
      </c>
      <c r="W127" s="804"/>
      <c r="X127" s="804"/>
      <c r="Y127" s="804"/>
      <c r="Z127" s="157"/>
      <c r="AA127" s="519" t="str">
        <f ca="1">IF(OR('Intermediate Data'!AB171="",'Intermediate Data'!AB171="N/A"),"",'Intermediate Data'!AB171)</f>
        <v/>
      </c>
      <c r="AB127" s="111" t="str">
        <f ca="1">IF(OR('Intermediate Data'!AC171="",'Intermediate Data'!AC171="N/A"),"",'Intermediate Data'!AC171)</f>
        <v/>
      </c>
      <c r="AC127" s="519" t="str">
        <f ca="1">IF(OR('Intermediate Data'!AD171="",'Intermediate Data'!AD171="N/A"),"",'Intermediate Data'!AD171)</f>
        <v/>
      </c>
      <c r="AD127" s="111" t="str">
        <f ca="1">IF(OR('Intermediate Data'!AE171="",'Intermediate Data'!AE171="N/A"),"",'Intermediate Data'!AE171)</f>
        <v/>
      </c>
      <c r="AE127" s="161" t="str">
        <f ca="1">IF(OR('Intermediate Data'!AF171="",'Intermediate Data'!AF171="N/A"),"",'Intermediate Data'!AF171)</f>
        <v/>
      </c>
      <c r="AF127" s="520"/>
      <c r="AG127" s="805" t="str">
        <f ca="1">IF(OR('Intermediate Data'!AN171="",'Intermediate Data'!AN171="N/A"),"",'Intermediate Data'!AN171)</f>
        <v/>
      </c>
      <c r="AH127" s="805"/>
      <c r="AI127" s="805"/>
      <c r="AJ127" s="805"/>
      <c r="AK127" s="157"/>
      <c r="AL127" s="529" t="str">
        <f ca="1">IF(OR('Intermediate Data'!AI171="",'Intermediate Data'!AI171="N/A"),"",'Intermediate Data'!AI171)</f>
        <v/>
      </c>
      <c r="AM127" s="132" t="str">
        <f ca="1">IF(OR('Intermediate Data'!AJ171="",'Intermediate Data'!AJ171="N/A"),"",'Intermediate Data'!AJ171)</f>
        <v/>
      </c>
      <c r="AN127" s="529" t="str">
        <f ca="1">IF(OR('Intermediate Data'!AK171="",'Intermediate Data'!AK171="N/A"),"",'Intermediate Data'!AK171)</f>
        <v/>
      </c>
      <c r="AO127" s="132" t="str">
        <f ca="1">IF(OR('Intermediate Data'!AL171="",'Intermediate Data'!AL171="N/A"),"",'Intermediate Data'!AL171)</f>
        <v/>
      </c>
      <c r="AP127" s="163" t="str">
        <f ca="1">IF(OR('Intermediate Data'!AM171="",'Intermediate Data'!AM171="N/A"),"",'Intermediate Data'!AM171)</f>
        <v/>
      </c>
      <c r="AQ127" s="693"/>
      <c r="AR127" s="791" t="str">
        <f ca="1">IF('Intermediate Data'!AP171="","",'Intermediate Data'!AP171)</f>
        <v/>
      </c>
      <c r="AS127" s="791"/>
      <c r="AT127" s="693"/>
      <c r="AU127" s="150"/>
      <c r="AV127" s="804" t="str">
        <f ca="1">'Intermediate Data'!AQ171</f>
        <v/>
      </c>
      <c r="AW127" s="804"/>
      <c r="AX127" s="804"/>
      <c r="AY127" s="804"/>
      <c r="AZ127" s="157"/>
      <c r="BA127" s="150"/>
      <c r="BB127" s="803" t="str">
        <f ca="1">'Intermediate Data'!AR171</f>
        <v/>
      </c>
      <c r="BC127" s="803"/>
      <c r="BD127" s="803"/>
      <c r="BE127" s="803"/>
      <c r="BF127" s="692"/>
      <c r="BG127" s="31"/>
      <c r="BH127" s="31"/>
      <c r="BI127" s="30"/>
    </row>
    <row r="128" spans="1:61" x14ac:dyDescent="0.25">
      <c r="A128" s="30"/>
      <c r="B128" s="30"/>
      <c r="C128" s="30"/>
      <c r="D128" s="30"/>
      <c r="E128" s="30"/>
      <c r="F128" s="30"/>
      <c r="G128" s="30"/>
      <c r="H128" s="30"/>
      <c r="I128" s="30"/>
      <c r="J128" s="30"/>
      <c r="K128" s="30"/>
      <c r="L128" s="30"/>
      <c r="M128" s="30"/>
      <c r="N128" s="168" t="str">
        <f ca="1">'Intermediate Data'!AA172</f>
        <v>Ventilating fan</v>
      </c>
      <c r="O128" s="31"/>
      <c r="P128" s="31"/>
      <c r="Q128" s="31"/>
      <c r="R128" s="31"/>
      <c r="S128" s="31"/>
      <c r="T128" s="31"/>
      <c r="U128" s="148"/>
      <c r="V128" s="804" t="str">
        <f ca="1">IF(OR('Intermediate Data'!AG172="",'Intermediate Data'!AG172="N/A"),"",'Intermediate Data'!AG172)</f>
        <v/>
      </c>
      <c r="W128" s="804"/>
      <c r="X128" s="804"/>
      <c r="Y128" s="804"/>
      <c r="Z128" s="157"/>
      <c r="AA128" s="519" t="str">
        <f ca="1">IF(OR('Intermediate Data'!AB172="",'Intermediate Data'!AB172="N/A"),"",'Intermediate Data'!AB172)</f>
        <v/>
      </c>
      <c r="AB128" s="111" t="str">
        <f ca="1">IF(OR('Intermediate Data'!AC172="",'Intermediate Data'!AC172="N/A"),"",'Intermediate Data'!AC172)</f>
        <v/>
      </c>
      <c r="AC128" s="519" t="str">
        <f ca="1">IF(OR('Intermediate Data'!AD172="",'Intermediate Data'!AD172="N/A"),"",'Intermediate Data'!AD172)</f>
        <v/>
      </c>
      <c r="AD128" s="111" t="str">
        <f ca="1">IF(OR('Intermediate Data'!AE172="",'Intermediate Data'!AE172="N/A"),"",'Intermediate Data'!AE172)</f>
        <v/>
      </c>
      <c r="AE128" s="161" t="str">
        <f ca="1">IF(OR('Intermediate Data'!AF172="",'Intermediate Data'!AF172="N/A"),"",'Intermediate Data'!AF172)</f>
        <v/>
      </c>
      <c r="AF128" s="520"/>
      <c r="AG128" s="805" t="str">
        <f ca="1">IF(OR('Intermediate Data'!AN172="",'Intermediate Data'!AN172="N/A"),"",'Intermediate Data'!AN172)</f>
        <v/>
      </c>
      <c r="AH128" s="805"/>
      <c r="AI128" s="805"/>
      <c r="AJ128" s="805"/>
      <c r="AK128" s="157"/>
      <c r="AL128" s="529" t="str">
        <f ca="1">IF(OR('Intermediate Data'!AI172="",'Intermediate Data'!AI172="N/A"),"",'Intermediate Data'!AI172)</f>
        <v/>
      </c>
      <c r="AM128" s="132" t="str">
        <f ca="1">IF(OR('Intermediate Data'!AJ172="",'Intermediate Data'!AJ172="N/A"),"",'Intermediate Data'!AJ172)</f>
        <v/>
      </c>
      <c r="AN128" s="529" t="str">
        <f ca="1">IF(OR('Intermediate Data'!AK172="",'Intermediate Data'!AK172="N/A"),"",'Intermediate Data'!AK172)</f>
        <v/>
      </c>
      <c r="AO128" s="132" t="str">
        <f ca="1">IF(OR('Intermediate Data'!AL172="",'Intermediate Data'!AL172="N/A"),"",'Intermediate Data'!AL172)</f>
        <v/>
      </c>
      <c r="AP128" s="163" t="str">
        <f ca="1">IF(OR('Intermediate Data'!AM172="",'Intermediate Data'!AM172="N/A"),"",'Intermediate Data'!AM172)</f>
        <v/>
      </c>
      <c r="AQ128" s="693"/>
      <c r="AR128" s="791" t="str">
        <f ca="1">IF('Intermediate Data'!AP172="","",'Intermediate Data'!AP172)</f>
        <v/>
      </c>
      <c r="AS128" s="791"/>
      <c r="AT128" s="693"/>
      <c r="AU128" s="150"/>
      <c r="AV128" s="804">
        <f ca="1">'Intermediate Data'!AQ172</f>
        <v>0.33</v>
      </c>
      <c r="AW128" s="804"/>
      <c r="AX128" s="804"/>
      <c r="AY128" s="804"/>
      <c r="AZ128" s="157"/>
      <c r="BA128" s="150"/>
      <c r="BB128" s="803">
        <f ca="1">'Intermediate Data'!AR172</f>
        <v>55</v>
      </c>
      <c r="BC128" s="803"/>
      <c r="BD128" s="803"/>
      <c r="BE128" s="803"/>
      <c r="BF128" s="692"/>
      <c r="BG128" s="31"/>
      <c r="BH128" s="31"/>
      <c r="BI128" s="30"/>
    </row>
    <row r="129" spans="1:61" x14ac:dyDescent="0.25">
      <c r="A129" s="30"/>
      <c r="B129" s="30"/>
      <c r="C129" s="30"/>
      <c r="D129" s="30"/>
      <c r="E129" s="30"/>
      <c r="F129" s="30"/>
      <c r="G129" s="30"/>
      <c r="H129" s="30"/>
      <c r="I129" s="30"/>
      <c r="J129" s="30"/>
      <c r="K129" s="30"/>
      <c r="L129" s="30"/>
      <c r="M129" s="30"/>
      <c r="N129" s="168" t="str">
        <f ca="1">'Intermediate Data'!AA173</f>
        <v>Video streaming/OTT device</v>
      </c>
      <c r="O129" s="31"/>
      <c r="P129" s="31"/>
      <c r="Q129" s="31"/>
      <c r="R129" s="31"/>
      <c r="S129" s="31"/>
      <c r="T129" s="31"/>
      <c r="U129" s="148"/>
      <c r="V129" s="804">
        <f ca="1">IF(OR('Intermediate Data'!AG173="",'Intermediate Data'!AG173="N/A"),"",'Intermediate Data'!AG173)</f>
        <v>6.7116000000000009E-2</v>
      </c>
      <c r="W129" s="804"/>
      <c r="X129" s="804"/>
      <c r="Y129" s="804"/>
      <c r="Z129" s="157"/>
      <c r="AA129" s="519" t="str">
        <f ca="1">IF(OR('Intermediate Data'!AB173="",'Intermediate Data'!AB173="N/A"),"",'Intermediate Data'!AB173)</f>
        <v/>
      </c>
      <c r="AB129" s="111" t="str">
        <f ca="1">IF(OR('Intermediate Data'!AC173="",'Intermediate Data'!AC173="N/A"),"",'Intermediate Data'!AC173)</f>
        <v/>
      </c>
      <c r="AC129" s="519" t="str">
        <f ca="1">IF(OR('Intermediate Data'!AD173="",'Intermediate Data'!AD173="N/A"),"",'Intermediate Data'!AD173)</f>
        <v/>
      </c>
      <c r="AD129" s="111" t="str">
        <f ca="1">IF(OR('Intermediate Data'!AE173="",'Intermediate Data'!AE173="N/A"),"",'Intermediate Data'!AE173)</f>
        <v/>
      </c>
      <c r="AE129" s="161">
        <f ca="1">IF(OR('Intermediate Data'!AF173="",'Intermediate Data'!AF173="N/A"),"",'Intermediate Data'!AF173)</f>
        <v>6.7116000000000009E-2</v>
      </c>
      <c r="AF129" s="520"/>
      <c r="AG129" s="805">
        <f ca="1">IF(OR('Intermediate Data'!AN173="",'Intermediate Data'!AN173="N/A"),"",'Intermediate Data'!AN173)</f>
        <v>8.3000000000000004E-2</v>
      </c>
      <c r="AH129" s="805"/>
      <c r="AI129" s="805"/>
      <c r="AJ129" s="805"/>
      <c r="AK129" s="157"/>
      <c r="AL129" s="529" t="str">
        <f ca="1">IF(OR('Intermediate Data'!AI173="",'Intermediate Data'!AI173="N/A"),"",'Intermediate Data'!AI173)</f>
        <v/>
      </c>
      <c r="AM129" s="132" t="str">
        <f ca="1">IF(OR('Intermediate Data'!AJ173="",'Intermediate Data'!AJ173="N/A"),"",'Intermediate Data'!AJ173)</f>
        <v/>
      </c>
      <c r="AN129" s="529" t="str">
        <f ca="1">IF(OR('Intermediate Data'!AK173="",'Intermediate Data'!AK173="N/A"),"",'Intermediate Data'!AK173)</f>
        <v/>
      </c>
      <c r="AO129" s="132" t="str">
        <f ca="1">IF(OR('Intermediate Data'!AL173="",'Intermediate Data'!AL173="N/A"),"",'Intermediate Data'!AL173)</f>
        <v/>
      </c>
      <c r="AP129" s="163">
        <f ca="1">IF(OR('Intermediate Data'!AM173="",'Intermediate Data'!AM173="N/A"),"",'Intermediate Data'!AM173)</f>
        <v>8.3000000000000004E-2</v>
      </c>
      <c r="AQ129" s="693"/>
      <c r="AR129" s="791" t="str">
        <f ca="1">IF('Intermediate Data'!AP173="","",'Intermediate Data'!AP173)</f>
        <v/>
      </c>
      <c r="AS129" s="791"/>
      <c r="AT129" s="693"/>
      <c r="AU129" s="150"/>
      <c r="AV129" s="804" t="str">
        <f ca="1">'Intermediate Data'!AQ173</f>
        <v/>
      </c>
      <c r="AW129" s="804"/>
      <c r="AX129" s="804"/>
      <c r="AY129" s="804"/>
      <c r="AZ129" s="157"/>
      <c r="BA129" s="150"/>
      <c r="BB129" s="803" t="str">
        <f ca="1">'Intermediate Data'!AR173</f>
        <v/>
      </c>
      <c r="BC129" s="803"/>
      <c r="BD129" s="803"/>
      <c r="BE129" s="803"/>
      <c r="BF129" s="692"/>
      <c r="BG129" s="31"/>
      <c r="BH129" s="31"/>
      <c r="BI129" s="30"/>
    </row>
    <row r="130" spans="1:61" x14ac:dyDescent="0.25">
      <c r="A130" s="30"/>
      <c r="B130" s="30"/>
      <c r="C130" s="30"/>
      <c r="D130" s="30"/>
      <c r="E130" s="30"/>
      <c r="F130" s="30"/>
      <c r="G130" s="30"/>
      <c r="H130" s="30"/>
      <c r="I130" s="30"/>
      <c r="J130" s="30"/>
      <c r="K130" s="30"/>
      <c r="L130" s="30"/>
      <c r="M130" s="30"/>
      <c r="N130" s="168" t="str">
        <f ca="1">'Intermediate Data'!AA174</f>
        <v>Waffle maker</v>
      </c>
      <c r="O130" s="31"/>
      <c r="P130" s="31"/>
      <c r="Q130" s="31"/>
      <c r="R130" s="31"/>
      <c r="S130" s="31"/>
      <c r="T130" s="31"/>
      <c r="U130" s="148"/>
      <c r="V130" s="804" t="str">
        <f ca="1">IF(OR('Intermediate Data'!AG174="",'Intermediate Data'!AG174="N/A"),"",'Intermediate Data'!AG174)</f>
        <v/>
      </c>
      <c r="W130" s="804"/>
      <c r="X130" s="804"/>
      <c r="Y130" s="804"/>
      <c r="Z130" s="157"/>
      <c r="AA130" s="519" t="str">
        <f ca="1">IF(OR('Intermediate Data'!AB174="",'Intermediate Data'!AB174="N/A"),"",'Intermediate Data'!AB174)</f>
        <v/>
      </c>
      <c r="AB130" s="111" t="str">
        <f ca="1">IF(OR('Intermediate Data'!AC174="",'Intermediate Data'!AC174="N/A"),"",'Intermediate Data'!AC174)</f>
        <v/>
      </c>
      <c r="AC130" s="519" t="str">
        <f ca="1">IF(OR('Intermediate Data'!AD174="",'Intermediate Data'!AD174="N/A"),"",'Intermediate Data'!AD174)</f>
        <v/>
      </c>
      <c r="AD130" s="111" t="str">
        <f ca="1">IF(OR('Intermediate Data'!AE174="",'Intermediate Data'!AE174="N/A"),"",'Intermediate Data'!AE174)</f>
        <v/>
      </c>
      <c r="AE130" s="161" t="str">
        <f ca="1">IF(OR('Intermediate Data'!AF174="",'Intermediate Data'!AF174="N/A"),"",'Intermediate Data'!AF174)</f>
        <v/>
      </c>
      <c r="AF130" s="520"/>
      <c r="AG130" s="805" t="str">
        <f ca="1">IF(OR('Intermediate Data'!AN174="",'Intermediate Data'!AN174="N/A"),"",'Intermediate Data'!AN174)</f>
        <v/>
      </c>
      <c r="AH130" s="805"/>
      <c r="AI130" s="805"/>
      <c r="AJ130" s="805"/>
      <c r="AK130" s="157"/>
      <c r="AL130" s="529" t="str">
        <f ca="1">IF(OR('Intermediate Data'!AI174="",'Intermediate Data'!AI174="N/A"),"",'Intermediate Data'!AI174)</f>
        <v/>
      </c>
      <c r="AM130" s="132" t="str">
        <f ca="1">IF(OR('Intermediate Data'!AJ174="",'Intermediate Data'!AJ174="N/A"),"",'Intermediate Data'!AJ174)</f>
        <v/>
      </c>
      <c r="AN130" s="529" t="str">
        <f ca="1">IF(OR('Intermediate Data'!AK174="",'Intermediate Data'!AK174="N/A"),"",'Intermediate Data'!AK174)</f>
        <v/>
      </c>
      <c r="AO130" s="132" t="str">
        <f ca="1">IF(OR('Intermediate Data'!AL174="",'Intermediate Data'!AL174="N/A"),"",'Intermediate Data'!AL174)</f>
        <v/>
      </c>
      <c r="AP130" s="163" t="str">
        <f ca="1">IF(OR('Intermediate Data'!AM174="",'Intermediate Data'!AM174="N/A"),"",'Intermediate Data'!AM174)</f>
        <v/>
      </c>
      <c r="AQ130" s="693"/>
      <c r="AR130" s="791" t="str">
        <f ca="1">IF('Intermediate Data'!AP174="","",'Intermediate Data'!AP174)</f>
        <v/>
      </c>
      <c r="AS130" s="791"/>
      <c r="AT130" s="693"/>
      <c r="AU130" s="150"/>
      <c r="AV130" s="804" t="str">
        <f ca="1">'Intermediate Data'!AQ174</f>
        <v/>
      </c>
      <c r="AW130" s="804"/>
      <c r="AX130" s="804"/>
      <c r="AY130" s="804"/>
      <c r="AZ130" s="157"/>
      <c r="BA130" s="150"/>
      <c r="BB130" s="803" t="str">
        <f ca="1">'Intermediate Data'!AR174</f>
        <v/>
      </c>
      <c r="BC130" s="803"/>
      <c r="BD130" s="803"/>
      <c r="BE130" s="803"/>
      <c r="BF130" s="692"/>
      <c r="BG130" s="31"/>
      <c r="BH130" s="31"/>
      <c r="BI130" s="30"/>
    </row>
    <row r="131" spans="1:61" x14ac:dyDescent="0.25">
      <c r="A131" s="30"/>
      <c r="B131" s="30"/>
      <c r="C131" s="30"/>
      <c r="D131" s="30"/>
      <c r="E131" s="30"/>
      <c r="F131" s="30"/>
      <c r="G131" s="30"/>
      <c r="H131" s="30"/>
      <c r="I131" s="30"/>
      <c r="J131" s="30"/>
      <c r="K131" s="30"/>
      <c r="L131" s="30"/>
      <c r="M131" s="30"/>
      <c r="N131" s="168" t="str">
        <f ca="1">'Intermediate Data'!AA175</f>
        <v>Warmer - Baby bottle/Food</v>
      </c>
      <c r="O131" s="31"/>
      <c r="P131" s="31"/>
      <c r="Q131" s="31"/>
      <c r="R131" s="31"/>
      <c r="S131" s="31"/>
      <c r="T131" s="31"/>
      <c r="U131" s="148"/>
      <c r="V131" s="804" t="str">
        <f ca="1">IF(OR('Intermediate Data'!AG175="",'Intermediate Data'!AG175="N/A"),"",'Intermediate Data'!AG175)</f>
        <v/>
      </c>
      <c r="W131" s="804"/>
      <c r="X131" s="804"/>
      <c r="Y131" s="804"/>
      <c r="Z131" s="157"/>
      <c r="AA131" s="519" t="str">
        <f ca="1">IF(OR('Intermediate Data'!AB175="",'Intermediate Data'!AB175="N/A"),"",'Intermediate Data'!AB175)</f>
        <v/>
      </c>
      <c r="AB131" s="111" t="str">
        <f ca="1">IF(OR('Intermediate Data'!AC175="",'Intermediate Data'!AC175="N/A"),"",'Intermediate Data'!AC175)</f>
        <v/>
      </c>
      <c r="AC131" s="519" t="str">
        <f ca="1">IF(OR('Intermediate Data'!AD175="",'Intermediate Data'!AD175="N/A"),"",'Intermediate Data'!AD175)</f>
        <v/>
      </c>
      <c r="AD131" s="111" t="str">
        <f ca="1">IF(OR('Intermediate Data'!AE175="",'Intermediate Data'!AE175="N/A"),"",'Intermediate Data'!AE175)</f>
        <v/>
      </c>
      <c r="AE131" s="161" t="str">
        <f ca="1">IF(OR('Intermediate Data'!AF175="",'Intermediate Data'!AF175="N/A"),"",'Intermediate Data'!AF175)</f>
        <v/>
      </c>
      <c r="AF131" s="520"/>
      <c r="AG131" s="805" t="str">
        <f ca="1">IF(OR('Intermediate Data'!AN175="",'Intermediate Data'!AN175="N/A"),"",'Intermediate Data'!AN175)</f>
        <v/>
      </c>
      <c r="AH131" s="805"/>
      <c r="AI131" s="805"/>
      <c r="AJ131" s="805"/>
      <c r="AK131" s="157"/>
      <c r="AL131" s="529" t="str">
        <f ca="1">IF(OR('Intermediate Data'!AI175="",'Intermediate Data'!AI175="N/A"),"",'Intermediate Data'!AI175)</f>
        <v/>
      </c>
      <c r="AM131" s="132" t="str">
        <f ca="1">IF(OR('Intermediate Data'!AJ175="",'Intermediate Data'!AJ175="N/A"),"",'Intermediate Data'!AJ175)</f>
        <v/>
      </c>
      <c r="AN131" s="529" t="str">
        <f ca="1">IF(OR('Intermediate Data'!AK175="",'Intermediate Data'!AK175="N/A"),"",'Intermediate Data'!AK175)</f>
        <v/>
      </c>
      <c r="AO131" s="132" t="str">
        <f ca="1">IF(OR('Intermediate Data'!AL175="",'Intermediate Data'!AL175="N/A"),"",'Intermediate Data'!AL175)</f>
        <v/>
      </c>
      <c r="AP131" s="163" t="str">
        <f ca="1">IF(OR('Intermediate Data'!AM175="",'Intermediate Data'!AM175="N/A"),"",'Intermediate Data'!AM175)</f>
        <v/>
      </c>
      <c r="AQ131" s="693"/>
      <c r="AR131" s="791" t="str">
        <f ca="1">IF('Intermediate Data'!AP175="","",'Intermediate Data'!AP175)</f>
        <v/>
      </c>
      <c r="AS131" s="791"/>
      <c r="AT131" s="693"/>
      <c r="AU131" s="150"/>
      <c r="AV131" s="804" t="str">
        <f ca="1">'Intermediate Data'!AQ175</f>
        <v/>
      </c>
      <c r="AW131" s="804"/>
      <c r="AX131" s="804"/>
      <c r="AY131" s="804"/>
      <c r="AZ131" s="157"/>
      <c r="BA131" s="150"/>
      <c r="BB131" s="803" t="str">
        <f ca="1">'Intermediate Data'!AR175</f>
        <v/>
      </c>
      <c r="BC131" s="803"/>
      <c r="BD131" s="803"/>
      <c r="BE131" s="803"/>
      <c r="BF131" s="692"/>
      <c r="BG131" s="31"/>
      <c r="BH131" s="31"/>
      <c r="BI131" s="30"/>
    </row>
    <row r="132" spans="1:61" x14ac:dyDescent="0.25">
      <c r="A132" s="30"/>
      <c r="B132" s="30"/>
      <c r="C132" s="30"/>
      <c r="D132" s="30"/>
      <c r="E132" s="30"/>
      <c r="F132" s="30"/>
      <c r="G132" s="30"/>
      <c r="H132" s="30"/>
      <c r="I132" s="30"/>
      <c r="J132" s="30"/>
      <c r="K132" s="30"/>
      <c r="L132" s="30"/>
      <c r="M132" s="30"/>
      <c r="N132" s="168" t="str">
        <f ca="1">'Intermediate Data'!AA176</f>
        <v>Waste disposal/Insink-erator</v>
      </c>
      <c r="O132" s="31"/>
      <c r="P132" s="31"/>
      <c r="Q132" s="31"/>
      <c r="R132" s="31"/>
      <c r="S132" s="31"/>
      <c r="T132" s="31"/>
      <c r="U132" s="148"/>
      <c r="V132" s="804" t="str">
        <f ca="1">IF(OR('Intermediate Data'!AG176="",'Intermediate Data'!AG176="N/A"),"",'Intermediate Data'!AG176)</f>
        <v/>
      </c>
      <c r="W132" s="804"/>
      <c r="X132" s="804"/>
      <c r="Y132" s="804"/>
      <c r="Z132" s="157"/>
      <c r="AA132" s="519" t="str">
        <f ca="1">IF(OR('Intermediate Data'!AB176="",'Intermediate Data'!AB176="N/A"),"",'Intermediate Data'!AB176)</f>
        <v/>
      </c>
      <c r="AB132" s="111" t="str">
        <f ca="1">IF(OR('Intermediate Data'!AC176="",'Intermediate Data'!AC176="N/A"),"",'Intermediate Data'!AC176)</f>
        <v/>
      </c>
      <c r="AC132" s="519" t="str">
        <f ca="1">IF(OR('Intermediate Data'!AD176="",'Intermediate Data'!AD176="N/A"),"",'Intermediate Data'!AD176)</f>
        <v/>
      </c>
      <c r="AD132" s="111" t="str">
        <f ca="1">IF(OR('Intermediate Data'!AE176="",'Intermediate Data'!AE176="N/A"),"",'Intermediate Data'!AE176)</f>
        <v/>
      </c>
      <c r="AE132" s="161" t="str">
        <f ca="1">IF(OR('Intermediate Data'!AF176="",'Intermediate Data'!AF176="N/A"),"",'Intermediate Data'!AF176)</f>
        <v/>
      </c>
      <c r="AF132" s="520"/>
      <c r="AG132" s="805" t="str">
        <f ca="1">IF(OR('Intermediate Data'!AN176="",'Intermediate Data'!AN176="N/A"),"",'Intermediate Data'!AN176)</f>
        <v/>
      </c>
      <c r="AH132" s="805"/>
      <c r="AI132" s="805"/>
      <c r="AJ132" s="805"/>
      <c r="AK132" s="157"/>
      <c r="AL132" s="529" t="str">
        <f ca="1">IF(OR('Intermediate Data'!AI176="",'Intermediate Data'!AI176="N/A"),"",'Intermediate Data'!AI176)</f>
        <v/>
      </c>
      <c r="AM132" s="132" t="str">
        <f ca="1">IF(OR('Intermediate Data'!AJ176="",'Intermediate Data'!AJ176="N/A"),"",'Intermediate Data'!AJ176)</f>
        <v/>
      </c>
      <c r="AN132" s="529" t="str">
        <f ca="1">IF(OR('Intermediate Data'!AK176="",'Intermediate Data'!AK176="N/A"),"",'Intermediate Data'!AK176)</f>
        <v/>
      </c>
      <c r="AO132" s="132" t="str">
        <f ca="1">IF(OR('Intermediate Data'!AL176="",'Intermediate Data'!AL176="N/A"),"",'Intermediate Data'!AL176)</f>
        <v/>
      </c>
      <c r="AP132" s="163" t="str">
        <f ca="1">IF(OR('Intermediate Data'!AM176="",'Intermediate Data'!AM176="N/A"),"",'Intermediate Data'!AM176)</f>
        <v/>
      </c>
      <c r="AQ132" s="693"/>
      <c r="AR132" s="791" t="str">
        <f ca="1">IF('Intermediate Data'!AP176="","",'Intermediate Data'!AP176)</f>
        <v/>
      </c>
      <c r="AS132" s="791"/>
      <c r="AT132" s="693"/>
      <c r="AU132" s="150"/>
      <c r="AV132" s="804" t="str">
        <f ca="1">'Intermediate Data'!AQ176</f>
        <v/>
      </c>
      <c r="AW132" s="804"/>
      <c r="AX132" s="804"/>
      <c r="AY132" s="804"/>
      <c r="AZ132" s="157"/>
      <c r="BA132" s="150"/>
      <c r="BB132" s="803" t="str">
        <f ca="1">'Intermediate Data'!AR176</f>
        <v/>
      </c>
      <c r="BC132" s="803"/>
      <c r="BD132" s="803"/>
      <c r="BE132" s="803"/>
      <c r="BF132" s="692"/>
      <c r="BG132" s="31"/>
      <c r="BH132" s="31"/>
      <c r="BI132" s="30"/>
    </row>
    <row r="133" spans="1:61" x14ac:dyDescent="0.25">
      <c r="A133" s="30"/>
      <c r="B133" s="30"/>
      <c r="C133" s="30"/>
      <c r="D133" s="30"/>
      <c r="E133" s="30"/>
      <c r="F133" s="30"/>
      <c r="G133" s="30"/>
      <c r="H133" s="30"/>
      <c r="I133" s="30"/>
      <c r="J133" s="30"/>
      <c r="K133" s="30"/>
      <c r="L133" s="30"/>
      <c r="M133" s="30"/>
      <c r="N133" s="168" t="str">
        <f ca="1">'Intermediate Data'!AA177</f>
        <v>Water cooler</v>
      </c>
      <c r="O133" s="31"/>
      <c r="P133" s="31"/>
      <c r="Q133" s="31"/>
      <c r="R133" s="31"/>
      <c r="S133" s="31"/>
      <c r="T133" s="31"/>
      <c r="U133" s="148"/>
      <c r="V133" s="804" t="str">
        <f ca="1">IF(OR('Intermediate Data'!AG177="",'Intermediate Data'!AG177="N/A"),"",'Intermediate Data'!AG177)</f>
        <v/>
      </c>
      <c r="W133" s="804"/>
      <c r="X133" s="804"/>
      <c r="Y133" s="804"/>
      <c r="Z133" s="157"/>
      <c r="AA133" s="519" t="str">
        <f ca="1">IF(OR('Intermediate Data'!AB177="",'Intermediate Data'!AB177="N/A"),"",'Intermediate Data'!AB177)</f>
        <v/>
      </c>
      <c r="AB133" s="111" t="str">
        <f ca="1">IF(OR('Intermediate Data'!AC177="",'Intermediate Data'!AC177="N/A"),"",'Intermediate Data'!AC177)</f>
        <v/>
      </c>
      <c r="AC133" s="519" t="str">
        <f ca="1">IF(OR('Intermediate Data'!AD177="",'Intermediate Data'!AD177="N/A"),"",'Intermediate Data'!AD177)</f>
        <v/>
      </c>
      <c r="AD133" s="111" t="str">
        <f ca="1">IF(OR('Intermediate Data'!AE177="",'Intermediate Data'!AE177="N/A"),"",'Intermediate Data'!AE177)</f>
        <v/>
      </c>
      <c r="AE133" s="161" t="str">
        <f ca="1">IF(OR('Intermediate Data'!AF177="",'Intermediate Data'!AF177="N/A"),"",'Intermediate Data'!AF177)</f>
        <v/>
      </c>
      <c r="AF133" s="520"/>
      <c r="AG133" s="805" t="str">
        <f ca="1">IF(OR('Intermediate Data'!AN177="",'Intermediate Data'!AN177="N/A"),"",'Intermediate Data'!AN177)</f>
        <v/>
      </c>
      <c r="AH133" s="805"/>
      <c r="AI133" s="805"/>
      <c r="AJ133" s="805"/>
      <c r="AK133" s="157"/>
      <c r="AL133" s="529" t="str">
        <f ca="1">IF(OR('Intermediate Data'!AI177="",'Intermediate Data'!AI177="N/A"),"",'Intermediate Data'!AI177)</f>
        <v/>
      </c>
      <c r="AM133" s="132" t="str">
        <f ca="1">IF(OR('Intermediate Data'!AJ177="",'Intermediate Data'!AJ177="N/A"),"",'Intermediate Data'!AJ177)</f>
        <v/>
      </c>
      <c r="AN133" s="529" t="str">
        <f ca="1">IF(OR('Intermediate Data'!AK177="",'Intermediate Data'!AK177="N/A"),"",'Intermediate Data'!AK177)</f>
        <v/>
      </c>
      <c r="AO133" s="132" t="str">
        <f ca="1">IF(OR('Intermediate Data'!AL177="",'Intermediate Data'!AL177="N/A"),"",'Intermediate Data'!AL177)</f>
        <v/>
      </c>
      <c r="AP133" s="163" t="str">
        <f ca="1">IF(OR('Intermediate Data'!AM177="",'Intermediate Data'!AM177="N/A"),"",'Intermediate Data'!AM177)</f>
        <v/>
      </c>
      <c r="AQ133" s="693"/>
      <c r="AR133" s="791" t="str">
        <f ca="1">IF('Intermediate Data'!AP177="","",'Intermediate Data'!AP177)</f>
        <v/>
      </c>
      <c r="AS133" s="791"/>
      <c r="AT133" s="693"/>
      <c r="AU133" s="150"/>
      <c r="AV133" s="804">
        <f ca="1">'Intermediate Data'!AQ177</f>
        <v>0.86</v>
      </c>
      <c r="AW133" s="804"/>
      <c r="AX133" s="804"/>
      <c r="AY133" s="804"/>
      <c r="AZ133" s="157"/>
      <c r="BA133" s="150"/>
      <c r="BB133" s="803" t="str">
        <f ca="1">'Intermediate Data'!AR177</f>
        <v/>
      </c>
      <c r="BC133" s="803"/>
      <c r="BD133" s="803"/>
      <c r="BE133" s="803"/>
      <c r="BF133" s="692"/>
      <c r="BG133" s="31"/>
      <c r="BH133" s="31"/>
      <c r="BI133" s="30"/>
    </row>
    <row r="134" spans="1:61" x14ac:dyDescent="0.25">
      <c r="A134" s="30"/>
      <c r="B134" s="30"/>
      <c r="C134" s="30"/>
      <c r="D134" s="30"/>
      <c r="E134" s="30"/>
      <c r="F134" s="30"/>
      <c r="G134" s="30"/>
      <c r="H134" s="30"/>
      <c r="I134" s="30"/>
      <c r="J134" s="30"/>
      <c r="K134" s="30"/>
      <c r="L134" s="30"/>
      <c r="M134" s="30"/>
      <c r="N134" s="168" t="str">
        <f ca="1">'Intermediate Data'!AA178</f>
        <v>Water pik</v>
      </c>
      <c r="O134" s="31"/>
      <c r="P134" s="31"/>
      <c r="Q134" s="31"/>
      <c r="R134" s="31"/>
      <c r="S134" s="31"/>
      <c r="T134" s="31"/>
      <c r="U134" s="148"/>
      <c r="V134" s="804" t="str">
        <f ca="1">IF(OR('Intermediate Data'!AG178="",'Intermediate Data'!AG178="N/A"),"",'Intermediate Data'!AG178)</f>
        <v/>
      </c>
      <c r="W134" s="804"/>
      <c r="X134" s="804"/>
      <c r="Y134" s="804"/>
      <c r="Z134" s="157"/>
      <c r="AA134" s="519" t="str">
        <f ca="1">IF(OR('Intermediate Data'!AB178="",'Intermediate Data'!AB178="N/A"),"",'Intermediate Data'!AB178)</f>
        <v/>
      </c>
      <c r="AB134" s="111" t="str">
        <f ca="1">IF(OR('Intermediate Data'!AC178="",'Intermediate Data'!AC178="N/A"),"",'Intermediate Data'!AC178)</f>
        <v/>
      </c>
      <c r="AC134" s="519" t="str">
        <f ca="1">IF(OR('Intermediate Data'!AD178="",'Intermediate Data'!AD178="N/A"),"",'Intermediate Data'!AD178)</f>
        <v/>
      </c>
      <c r="AD134" s="111" t="str">
        <f ca="1">IF(OR('Intermediate Data'!AE178="",'Intermediate Data'!AE178="N/A"),"",'Intermediate Data'!AE178)</f>
        <v/>
      </c>
      <c r="AE134" s="161" t="str">
        <f ca="1">IF(OR('Intermediate Data'!AF178="",'Intermediate Data'!AF178="N/A"),"",'Intermediate Data'!AF178)</f>
        <v/>
      </c>
      <c r="AF134" s="520"/>
      <c r="AG134" s="805" t="str">
        <f ca="1">IF(OR('Intermediate Data'!AN178="",'Intermediate Data'!AN178="N/A"),"",'Intermediate Data'!AN178)</f>
        <v/>
      </c>
      <c r="AH134" s="805"/>
      <c r="AI134" s="805"/>
      <c r="AJ134" s="805"/>
      <c r="AK134" s="157"/>
      <c r="AL134" s="529" t="str">
        <f ca="1">IF(OR('Intermediate Data'!AI178="",'Intermediate Data'!AI178="N/A"),"",'Intermediate Data'!AI178)</f>
        <v/>
      </c>
      <c r="AM134" s="132" t="str">
        <f ca="1">IF(OR('Intermediate Data'!AJ178="",'Intermediate Data'!AJ178="N/A"),"",'Intermediate Data'!AJ178)</f>
        <v/>
      </c>
      <c r="AN134" s="529" t="str">
        <f ca="1">IF(OR('Intermediate Data'!AK178="",'Intermediate Data'!AK178="N/A"),"",'Intermediate Data'!AK178)</f>
        <v/>
      </c>
      <c r="AO134" s="132" t="str">
        <f ca="1">IF(OR('Intermediate Data'!AL178="",'Intermediate Data'!AL178="N/A"),"",'Intermediate Data'!AL178)</f>
        <v/>
      </c>
      <c r="AP134" s="163" t="str">
        <f ca="1">IF(OR('Intermediate Data'!AM178="",'Intermediate Data'!AM178="N/A"),"",'Intermediate Data'!AM178)</f>
        <v/>
      </c>
      <c r="AQ134" s="693"/>
      <c r="AR134" s="791" t="str">
        <f ca="1">IF('Intermediate Data'!AP178="","",'Intermediate Data'!AP178)</f>
        <v/>
      </c>
      <c r="AS134" s="791"/>
      <c r="AT134" s="693"/>
      <c r="AU134" s="150"/>
      <c r="AV134" s="804" t="str">
        <f ca="1">'Intermediate Data'!AQ178</f>
        <v/>
      </c>
      <c r="AW134" s="804"/>
      <c r="AX134" s="804"/>
      <c r="AY134" s="804"/>
      <c r="AZ134" s="157"/>
      <c r="BA134" s="150"/>
      <c r="BB134" s="803" t="str">
        <f ca="1">'Intermediate Data'!AR178</f>
        <v/>
      </c>
      <c r="BC134" s="803"/>
      <c r="BD134" s="803"/>
      <c r="BE134" s="803"/>
      <c r="BF134" s="692"/>
      <c r="BG134" s="31"/>
      <c r="BH134" s="31"/>
      <c r="BI134" s="30"/>
    </row>
    <row r="135" spans="1:61" x14ac:dyDescent="0.25">
      <c r="A135" s="30"/>
      <c r="B135" s="30"/>
      <c r="C135" s="30"/>
      <c r="D135" s="30"/>
      <c r="E135" s="30"/>
      <c r="F135" s="30"/>
      <c r="G135" s="30"/>
      <c r="H135" s="30"/>
      <c r="I135" s="30"/>
      <c r="J135" s="30"/>
      <c r="K135" s="30"/>
      <c r="L135" s="30"/>
      <c r="M135" s="30"/>
      <c r="N135" s="168" t="str">
        <f ca="1">'Intermediate Data'!AA179</f>
        <v>Water purification system</v>
      </c>
      <c r="O135" s="31"/>
      <c r="P135" s="31"/>
      <c r="Q135" s="31"/>
      <c r="R135" s="31"/>
      <c r="S135" s="31"/>
      <c r="T135" s="31"/>
      <c r="U135" s="148"/>
      <c r="V135" s="804">
        <f ca="1">IF(OR('Intermediate Data'!AG179="",'Intermediate Data'!AG179="N/A"),"",'Intermediate Data'!AG179)</f>
        <v>0.11920247516332187</v>
      </c>
      <c r="W135" s="804"/>
      <c r="X135" s="804"/>
      <c r="Y135" s="804"/>
      <c r="Z135" s="157"/>
      <c r="AA135" s="519" t="str">
        <f ca="1">IF(OR('Intermediate Data'!AB179="",'Intermediate Data'!AB179="N/A"),"",'Intermediate Data'!AB179)</f>
        <v/>
      </c>
      <c r="AB135" s="111">
        <f ca="1">IF(OR('Intermediate Data'!AC179="",'Intermediate Data'!AC179="N/A"),"",'Intermediate Data'!AC179)</f>
        <v>0.12553651882592351</v>
      </c>
      <c r="AC135" s="519" t="str">
        <f ca="1">IF(OR('Intermediate Data'!AD179="",'Intermediate Data'!AD179="N/A"),"",'Intermediate Data'!AD179)</f>
        <v/>
      </c>
      <c r="AD135" s="111">
        <f ca="1">IF(OR('Intermediate Data'!AE179="",'Intermediate Data'!AE179="N/A"),"",'Intermediate Data'!AE179)</f>
        <v>0.11920247516332187</v>
      </c>
      <c r="AE135" s="161" t="str">
        <f ca="1">IF(OR('Intermediate Data'!AF179="",'Intermediate Data'!AF179="N/A"),"",'Intermediate Data'!AF179)</f>
        <v/>
      </c>
      <c r="AF135" s="520"/>
      <c r="AG135" s="805">
        <f ca="1">IF(OR('Intermediate Data'!AN179="",'Intermediate Data'!AN179="N/A"),"",'Intermediate Data'!AN179)</f>
        <v>0.12462942452101058</v>
      </c>
      <c r="AH135" s="805"/>
      <c r="AI135" s="805"/>
      <c r="AJ135" s="805"/>
      <c r="AK135" s="157"/>
      <c r="AL135" s="529" t="str">
        <f ca="1">IF(OR('Intermediate Data'!AI179="",'Intermediate Data'!AI179="N/A"),"",'Intermediate Data'!AI179)</f>
        <v/>
      </c>
      <c r="AM135" s="132">
        <f ca="1">IF(OR('Intermediate Data'!AJ179="",'Intermediate Data'!AJ179="N/A"),"",'Intermediate Data'!AJ179)</f>
        <v>0.13013292421855396</v>
      </c>
      <c r="AN135" s="529" t="str">
        <f ca="1">IF(OR('Intermediate Data'!AK179="",'Intermediate Data'!AK179="N/A"),"",'Intermediate Data'!AK179)</f>
        <v/>
      </c>
      <c r="AO135" s="132">
        <f ca="1">IF(OR('Intermediate Data'!AL179="",'Intermediate Data'!AL179="N/A"),"",'Intermediate Data'!AL179)</f>
        <v>0.12462942452101058</v>
      </c>
      <c r="AP135" s="163" t="str">
        <f ca="1">IF(OR('Intermediate Data'!AM179="",'Intermediate Data'!AM179="N/A"),"",'Intermediate Data'!AM179)</f>
        <v/>
      </c>
      <c r="AQ135" s="693"/>
      <c r="AR135" s="791" t="str">
        <f ca="1">IF('Intermediate Data'!AP179="","",'Intermediate Data'!AP179)</f>
        <v/>
      </c>
      <c r="AS135" s="791"/>
      <c r="AT135" s="693"/>
      <c r="AU135" s="150"/>
      <c r="AV135" s="804" t="str">
        <f ca="1">'Intermediate Data'!AQ179</f>
        <v/>
      </c>
      <c r="AW135" s="804"/>
      <c r="AX135" s="804"/>
      <c r="AY135" s="804"/>
      <c r="AZ135" s="157"/>
      <c r="BA135" s="150"/>
      <c r="BB135" s="803" t="str">
        <f ca="1">'Intermediate Data'!AR179</f>
        <v/>
      </c>
      <c r="BC135" s="803"/>
      <c r="BD135" s="803"/>
      <c r="BE135" s="803"/>
      <c r="BF135" s="692"/>
      <c r="BG135" s="31"/>
      <c r="BH135" s="31"/>
      <c r="BI135" s="30"/>
    </row>
    <row r="136" spans="1:61" x14ac:dyDescent="0.25">
      <c r="A136" s="30"/>
      <c r="B136" s="30"/>
      <c r="C136" s="30"/>
      <c r="D136" s="30"/>
      <c r="E136" s="30"/>
      <c r="F136" s="30"/>
      <c r="G136" s="30"/>
      <c r="H136" s="30"/>
      <c r="I136" s="30"/>
      <c r="J136" s="30"/>
      <c r="K136" s="30"/>
      <c r="L136" s="30"/>
      <c r="M136" s="30"/>
      <c r="N136" s="168" t="str">
        <f ca="1">'Intermediate Data'!AA180</f>
        <v>Water softener</v>
      </c>
      <c r="O136" s="31"/>
      <c r="P136" s="31"/>
      <c r="Q136" s="31"/>
      <c r="R136" s="31"/>
      <c r="S136" s="31"/>
      <c r="T136" s="31"/>
      <c r="U136" s="148"/>
      <c r="V136" s="804" t="str">
        <f ca="1">IF(OR('Intermediate Data'!AG180="",'Intermediate Data'!AG180="N/A"),"",'Intermediate Data'!AG180)</f>
        <v/>
      </c>
      <c r="W136" s="804"/>
      <c r="X136" s="804"/>
      <c r="Y136" s="804"/>
      <c r="Z136" s="157"/>
      <c r="AA136" s="519" t="str">
        <f ca="1">IF(OR('Intermediate Data'!AB180="",'Intermediate Data'!AB180="N/A"),"",'Intermediate Data'!AB180)</f>
        <v/>
      </c>
      <c r="AB136" s="111" t="str">
        <f ca="1">IF(OR('Intermediate Data'!AC180="",'Intermediate Data'!AC180="N/A"),"",'Intermediate Data'!AC180)</f>
        <v/>
      </c>
      <c r="AC136" s="519" t="str">
        <f ca="1">IF(OR('Intermediate Data'!AD180="",'Intermediate Data'!AD180="N/A"),"",'Intermediate Data'!AD180)</f>
        <v/>
      </c>
      <c r="AD136" s="111" t="str">
        <f ca="1">IF(OR('Intermediate Data'!AE180="",'Intermediate Data'!AE180="N/A"),"",'Intermediate Data'!AE180)</f>
        <v/>
      </c>
      <c r="AE136" s="161" t="str">
        <f ca="1">IF(OR('Intermediate Data'!AF180="",'Intermediate Data'!AF180="N/A"),"",'Intermediate Data'!AF180)</f>
        <v/>
      </c>
      <c r="AF136" s="520"/>
      <c r="AG136" s="805" t="str">
        <f ca="1">IF(OR('Intermediate Data'!AN180="",'Intermediate Data'!AN180="N/A"),"",'Intermediate Data'!AN180)</f>
        <v/>
      </c>
      <c r="AH136" s="805"/>
      <c r="AI136" s="805"/>
      <c r="AJ136" s="805"/>
      <c r="AK136" s="157"/>
      <c r="AL136" s="162" t="str">
        <f ca="1">IF(OR('Intermediate Data'!AI180="",'Intermediate Data'!AI180="N/A"),"",'Intermediate Data'!AI180)</f>
        <v/>
      </c>
      <c r="AM136" s="132" t="str">
        <f ca="1">IF(OR('Intermediate Data'!AJ180="",'Intermediate Data'!AJ180="N/A"),"",'Intermediate Data'!AJ180)</f>
        <v/>
      </c>
      <c r="AN136" s="162" t="str">
        <f ca="1">IF(OR('Intermediate Data'!AK180="",'Intermediate Data'!AK180="N/A"),"",'Intermediate Data'!AK180)</f>
        <v/>
      </c>
      <c r="AO136" s="132" t="str">
        <f ca="1">IF(OR('Intermediate Data'!AL180="",'Intermediate Data'!AL180="N/A"),"",'Intermediate Data'!AL180)</f>
        <v/>
      </c>
      <c r="AP136" s="163" t="str">
        <f ca="1">IF(OR('Intermediate Data'!AM180="",'Intermediate Data'!AM180="N/A"),"",'Intermediate Data'!AM180)</f>
        <v/>
      </c>
      <c r="AQ136" s="693"/>
      <c r="AR136" s="791" t="str">
        <f ca="1">IF('Intermediate Data'!AP180="","",'Intermediate Data'!AP180)</f>
        <v/>
      </c>
      <c r="AS136" s="791"/>
      <c r="AT136" s="693"/>
      <c r="AU136" s="150"/>
      <c r="AV136" s="804" t="str">
        <f ca="1">'Intermediate Data'!AQ180</f>
        <v/>
      </c>
      <c r="AW136" s="804"/>
      <c r="AX136" s="804"/>
      <c r="AY136" s="804"/>
      <c r="AZ136" s="157"/>
      <c r="BA136" s="150"/>
      <c r="BB136" s="803" t="str">
        <f ca="1">'Intermediate Data'!AR180</f>
        <v/>
      </c>
      <c r="BC136" s="803"/>
      <c r="BD136" s="803"/>
      <c r="BE136" s="803"/>
      <c r="BF136" s="692"/>
      <c r="BG136" s="31"/>
      <c r="BH136" s="31"/>
      <c r="BI136" s="30"/>
    </row>
    <row r="137" spans="1:61" x14ac:dyDescent="0.25">
      <c r="A137" s="30"/>
      <c r="B137" s="30"/>
      <c r="C137" s="30"/>
      <c r="D137" s="30"/>
      <c r="E137" s="30"/>
      <c r="F137" s="30"/>
      <c r="G137" s="30"/>
      <c r="H137" s="30"/>
      <c r="I137" s="30"/>
      <c r="J137" s="30"/>
      <c r="K137" s="30"/>
      <c r="L137" s="30"/>
      <c r="M137" s="30"/>
      <c r="N137" s="168" t="str">
        <f ca="1">'Intermediate Data'!AA181</f>
        <v>Waterbed heater</v>
      </c>
      <c r="O137" s="31"/>
      <c r="P137" s="31"/>
      <c r="Q137" s="31"/>
      <c r="R137" s="31"/>
      <c r="S137" s="31"/>
      <c r="T137" s="31"/>
      <c r="U137" s="148"/>
      <c r="V137" s="804">
        <f ca="1">IF(OR('Intermediate Data'!AG181="",'Intermediate Data'!AG181="N/A"),"",'Intermediate Data'!AG181)</f>
        <v>1.6462975021171413E-2</v>
      </c>
      <c r="W137" s="804"/>
      <c r="X137" s="804"/>
      <c r="Y137" s="804"/>
      <c r="Z137" s="157"/>
      <c r="AA137" s="162" t="str">
        <f ca="1">IF(OR('Intermediate Data'!AB181="",'Intermediate Data'!AB181="N/A"),"",'Intermediate Data'!AB181)</f>
        <v/>
      </c>
      <c r="AB137" s="111">
        <f ca="1">IF(OR('Intermediate Data'!AC181="",'Intermediate Data'!AC181="N/A"),"",'Intermediate Data'!AC181)</f>
        <v>1.6462975021171413E-2</v>
      </c>
      <c r="AC137" s="162" t="str">
        <f ca="1">IF(OR('Intermediate Data'!AD181="",'Intermediate Data'!AD181="N/A"),"",'Intermediate Data'!AD181)</f>
        <v/>
      </c>
      <c r="AD137" s="111" t="str">
        <f ca="1">IF(OR('Intermediate Data'!AE181="",'Intermediate Data'!AE181="N/A"),"",'Intermediate Data'!AE181)</f>
        <v/>
      </c>
      <c r="AE137" s="161" t="str">
        <f ca="1">IF(OR('Intermediate Data'!AF181="",'Intermediate Data'!AF181="N/A"),"",'Intermediate Data'!AF181)</f>
        <v/>
      </c>
      <c r="AF137" s="150"/>
      <c r="AG137" s="805">
        <f ca="1">IF(OR('Intermediate Data'!AN181="",'Intermediate Data'!AN181="N/A"),"",'Intermediate Data'!AN181)</f>
        <v>1.8311989128922661E-2</v>
      </c>
      <c r="AH137" s="805"/>
      <c r="AI137" s="805"/>
      <c r="AJ137" s="805"/>
      <c r="AK137" s="157"/>
      <c r="AL137" s="162" t="str">
        <f ca="1">IF(OR('Intermediate Data'!AI181="",'Intermediate Data'!AI181="N/A"),"",'Intermediate Data'!AI181)</f>
        <v/>
      </c>
      <c r="AM137" s="132">
        <f ca="1">IF(OR('Intermediate Data'!AJ181="",'Intermediate Data'!AJ181="N/A"),"",'Intermediate Data'!AJ181)</f>
        <v>1.8311989128922661E-2</v>
      </c>
      <c r="AN137" s="162" t="str">
        <f ca="1">IF(OR('Intermediate Data'!AK181="",'Intermediate Data'!AK181="N/A"),"",'Intermediate Data'!AK181)</f>
        <v/>
      </c>
      <c r="AO137" s="132" t="str">
        <f ca="1">IF(OR('Intermediate Data'!AL181="",'Intermediate Data'!AL181="N/A"),"",'Intermediate Data'!AL181)</f>
        <v/>
      </c>
      <c r="AP137" s="163" t="str">
        <f ca="1">IF(OR('Intermediate Data'!AM181="",'Intermediate Data'!AM181="N/A"),"",'Intermediate Data'!AM181)</f>
        <v/>
      </c>
      <c r="AQ137" s="693"/>
      <c r="AR137" s="791" t="str">
        <f ca="1">IF('Intermediate Data'!AP181="","",'Intermediate Data'!AP181)</f>
        <v/>
      </c>
      <c r="AS137" s="791"/>
      <c r="AT137" s="693"/>
      <c r="AU137" s="150"/>
      <c r="AV137" s="804" t="str">
        <f ca="1">'Intermediate Data'!AQ181</f>
        <v/>
      </c>
      <c r="AW137" s="804"/>
      <c r="AX137" s="804"/>
      <c r="AY137" s="804"/>
      <c r="AZ137" s="157"/>
      <c r="BA137" s="150"/>
      <c r="BB137" s="803" t="str">
        <f ca="1">'Intermediate Data'!AR181</f>
        <v/>
      </c>
      <c r="BC137" s="803"/>
      <c r="BD137" s="803"/>
      <c r="BE137" s="803"/>
      <c r="BF137" s="692"/>
      <c r="BG137" s="31"/>
      <c r="BH137" s="31"/>
      <c r="BI137" s="30"/>
    </row>
    <row r="138" spans="1:61" x14ac:dyDescent="0.25">
      <c r="A138" s="30"/>
      <c r="B138" s="30"/>
      <c r="C138" s="30"/>
      <c r="D138" s="30"/>
      <c r="E138" s="30"/>
      <c r="F138" s="30"/>
      <c r="G138" s="30"/>
      <c r="H138" s="30"/>
      <c r="I138" s="30"/>
      <c r="J138" s="30"/>
      <c r="K138" s="30"/>
      <c r="L138" s="30"/>
      <c r="M138" s="30"/>
      <c r="N138" s="168" t="str">
        <f ca="1">'Intermediate Data'!AA182</f>
        <v>Well pump</v>
      </c>
      <c r="O138" s="31"/>
      <c r="P138" s="31"/>
      <c r="Q138" s="31"/>
      <c r="R138" s="31"/>
      <c r="S138" s="31"/>
      <c r="T138" s="31"/>
      <c r="U138" s="148"/>
      <c r="V138" s="804">
        <f ca="1">IF(OR('Intermediate Data'!AG182="",'Intermediate Data'!AG182="N/A"),"",'Intermediate Data'!AG182)</f>
        <v>4.8249721149431955E-2</v>
      </c>
      <c r="W138" s="804"/>
      <c r="X138" s="804"/>
      <c r="Y138" s="804"/>
      <c r="Z138" s="157"/>
      <c r="AA138" s="162" t="str">
        <f ca="1">IF(OR('Intermediate Data'!AB182="",'Intermediate Data'!AB182="N/A"),"",'Intermediate Data'!AB182)</f>
        <v/>
      </c>
      <c r="AB138" s="111">
        <f ca="1">IF(OR('Intermediate Data'!AC182="",'Intermediate Data'!AC182="N/A"),"",'Intermediate Data'!AC182)</f>
        <v>4.2697321490251315E-2</v>
      </c>
      <c r="AC138" s="162" t="str">
        <f ca="1">IF(OR('Intermediate Data'!AD182="",'Intermediate Data'!AD182="N/A"),"",'Intermediate Data'!AD182)</f>
        <v/>
      </c>
      <c r="AD138" s="111">
        <f ca="1">IF(OR('Intermediate Data'!AE182="",'Intermediate Data'!AE182="N/A"),"",'Intermediate Data'!AE182)</f>
        <v>4.8249721149431955E-2</v>
      </c>
      <c r="AE138" s="161" t="str">
        <f ca="1">IF(OR('Intermediate Data'!AF182="",'Intermediate Data'!AF182="N/A"),"",'Intermediate Data'!AF182)</f>
        <v/>
      </c>
      <c r="AF138" s="150"/>
      <c r="AG138" s="805" t="str">
        <f ca="1">IF(OR('Intermediate Data'!AN182="",'Intermediate Data'!AN182="N/A"),"",'Intermediate Data'!AN182)</f>
        <v/>
      </c>
      <c r="AH138" s="805"/>
      <c r="AI138" s="805"/>
      <c r="AJ138" s="805"/>
      <c r="AK138" s="157"/>
      <c r="AL138" s="162" t="str">
        <f ca="1">IF(OR('Intermediate Data'!AI182="",'Intermediate Data'!AI182="N/A"),"",'Intermediate Data'!AI182)</f>
        <v/>
      </c>
      <c r="AM138" s="132" t="str">
        <f ca="1">IF(OR('Intermediate Data'!AJ182="",'Intermediate Data'!AJ182="N/A"),"",'Intermediate Data'!AJ182)</f>
        <v/>
      </c>
      <c r="AN138" s="162" t="str">
        <f ca="1">IF(OR('Intermediate Data'!AK182="",'Intermediate Data'!AK182="N/A"),"",'Intermediate Data'!AK182)</f>
        <v/>
      </c>
      <c r="AO138" s="132" t="str">
        <f ca="1">IF(OR('Intermediate Data'!AL182="",'Intermediate Data'!AL182="N/A"),"",'Intermediate Data'!AL182)</f>
        <v/>
      </c>
      <c r="AP138" s="163" t="str">
        <f ca="1">IF(OR('Intermediate Data'!AM182="",'Intermediate Data'!AM182="N/A"),"",'Intermediate Data'!AM182)</f>
        <v/>
      </c>
      <c r="AQ138" s="693"/>
      <c r="AR138" s="791" t="str">
        <f ca="1">IF('Intermediate Data'!AP182="","",'Intermediate Data'!AP182)</f>
        <v/>
      </c>
      <c r="AS138" s="791"/>
      <c r="AT138" s="693"/>
      <c r="AU138" s="150"/>
      <c r="AV138" s="804" t="str">
        <f ca="1">'Intermediate Data'!AQ182</f>
        <v/>
      </c>
      <c r="AW138" s="804"/>
      <c r="AX138" s="804"/>
      <c r="AY138" s="804"/>
      <c r="AZ138" s="157"/>
      <c r="BA138" s="150"/>
      <c r="BB138" s="803" t="str">
        <f ca="1">'Intermediate Data'!AR182</f>
        <v/>
      </c>
      <c r="BC138" s="803"/>
      <c r="BD138" s="803"/>
      <c r="BE138" s="803"/>
      <c r="BF138" s="692"/>
      <c r="BG138" s="31"/>
      <c r="BH138" s="31"/>
      <c r="BI138" s="30"/>
    </row>
    <row r="139" spans="1:61" x14ac:dyDescent="0.25">
      <c r="A139" s="30"/>
      <c r="B139" s="30"/>
      <c r="C139" s="30"/>
      <c r="D139" s="30"/>
      <c r="E139" s="30"/>
      <c r="F139" s="30"/>
      <c r="G139" s="30"/>
      <c r="H139" s="30"/>
      <c r="I139" s="30"/>
      <c r="J139" s="30"/>
      <c r="K139" s="30"/>
      <c r="L139" s="30"/>
      <c r="M139" s="30"/>
      <c r="N139" s="691" t="str">
        <f ca="1">'Intermediate Data'!AA183</f>
        <v>Whole house fan</v>
      </c>
      <c r="O139" s="31"/>
      <c r="P139" s="31"/>
      <c r="Q139" s="31"/>
      <c r="R139" s="31"/>
      <c r="S139" s="31"/>
      <c r="T139" s="31"/>
      <c r="U139" s="148"/>
      <c r="V139" s="804">
        <f ca="1">IF(OR('Intermediate Data'!AG183="",'Intermediate Data'!AG183="N/A"),"",'Intermediate Data'!AG183)</f>
        <v>8.1236690667794473E-2</v>
      </c>
      <c r="W139" s="804"/>
      <c r="X139" s="804"/>
      <c r="Y139" s="804"/>
      <c r="Z139" s="157"/>
      <c r="AA139" s="162" t="str">
        <f ca="1">IF(OR('Intermediate Data'!AB183="",'Intermediate Data'!AB183="N/A"),"",'Intermediate Data'!AB183)</f>
        <v/>
      </c>
      <c r="AB139" s="111">
        <f ca="1">IF(OR('Intermediate Data'!AC183="",'Intermediate Data'!AC183="N/A"),"",'Intermediate Data'!AC183)</f>
        <v>5.4250870976928683E-2</v>
      </c>
      <c r="AC139" s="162" t="str">
        <f ca="1">IF(OR('Intermediate Data'!AD183="",'Intermediate Data'!AD183="N/A"),"",'Intermediate Data'!AD183)</f>
        <v/>
      </c>
      <c r="AD139" s="111">
        <f ca="1">IF(OR('Intermediate Data'!AE183="",'Intermediate Data'!AE183="N/A"),"",'Intermediate Data'!AE183)</f>
        <v>8.1236690667794473E-2</v>
      </c>
      <c r="AE139" s="161" t="str">
        <f ca="1">IF(OR('Intermediate Data'!AF183="",'Intermediate Data'!AF183="N/A"),"",'Intermediate Data'!AF183)</f>
        <v/>
      </c>
      <c r="AF139" s="150"/>
      <c r="AG139" s="805">
        <f ca="1">IF(OR('Intermediate Data'!AN183="",'Intermediate Data'!AN183="N/A"),"",'Intermediate Data'!AN183)</f>
        <v>9.528722267960521E-2</v>
      </c>
      <c r="AH139" s="805"/>
      <c r="AI139" s="805"/>
      <c r="AJ139" s="805"/>
      <c r="AK139" s="157"/>
      <c r="AL139" s="162" t="str">
        <f ca="1">IF(OR('Intermediate Data'!AI183="",'Intermediate Data'!AI183="N/A"),"",'Intermediate Data'!AI183)</f>
        <v/>
      </c>
      <c r="AM139" s="132">
        <f ca="1">IF(OR('Intermediate Data'!AJ183="",'Intermediate Data'!AJ183="N/A"),"",'Intermediate Data'!AJ183)</f>
        <v>5.8847064787650047E-2</v>
      </c>
      <c r="AN139" s="162" t="str">
        <f ca="1">IF(OR('Intermediate Data'!AK183="",'Intermediate Data'!AK183="N/A"),"",'Intermediate Data'!AK183)</f>
        <v/>
      </c>
      <c r="AO139" s="132">
        <f ca="1">IF(OR('Intermediate Data'!AL183="",'Intermediate Data'!AL183="N/A"),"",'Intermediate Data'!AL183)</f>
        <v>9.528722267960521E-2</v>
      </c>
      <c r="AP139" s="163" t="str">
        <f ca="1">IF(OR('Intermediate Data'!AM183="",'Intermediate Data'!AM183="N/A"),"",'Intermediate Data'!AM183)</f>
        <v/>
      </c>
      <c r="AQ139" s="693"/>
      <c r="AR139" s="791" t="str">
        <f ca="1">IF('Intermediate Data'!AP183="","",'Intermediate Data'!AP183)</f>
        <v/>
      </c>
      <c r="AS139" s="791"/>
      <c r="AT139" s="693"/>
      <c r="AU139" s="150"/>
      <c r="AV139" s="804" t="str">
        <f ca="1">'Intermediate Data'!AQ183</f>
        <v/>
      </c>
      <c r="AW139" s="804"/>
      <c r="AX139" s="804"/>
      <c r="AY139" s="804"/>
      <c r="AZ139" s="157"/>
      <c r="BA139" s="150"/>
      <c r="BB139" s="803" t="str">
        <f ca="1">'Intermediate Data'!AR183</f>
        <v/>
      </c>
      <c r="BC139" s="803"/>
      <c r="BD139" s="803"/>
      <c r="BE139" s="803"/>
      <c r="BF139" s="692"/>
      <c r="BG139" s="31"/>
      <c r="BH139" s="31"/>
      <c r="BI139" s="30"/>
    </row>
    <row r="140" spans="1:61" x14ac:dyDescent="0.25">
      <c r="A140" s="30"/>
      <c r="B140" s="30"/>
      <c r="C140" s="30"/>
      <c r="D140" s="30"/>
      <c r="E140" s="30"/>
      <c r="F140" s="30"/>
      <c r="G140" s="30"/>
      <c r="H140" s="30"/>
      <c r="I140" s="30"/>
      <c r="J140" s="30"/>
      <c r="K140" s="30"/>
      <c r="L140" s="30"/>
      <c r="M140" s="30"/>
      <c r="N140" s="691" t="str">
        <f ca="1">'Intermediate Data'!AA184</f>
        <v/>
      </c>
      <c r="O140" s="31"/>
      <c r="P140" s="31"/>
      <c r="Q140" s="31"/>
      <c r="R140" s="31"/>
      <c r="S140" s="31"/>
      <c r="T140" s="31"/>
      <c r="U140" s="148"/>
      <c r="V140" s="804" t="str">
        <f ca="1">IF(OR('Intermediate Data'!AG184="",'Intermediate Data'!AG184="N/A"),"",'Intermediate Data'!AG184)</f>
        <v/>
      </c>
      <c r="W140" s="804"/>
      <c r="X140" s="804"/>
      <c r="Y140" s="804"/>
      <c r="Z140" s="157"/>
      <c r="AA140" s="162" t="str">
        <f ca="1">IF(OR('Intermediate Data'!AB184="",'Intermediate Data'!AB184="N/A"),"",'Intermediate Data'!AB184)</f>
        <v/>
      </c>
      <c r="AB140" s="111" t="str">
        <f ca="1">IF(OR('Intermediate Data'!AC184="",'Intermediate Data'!AC184="N/A"),"",'Intermediate Data'!AC184)</f>
        <v/>
      </c>
      <c r="AC140" s="162" t="str">
        <f ca="1">IF(OR('Intermediate Data'!AD184="",'Intermediate Data'!AD184="N/A"),"",'Intermediate Data'!AD184)</f>
        <v/>
      </c>
      <c r="AD140" s="111" t="str">
        <f ca="1">IF(OR('Intermediate Data'!AE184="",'Intermediate Data'!AE184="N/A"),"",'Intermediate Data'!AE184)</f>
        <v/>
      </c>
      <c r="AE140" s="161" t="str">
        <f ca="1">IF(OR('Intermediate Data'!AF184="",'Intermediate Data'!AF184="N/A"),"",'Intermediate Data'!AF184)</f>
        <v/>
      </c>
      <c r="AF140" s="150"/>
      <c r="AG140" s="805" t="str">
        <f ca="1">IF(OR('Intermediate Data'!AN184="",'Intermediate Data'!AN184="N/A"),"",'Intermediate Data'!AN184)</f>
        <v/>
      </c>
      <c r="AH140" s="805"/>
      <c r="AI140" s="805"/>
      <c r="AJ140" s="805"/>
      <c r="AK140" s="157"/>
      <c r="AL140" s="162" t="str">
        <f ca="1">IF(OR('Intermediate Data'!AI184="",'Intermediate Data'!AI184="N/A"),"",'Intermediate Data'!AI184)</f>
        <v/>
      </c>
      <c r="AM140" s="132" t="str">
        <f ca="1">IF(OR('Intermediate Data'!AJ184="",'Intermediate Data'!AJ184="N/A"),"",'Intermediate Data'!AJ184)</f>
        <v/>
      </c>
      <c r="AN140" s="162" t="str">
        <f ca="1">IF(OR('Intermediate Data'!AK184="",'Intermediate Data'!AK184="N/A"),"",'Intermediate Data'!AK184)</f>
        <v/>
      </c>
      <c r="AO140" s="132" t="str">
        <f ca="1">IF(OR('Intermediate Data'!AL184="",'Intermediate Data'!AL184="N/A"),"",'Intermediate Data'!AL184)</f>
        <v/>
      </c>
      <c r="AP140" s="163" t="str">
        <f ca="1">IF(OR('Intermediate Data'!AM184="",'Intermediate Data'!AM184="N/A"),"",'Intermediate Data'!AM184)</f>
        <v/>
      </c>
      <c r="AQ140" s="693"/>
      <c r="AR140" s="791" t="str">
        <f ca="1">IF('Intermediate Data'!AP184="","",'Intermediate Data'!AP184)</f>
        <v/>
      </c>
      <c r="AS140" s="791"/>
      <c r="AT140" s="693"/>
      <c r="AU140" s="150"/>
      <c r="AV140" s="804" t="str">
        <f ca="1">'Intermediate Data'!AQ184</f>
        <v/>
      </c>
      <c r="AW140" s="804"/>
      <c r="AX140" s="804"/>
      <c r="AY140" s="804"/>
      <c r="AZ140" s="157"/>
      <c r="BA140" s="150"/>
      <c r="BB140" s="803" t="str">
        <f ca="1">'Intermediate Data'!AR184</f>
        <v/>
      </c>
      <c r="BC140" s="803"/>
      <c r="BD140" s="803"/>
      <c r="BE140" s="803"/>
      <c r="BF140" s="692"/>
      <c r="BG140" s="31"/>
      <c r="BH140" s="31"/>
      <c r="BI140" s="30"/>
    </row>
    <row r="141" spans="1:61" x14ac:dyDescent="0.25">
      <c r="A141" s="30"/>
      <c r="B141" s="30"/>
      <c r="C141" s="30"/>
      <c r="D141" s="30"/>
      <c r="E141" s="30"/>
      <c r="F141" s="30"/>
      <c r="G141" s="30"/>
      <c r="H141" s="30"/>
      <c r="I141" s="30"/>
      <c r="J141" s="30"/>
      <c r="K141" s="30"/>
      <c r="L141" s="30"/>
      <c r="M141" s="30"/>
      <c r="N141" s="168" t="str">
        <f ca="1">'Intermediate Data'!AA185</f>
        <v/>
      </c>
      <c r="O141" s="31"/>
      <c r="P141" s="31"/>
      <c r="Q141" s="31"/>
      <c r="R141" s="31"/>
      <c r="S141" s="31"/>
      <c r="T141" s="31"/>
      <c r="U141" s="148"/>
      <c r="V141" s="809" t="str">
        <f ca="1">IF(OR('Intermediate Data'!AG185="",'Intermediate Data'!AG185="N/A"),"",'Intermediate Data'!AG185)</f>
        <v/>
      </c>
      <c r="W141" s="804"/>
      <c r="X141" s="804"/>
      <c r="Y141" s="804"/>
      <c r="Z141" s="157"/>
      <c r="AA141" s="162" t="str">
        <f ca="1">IF(OR('Intermediate Data'!AB185="",'Intermediate Data'!AB185="N/A"),"",'Intermediate Data'!AB185)</f>
        <v/>
      </c>
      <c r="AB141" s="111" t="str">
        <f ca="1">IF(OR('Intermediate Data'!AC185="",'Intermediate Data'!AC185="N/A"),"",'Intermediate Data'!AC185)</f>
        <v/>
      </c>
      <c r="AC141" s="162" t="str">
        <f ca="1">IF(OR('Intermediate Data'!AD185="",'Intermediate Data'!AD185="N/A"),"",'Intermediate Data'!AD185)</f>
        <v/>
      </c>
      <c r="AD141" s="111" t="str">
        <f ca="1">IF(OR('Intermediate Data'!AE185="",'Intermediate Data'!AE185="N/A"),"",'Intermediate Data'!AE185)</f>
        <v/>
      </c>
      <c r="AE141" s="161" t="str">
        <f ca="1">IF(OR('Intermediate Data'!AF185="",'Intermediate Data'!AF185="N/A"),"",'Intermediate Data'!AF185)</f>
        <v/>
      </c>
      <c r="AF141" s="150"/>
      <c r="AG141" s="810" t="str">
        <f ca="1">IF(OR('Intermediate Data'!AN185="",'Intermediate Data'!AN185="N/A"),"",'Intermediate Data'!AN185)</f>
        <v/>
      </c>
      <c r="AH141" s="805"/>
      <c r="AI141" s="805"/>
      <c r="AJ141" s="805"/>
      <c r="AK141" s="157"/>
      <c r="AL141" s="162" t="str">
        <f ca="1">IF(OR('Intermediate Data'!AI185="",'Intermediate Data'!AI185="N/A"),"",'Intermediate Data'!AI185)</f>
        <v/>
      </c>
      <c r="AM141" s="132" t="str">
        <f ca="1">IF(OR('Intermediate Data'!AJ185="",'Intermediate Data'!AJ185="N/A"),"",'Intermediate Data'!AJ185)</f>
        <v/>
      </c>
      <c r="AN141" s="162" t="str">
        <f ca="1">IF(OR('Intermediate Data'!AK185="",'Intermediate Data'!AK185="N/A"),"",'Intermediate Data'!AK185)</f>
        <v/>
      </c>
      <c r="AO141" s="132" t="str">
        <f ca="1">IF(OR('Intermediate Data'!AL185="",'Intermediate Data'!AL185="N/A"),"",'Intermediate Data'!AL185)</f>
        <v/>
      </c>
      <c r="AP141" s="163" t="str">
        <f ca="1">IF(OR('Intermediate Data'!AM185="",'Intermediate Data'!AM185="N/A"),"",'Intermediate Data'!AM185)</f>
        <v/>
      </c>
      <c r="AQ141" s="693"/>
      <c r="AR141" s="791" t="str">
        <f ca="1">IF('Intermediate Data'!AP185="","",'Intermediate Data'!AP185)</f>
        <v/>
      </c>
      <c r="AS141" s="791"/>
      <c r="AT141" s="693"/>
      <c r="AU141" s="150"/>
      <c r="AV141" s="809" t="str">
        <f ca="1">'Intermediate Data'!AQ185</f>
        <v/>
      </c>
      <c r="AW141" s="804"/>
      <c r="AX141" s="804"/>
      <c r="AY141" s="804"/>
      <c r="AZ141" s="157"/>
      <c r="BA141" s="150"/>
      <c r="BB141" s="811" t="str">
        <f ca="1">'Intermediate Data'!AR185</f>
        <v/>
      </c>
      <c r="BC141" s="803"/>
      <c r="BD141" s="803"/>
      <c r="BE141" s="803"/>
      <c r="BF141" s="692"/>
      <c r="BG141" s="31"/>
      <c r="BH141" s="31"/>
      <c r="BI141" s="30"/>
    </row>
    <row r="142" spans="1:61" hidden="1" x14ac:dyDescent="0.25">
      <c r="A142" s="30"/>
      <c r="B142" s="30"/>
      <c r="C142" s="30"/>
      <c r="D142" s="30"/>
      <c r="E142" s="30"/>
      <c r="F142" s="30"/>
      <c r="G142" s="30"/>
      <c r="H142" s="30"/>
      <c r="I142" s="30"/>
      <c r="J142" s="30"/>
      <c r="K142" s="30"/>
      <c r="L142" s="30"/>
      <c r="M142" s="30"/>
      <c r="N142" s="168" t="str">
        <f ca="1">'Intermediate Data'!AA186</f>
        <v/>
      </c>
      <c r="O142" s="31"/>
      <c r="P142" s="31"/>
      <c r="Q142" s="31"/>
      <c r="R142" s="31"/>
      <c r="S142" s="31"/>
      <c r="T142" s="31"/>
      <c r="U142" s="148"/>
      <c r="V142" s="809" t="str">
        <f ca="1">IF(OR('Intermediate Data'!AG186="",'Intermediate Data'!AG186="N/A"),"",'Intermediate Data'!AG186)</f>
        <v/>
      </c>
      <c r="W142" s="804"/>
      <c r="X142" s="804"/>
      <c r="Y142" s="804"/>
      <c r="Z142" s="157"/>
      <c r="AA142" s="162" t="str">
        <f ca="1">IF(OR('Intermediate Data'!AB186="",'Intermediate Data'!AB186="N/A"),"",'Intermediate Data'!AB186)</f>
        <v/>
      </c>
      <c r="AB142" s="111" t="str">
        <f ca="1">IF(OR('Intermediate Data'!AC186="",'Intermediate Data'!AC186="N/A"),"",'Intermediate Data'!AC186)</f>
        <v/>
      </c>
      <c r="AC142" s="162" t="str">
        <f ca="1">IF(OR('Intermediate Data'!AD186="",'Intermediate Data'!AD186="N/A"),"",'Intermediate Data'!AD186)</f>
        <v/>
      </c>
      <c r="AD142" s="111" t="str">
        <f ca="1">IF(OR('Intermediate Data'!AE186="",'Intermediate Data'!AE186="N/A"),"",'Intermediate Data'!AE186)</f>
        <v/>
      </c>
      <c r="AE142" s="161" t="str">
        <f ca="1">IF(OR('Intermediate Data'!AF186="",'Intermediate Data'!AF186="N/A"),"",'Intermediate Data'!AF186)</f>
        <v/>
      </c>
      <c r="AF142" s="150"/>
      <c r="AG142" s="810" t="str">
        <f ca="1">IF(OR('Intermediate Data'!AN186="",'Intermediate Data'!AN186="N/A"),"",'Intermediate Data'!AN186)</f>
        <v/>
      </c>
      <c r="AH142" s="805"/>
      <c r="AI142" s="805"/>
      <c r="AJ142" s="805"/>
      <c r="AK142" s="157"/>
      <c r="AL142" s="162" t="str">
        <f ca="1">IF(OR('Intermediate Data'!AI186="",'Intermediate Data'!AI186="N/A"),"",'Intermediate Data'!AI186)</f>
        <v/>
      </c>
      <c r="AM142" s="132" t="str">
        <f ca="1">IF(OR('Intermediate Data'!AJ186="",'Intermediate Data'!AJ186="N/A"),"",'Intermediate Data'!AJ186)</f>
        <v/>
      </c>
      <c r="AN142" s="162" t="str">
        <f ca="1">IF(OR('Intermediate Data'!AK186="",'Intermediate Data'!AK186="N/A"),"",'Intermediate Data'!AK186)</f>
        <v/>
      </c>
      <c r="AO142" s="132" t="str">
        <f ca="1">IF(OR('Intermediate Data'!AL186="",'Intermediate Data'!AL186="N/A"),"",'Intermediate Data'!AL186)</f>
        <v/>
      </c>
      <c r="AP142" s="163" t="str">
        <f ca="1">IF(OR('Intermediate Data'!AM186="",'Intermediate Data'!AM186="N/A"),"",'Intermediate Data'!AM186)</f>
        <v/>
      </c>
      <c r="AQ142" s="693"/>
      <c r="AR142" s="791" t="str">
        <f ca="1">IF('Intermediate Data'!AP186="","",'Intermediate Data'!AP186)</f>
        <v/>
      </c>
      <c r="AS142" s="791"/>
      <c r="AT142" s="693"/>
      <c r="AU142" s="150"/>
      <c r="AV142" s="809" t="str">
        <f ca="1">'Intermediate Data'!AQ186</f>
        <v/>
      </c>
      <c r="AW142" s="804"/>
      <c r="AX142" s="804"/>
      <c r="AY142" s="804"/>
      <c r="AZ142" s="157"/>
      <c r="BA142" s="150"/>
      <c r="BB142" s="811" t="str">
        <f ca="1">'Intermediate Data'!AR186</f>
        <v/>
      </c>
      <c r="BC142" s="803"/>
      <c r="BD142" s="803"/>
      <c r="BE142" s="803"/>
      <c r="BF142" s="692"/>
      <c r="BG142" s="31"/>
      <c r="BH142" s="31"/>
      <c r="BI142" s="30"/>
    </row>
    <row r="143" spans="1:61" hidden="1" x14ac:dyDescent="0.25">
      <c r="A143" s="30"/>
      <c r="B143" s="30"/>
      <c r="C143" s="30"/>
      <c r="D143" s="30"/>
      <c r="E143" s="30"/>
      <c r="F143" s="30"/>
      <c r="G143" s="30"/>
      <c r="H143" s="30"/>
      <c r="I143" s="30"/>
      <c r="J143" s="30"/>
      <c r="K143" s="30"/>
      <c r="L143" s="30"/>
      <c r="M143" s="30"/>
      <c r="N143" s="168" t="str">
        <f ca="1">'Intermediate Data'!AA187</f>
        <v/>
      </c>
      <c r="O143" s="31"/>
      <c r="P143" s="31"/>
      <c r="Q143" s="31"/>
      <c r="R143" s="31"/>
      <c r="S143" s="31"/>
      <c r="T143" s="31"/>
      <c r="U143" s="148"/>
      <c r="V143" s="809" t="str">
        <f ca="1">IF(OR('Intermediate Data'!AG187="",'Intermediate Data'!AG187="N/A"),"",'Intermediate Data'!AG187)</f>
        <v/>
      </c>
      <c r="W143" s="804"/>
      <c r="X143" s="804"/>
      <c r="Y143" s="804"/>
      <c r="Z143" s="157"/>
      <c r="AA143" s="162" t="str">
        <f ca="1">IF(OR('Intermediate Data'!AB187="",'Intermediate Data'!AB187="N/A"),"",'Intermediate Data'!AB187)</f>
        <v/>
      </c>
      <c r="AB143" s="111" t="str">
        <f ca="1">IF(OR('Intermediate Data'!AC187="",'Intermediate Data'!AC187="N/A"),"",'Intermediate Data'!AC187)</f>
        <v/>
      </c>
      <c r="AC143" s="162" t="str">
        <f ca="1">IF(OR('Intermediate Data'!AD187="",'Intermediate Data'!AD187="N/A"),"",'Intermediate Data'!AD187)</f>
        <v/>
      </c>
      <c r="AD143" s="111" t="str">
        <f ca="1">IF(OR('Intermediate Data'!AE187="",'Intermediate Data'!AE187="N/A"),"",'Intermediate Data'!AE187)</f>
        <v/>
      </c>
      <c r="AE143" s="161" t="str">
        <f ca="1">IF(OR('Intermediate Data'!AF187="",'Intermediate Data'!AF187="N/A"),"",'Intermediate Data'!AF187)</f>
        <v/>
      </c>
      <c r="AF143" s="150"/>
      <c r="AG143" s="810" t="str">
        <f ca="1">IF(OR('Intermediate Data'!AN187="",'Intermediate Data'!AN187="N/A"),"",'Intermediate Data'!AN187)</f>
        <v/>
      </c>
      <c r="AH143" s="805"/>
      <c r="AI143" s="805"/>
      <c r="AJ143" s="805"/>
      <c r="AK143" s="157"/>
      <c r="AL143" s="162" t="str">
        <f ca="1">IF(OR('Intermediate Data'!AI187="",'Intermediate Data'!AI187="N/A"),"",'Intermediate Data'!AI187)</f>
        <v/>
      </c>
      <c r="AM143" s="132" t="str">
        <f ca="1">IF(OR('Intermediate Data'!AJ187="",'Intermediate Data'!AJ187="N/A"),"",'Intermediate Data'!AJ187)</f>
        <v/>
      </c>
      <c r="AN143" s="162" t="str">
        <f ca="1">IF(OR('Intermediate Data'!AK187="",'Intermediate Data'!AK187="N/A"),"",'Intermediate Data'!AK187)</f>
        <v/>
      </c>
      <c r="AO143" s="132" t="str">
        <f ca="1">IF(OR('Intermediate Data'!AL187="",'Intermediate Data'!AL187="N/A"),"",'Intermediate Data'!AL187)</f>
        <v/>
      </c>
      <c r="AP143" s="163" t="str">
        <f ca="1">IF(OR('Intermediate Data'!AM187="",'Intermediate Data'!AM187="N/A"),"",'Intermediate Data'!AM187)</f>
        <v/>
      </c>
      <c r="AQ143" s="693"/>
      <c r="AR143" s="791" t="str">
        <f ca="1">IF('Intermediate Data'!AP187="","",'Intermediate Data'!AP187)</f>
        <v/>
      </c>
      <c r="AS143" s="791"/>
      <c r="AT143" s="693"/>
      <c r="AU143" s="150"/>
      <c r="AV143" s="809" t="str">
        <f ca="1">'Intermediate Data'!AQ187</f>
        <v/>
      </c>
      <c r="AW143" s="804"/>
      <c r="AX143" s="804"/>
      <c r="AY143" s="804"/>
      <c r="AZ143" s="157"/>
      <c r="BA143" s="150"/>
      <c r="BB143" s="811" t="str">
        <f ca="1">'Intermediate Data'!AR187</f>
        <v/>
      </c>
      <c r="BC143" s="803"/>
      <c r="BD143" s="803"/>
      <c r="BE143" s="803"/>
      <c r="BF143" s="692"/>
      <c r="BG143" s="31"/>
      <c r="BH143" s="31"/>
      <c r="BI143" s="30"/>
    </row>
    <row r="144" spans="1:61" hidden="1" x14ac:dyDescent="0.25">
      <c r="A144" s="30"/>
      <c r="B144" s="30"/>
      <c r="C144" s="30"/>
      <c r="D144" s="30"/>
      <c r="E144" s="30"/>
      <c r="F144" s="30"/>
      <c r="G144" s="30"/>
      <c r="H144" s="30"/>
      <c r="I144" s="30"/>
      <c r="J144" s="30"/>
      <c r="K144" s="30"/>
      <c r="L144" s="30"/>
      <c r="M144" s="30"/>
      <c r="N144" s="168" t="str">
        <f ca="1">'Intermediate Data'!AA188</f>
        <v/>
      </c>
      <c r="O144" s="31"/>
      <c r="P144" s="31"/>
      <c r="Q144" s="31"/>
      <c r="R144" s="31"/>
      <c r="S144" s="31"/>
      <c r="T144" s="31"/>
      <c r="U144" s="148"/>
      <c r="V144" s="809" t="str">
        <f ca="1">IF(OR('Intermediate Data'!AG188="",'Intermediate Data'!AG188="N/A"),"",'Intermediate Data'!AG188)</f>
        <v/>
      </c>
      <c r="W144" s="804"/>
      <c r="X144" s="804"/>
      <c r="Y144" s="804"/>
      <c r="Z144" s="157"/>
      <c r="AA144" s="162" t="str">
        <f ca="1">IF(OR('Intermediate Data'!AB188="",'Intermediate Data'!AB188="N/A"),"",'Intermediate Data'!AB188)</f>
        <v/>
      </c>
      <c r="AB144" s="111" t="str">
        <f ca="1">IF(OR('Intermediate Data'!AC188="",'Intermediate Data'!AC188="N/A"),"",'Intermediate Data'!AC188)</f>
        <v/>
      </c>
      <c r="AC144" s="162" t="str">
        <f ca="1">IF(OR('Intermediate Data'!AD188="",'Intermediate Data'!AD188="N/A"),"",'Intermediate Data'!AD188)</f>
        <v/>
      </c>
      <c r="AD144" s="111" t="str">
        <f ca="1">IF(OR('Intermediate Data'!AE188="",'Intermediate Data'!AE188="N/A"),"",'Intermediate Data'!AE188)</f>
        <v/>
      </c>
      <c r="AE144" s="161" t="str">
        <f ca="1">IF(OR('Intermediate Data'!AF188="",'Intermediate Data'!AF188="N/A"),"",'Intermediate Data'!AF188)</f>
        <v/>
      </c>
      <c r="AF144" s="150"/>
      <c r="AG144" s="810" t="str">
        <f ca="1">IF(OR('Intermediate Data'!AN188="",'Intermediate Data'!AN188="N/A"),"",'Intermediate Data'!AN188)</f>
        <v/>
      </c>
      <c r="AH144" s="805"/>
      <c r="AI144" s="805"/>
      <c r="AJ144" s="805"/>
      <c r="AK144" s="157"/>
      <c r="AL144" s="162" t="str">
        <f ca="1">IF(OR('Intermediate Data'!AI188="",'Intermediate Data'!AI188="N/A"),"",'Intermediate Data'!AI188)</f>
        <v/>
      </c>
      <c r="AM144" s="132" t="str">
        <f ca="1">IF(OR('Intermediate Data'!AJ188="",'Intermediate Data'!AJ188="N/A"),"",'Intermediate Data'!AJ188)</f>
        <v/>
      </c>
      <c r="AN144" s="162" t="str">
        <f ca="1">IF(OR('Intermediate Data'!AK188="",'Intermediate Data'!AK188="N/A"),"",'Intermediate Data'!AK188)</f>
        <v/>
      </c>
      <c r="AO144" s="132" t="str">
        <f ca="1">IF(OR('Intermediate Data'!AL188="",'Intermediate Data'!AL188="N/A"),"",'Intermediate Data'!AL188)</f>
        <v/>
      </c>
      <c r="AP144" s="163" t="str">
        <f ca="1">IF(OR('Intermediate Data'!AM188="",'Intermediate Data'!AM188="N/A"),"",'Intermediate Data'!AM188)</f>
        <v/>
      </c>
      <c r="AQ144" s="693"/>
      <c r="AR144" s="791" t="str">
        <f ca="1">IF('Intermediate Data'!AP188="","",'Intermediate Data'!AP188)</f>
        <v/>
      </c>
      <c r="AS144" s="791"/>
      <c r="AT144" s="693"/>
      <c r="AU144" s="150"/>
      <c r="AV144" s="809" t="str">
        <f ca="1">'Intermediate Data'!AQ188</f>
        <v/>
      </c>
      <c r="AW144" s="804"/>
      <c r="AX144" s="804"/>
      <c r="AY144" s="804"/>
      <c r="AZ144" s="157"/>
      <c r="BA144" s="150"/>
      <c r="BB144" s="811" t="str">
        <f ca="1">'Intermediate Data'!AR188</f>
        <v/>
      </c>
      <c r="BC144" s="803"/>
      <c r="BD144" s="803"/>
      <c r="BE144" s="803"/>
      <c r="BF144" s="692"/>
      <c r="BG144" s="31"/>
      <c r="BH144" s="31"/>
      <c r="BI144" s="30"/>
    </row>
    <row r="145" spans="1:61" hidden="1" x14ac:dyDescent="0.25">
      <c r="A145" s="30"/>
      <c r="B145" s="30"/>
      <c r="C145" s="30"/>
      <c r="D145" s="30"/>
      <c r="E145" s="30"/>
      <c r="F145" s="30"/>
      <c r="G145" s="30"/>
      <c r="H145" s="30"/>
      <c r="I145" s="30"/>
      <c r="J145" s="30"/>
      <c r="K145" s="30"/>
      <c r="L145" s="30"/>
      <c r="M145" s="30"/>
      <c r="N145" s="168" t="str">
        <f ca="1">'Intermediate Data'!AA189</f>
        <v/>
      </c>
      <c r="O145" s="31"/>
      <c r="P145" s="31"/>
      <c r="Q145" s="31"/>
      <c r="R145" s="31"/>
      <c r="S145" s="31"/>
      <c r="T145" s="31"/>
      <c r="U145" s="148"/>
      <c r="V145" s="809" t="str">
        <f ca="1">IF(OR('Intermediate Data'!AG189="",'Intermediate Data'!AG189="N/A"),"",'Intermediate Data'!AG189)</f>
        <v/>
      </c>
      <c r="W145" s="804"/>
      <c r="X145" s="804"/>
      <c r="Y145" s="804"/>
      <c r="Z145" s="157"/>
      <c r="AA145" s="162" t="str">
        <f ca="1">IF(OR('Intermediate Data'!AB189="",'Intermediate Data'!AB189="N/A"),"",'Intermediate Data'!AB189)</f>
        <v/>
      </c>
      <c r="AB145" s="111" t="str">
        <f ca="1">IF(OR('Intermediate Data'!AC189="",'Intermediate Data'!AC189="N/A"),"",'Intermediate Data'!AC189)</f>
        <v/>
      </c>
      <c r="AC145" s="162" t="str">
        <f ca="1">IF(OR('Intermediate Data'!AD189="",'Intermediate Data'!AD189="N/A"),"",'Intermediate Data'!AD189)</f>
        <v/>
      </c>
      <c r="AD145" s="111" t="str">
        <f ca="1">IF(OR('Intermediate Data'!AE189="",'Intermediate Data'!AE189="N/A"),"",'Intermediate Data'!AE189)</f>
        <v/>
      </c>
      <c r="AE145" s="161" t="str">
        <f ca="1">IF(OR('Intermediate Data'!AF189="",'Intermediate Data'!AF189="N/A"),"",'Intermediate Data'!AF189)</f>
        <v/>
      </c>
      <c r="AF145" s="150"/>
      <c r="AG145" s="810" t="str">
        <f ca="1">IF(OR('Intermediate Data'!AN189="",'Intermediate Data'!AN189="N/A"),"",'Intermediate Data'!AN189)</f>
        <v/>
      </c>
      <c r="AH145" s="805"/>
      <c r="AI145" s="805"/>
      <c r="AJ145" s="805"/>
      <c r="AK145" s="157"/>
      <c r="AL145" s="162" t="str">
        <f ca="1">IF(OR('Intermediate Data'!AI189="",'Intermediate Data'!AI189="N/A"),"",'Intermediate Data'!AI189)</f>
        <v/>
      </c>
      <c r="AM145" s="132" t="str">
        <f ca="1">IF(OR('Intermediate Data'!AJ189="",'Intermediate Data'!AJ189="N/A"),"",'Intermediate Data'!AJ189)</f>
        <v/>
      </c>
      <c r="AN145" s="162" t="str">
        <f ca="1">IF(OR('Intermediate Data'!AK189="",'Intermediate Data'!AK189="N/A"),"",'Intermediate Data'!AK189)</f>
        <v/>
      </c>
      <c r="AO145" s="132" t="str">
        <f ca="1">IF(OR('Intermediate Data'!AL189="",'Intermediate Data'!AL189="N/A"),"",'Intermediate Data'!AL189)</f>
        <v/>
      </c>
      <c r="AP145" s="163" t="str">
        <f ca="1">IF(OR('Intermediate Data'!AM189="",'Intermediate Data'!AM189="N/A"),"",'Intermediate Data'!AM189)</f>
        <v/>
      </c>
      <c r="AQ145" s="693"/>
      <c r="AR145" s="791" t="str">
        <f ca="1">IF('Intermediate Data'!AP189="","",'Intermediate Data'!AP189)</f>
        <v/>
      </c>
      <c r="AS145" s="791"/>
      <c r="AT145" s="693"/>
      <c r="AU145" s="150"/>
      <c r="AV145" s="809" t="str">
        <f ca="1">'Intermediate Data'!AQ189</f>
        <v/>
      </c>
      <c r="AW145" s="804"/>
      <c r="AX145" s="804"/>
      <c r="AY145" s="804"/>
      <c r="AZ145" s="157"/>
      <c r="BA145" s="150"/>
      <c r="BB145" s="811" t="str">
        <f ca="1">'Intermediate Data'!AR189</f>
        <v/>
      </c>
      <c r="BC145" s="803"/>
      <c r="BD145" s="803"/>
      <c r="BE145" s="803"/>
      <c r="BF145" s="692"/>
      <c r="BG145" s="31"/>
      <c r="BH145" s="31"/>
      <c r="BI145" s="30"/>
    </row>
    <row r="146" spans="1:61" hidden="1" x14ac:dyDescent="0.25">
      <c r="A146" s="30"/>
      <c r="B146" s="30"/>
      <c r="C146" s="30"/>
      <c r="D146" s="30"/>
      <c r="E146" s="30"/>
      <c r="F146" s="30"/>
      <c r="G146" s="30"/>
      <c r="H146" s="30"/>
      <c r="I146" s="30"/>
      <c r="J146" s="30"/>
      <c r="K146" s="30"/>
      <c r="L146" s="30"/>
      <c r="M146" s="30"/>
      <c r="N146" s="168" t="str">
        <f ca="1">'Intermediate Data'!AA190</f>
        <v/>
      </c>
      <c r="O146" s="31"/>
      <c r="P146" s="31"/>
      <c r="Q146" s="31"/>
      <c r="R146" s="31"/>
      <c r="S146" s="31"/>
      <c r="T146" s="31"/>
      <c r="U146" s="148"/>
      <c r="V146" s="809" t="str">
        <f ca="1">IF(OR('Intermediate Data'!AG190="",'Intermediate Data'!AG190="N/A"),"",'Intermediate Data'!AG190)</f>
        <v/>
      </c>
      <c r="W146" s="804"/>
      <c r="X146" s="804"/>
      <c r="Y146" s="804"/>
      <c r="Z146" s="157"/>
      <c r="AA146" s="162" t="str">
        <f ca="1">IF(OR('Intermediate Data'!AB190="",'Intermediate Data'!AB190="N/A"),"",'Intermediate Data'!AB190)</f>
        <v/>
      </c>
      <c r="AB146" s="111" t="str">
        <f ca="1">IF(OR('Intermediate Data'!AC190="",'Intermediate Data'!AC190="N/A"),"",'Intermediate Data'!AC190)</f>
        <v/>
      </c>
      <c r="AC146" s="162" t="str">
        <f ca="1">IF(OR('Intermediate Data'!AD190="",'Intermediate Data'!AD190="N/A"),"",'Intermediate Data'!AD190)</f>
        <v/>
      </c>
      <c r="AD146" s="111" t="str">
        <f ca="1">IF(OR('Intermediate Data'!AE190="",'Intermediate Data'!AE190="N/A"),"",'Intermediate Data'!AE190)</f>
        <v/>
      </c>
      <c r="AE146" s="161" t="str">
        <f ca="1">IF(OR('Intermediate Data'!AF190="",'Intermediate Data'!AF190="N/A"),"",'Intermediate Data'!AF190)</f>
        <v/>
      </c>
      <c r="AF146" s="150"/>
      <c r="AG146" s="810" t="str">
        <f ca="1">IF(OR('Intermediate Data'!AN190="",'Intermediate Data'!AN190="N/A"),"",'Intermediate Data'!AN190)</f>
        <v/>
      </c>
      <c r="AH146" s="805"/>
      <c r="AI146" s="805"/>
      <c r="AJ146" s="805"/>
      <c r="AK146" s="157"/>
      <c r="AL146" s="162" t="str">
        <f ca="1">IF(OR('Intermediate Data'!AI190="",'Intermediate Data'!AI190="N/A"),"",'Intermediate Data'!AI190)</f>
        <v/>
      </c>
      <c r="AM146" s="132" t="str">
        <f ca="1">IF(OR('Intermediate Data'!AJ190="",'Intermediate Data'!AJ190="N/A"),"",'Intermediate Data'!AJ190)</f>
        <v/>
      </c>
      <c r="AN146" s="162" t="str">
        <f ca="1">IF(OR('Intermediate Data'!AK190="",'Intermediate Data'!AK190="N/A"),"",'Intermediate Data'!AK190)</f>
        <v/>
      </c>
      <c r="AO146" s="132" t="str">
        <f ca="1">IF(OR('Intermediate Data'!AL190="",'Intermediate Data'!AL190="N/A"),"",'Intermediate Data'!AL190)</f>
        <v/>
      </c>
      <c r="AP146" s="163" t="str">
        <f ca="1">IF(OR('Intermediate Data'!AM190="",'Intermediate Data'!AM190="N/A"),"",'Intermediate Data'!AM190)</f>
        <v/>
      </c>
      <c r="AQ146" s="693"/>
      <c r="AR146" s="791" t="str">
        <f ca="1">IF('Intermediate Data'!AP190="","",'Intermediate Data'!AP190)</f>
        <v/>
      </c>
      <c r="AS146" s="791"/>
      <c r="AT146" s="693"/>
      <c r="AU146" s="150"/>
      <c r="AV146" s="809" t="str">
        <f ca="1">'Intermediate Data'!AQ190</f>
        <v/>
      </c>
      <c r="AW146" s="804"/>
      <c r="AX146" s="804"/>
      <c r="AY146" s="804"/>
      <c r="AZ146" s="157"/>
      <c r="BA146" s="150"/>
      <c r="BB146" s="811" t="str">
        <f ca="1">'Intermediate Data'!AR190</f>
        <v/>
      </c>
      <c r="BC146" s="803"/>
      <c r="BD146" s="803"/>
      <c r="BE146" s="803"/>
      <c r="BF146" s="692"/>
      <c r="BG146" s="31"/>
      <c r="BH146" s="31"/>
      <c r="BI146" s="30"/>
    </row>
    <row r="147" spans="1:61" hidden="1" x14ac:dyDescent="0.25">
      <c r="A147" s="30"/>
      <c r="B147" s="30"/>
      <c r="C147" s="30"/>
      <c r="D147" s="30"/>
      <c r="E147" s="30"/>
      <c r="F147" s="30"/>
      <c r="G147" s="30"/>
      <c r="H147" s="30"/>
      <c r="I147" s="30"/>
      <c r="J147" s="30"/>
      <c r="K147" s="30"/>
      <c r="L147" s="30"/>
      <c r="M147" s="30"/>
      <c r="N147" s="168" t="str">
        <f ca="1">'Intermediate Data'!AA191</f>
        <v/>
      </c>
      <c r="O147" s="31"/>
      <c r="P147" s="31"/>
      <c r="Q147" s="31"/>
      <c r="R147" s="31"/>
      <c r="S147" s="31"/>
      <c r="T147" s="31"/>
      <c r="U147" s="148"/>
      <c r="V147" s="809" t="str">
        <f ca="1">IF(OR('Intermediate Data'!AG191="",'Intermediate Data'!AG191="N/A"),"",'Intermediate Data'!AG191)</f>
        <v/>
      </c>
      <c r="W147" s="804"/>
      <c r="X147" s="804"/>
      <c r="Y147" s="804"/>
      <c r="Z147" s="157"/>
      <c r="AA147" s="162" t="str">
        <f ca="1">IF(OR('Intermediate Data'!AB191="",'Intermediate Data'!AB191="N/A"),"",'Intermediate Data'!AB191)</f>
        <v/>
      </c>
      <c r="AB147" s="111" t="str">
        <f ca="1">IF(OR('Intermediate Data'!AC191="",'Intermediate Data'!AC191="N/A"),"",'Intermediate Data'!AC191)</f>
        <v/>
      </c>
      <c r="AC147" s="162" t="str">
        <f ca="1">IF(OR('Intermediate Data'!AD191="",'Intermediate Data'!AD191="N/A"),"",'Intermediate Data'!AD191)</f>
        <v/>
      </c>
      <c r="AD147" s="111" t="str">
        <f ca="1">IF(OR('Intermediate Data'!AE191="",'Intermediate Data'!AE191="N/A"),"",'Intermediate Data'!AE191)</f>
        <v/>
      </c>
      <c r="AE147" s="161" t="str">
        <f ca="1">IF(OR('Intermediate Data'!AF191="",'Intermediate Data'!AF191="N/A"),"",'Intermediate Data'!AF191)</f>
        <v/>
      </c>
      <c r="AF147" s="150"/>
      <c r="AG147" s="810" t="str">
        <f ca="1">IF(OR('Intermediate Data'!AN191="",'Intermediate Data'!AN191="N/A"),"",'Intermediate Data'!AN191)</f>
        <v/>
      </c>
      <c r="AH147" s="805"/>
      <c r="AI147" s="805"/>
      <c r="AJ147" s="805"/>
      <c r="AK147" s="157"/>
      <c r="AL147" s="162" t="str">
        <f ca="1">IF(OR('Intermediate Data'!AI191="",'Intermediate Data'!AI191="N/A"),"",'Intermediate Data'!AI191)</f>
        <v/>
      </c>
      <c r="AM147" s="132" t="str">
        <f ca="1">IF(OR('Intermediate Data'!AJ191="",'Intermediate Data'!AJ191="N/A"),"",'Intermediate Data'!AJ191)</f>
        <v/>
      </c>
      <c r="AN147" s="162" t="str">
        <f ca="1">IF(OR('Intermediate Data'!AK191="",'Intermediate Data'!AK191="N/A"),"",'Intermediate Data'!AK191)</f>
        <v/>
      </c>
      <c r="AO147" s="132" t="str">
        <f ca="1">IF(OR('Intermediate Data'!AL191="",'Intermediate Data'!AL191="N/A"),"",'Intermediate Data'!AL191)</f>
        <v/>
      </c>
      <c r="AP147" s="163" t="str">
        <f ca="1">IF(OR('Intermediate Data'!AM191="",'Intermediate Data'!AM191="N/A"),"",'Intermediate Data'!AM191)</f>
        <v/>
      </c>
      <c r="AQ147" s="693"/>
      <c r="AR147" s="791" t="str">
        <f ca="1">IF('Intermediate Data'!AP191="","",'Intermediate Data'!AP191)</f>
        <v/>
      </c>
      <c r="AS147" s="791"/>
      <c r="AT147" s="693"/>
      <c r="AU147" s="150"/>
      <c r="AV147" s="809" t="str">
        <f ca="1">'Intermediate Data'!AQ191</f>
        <v/>
      </c>
      <c r="AW147" s="804"/>
      <c r="AX147" s="804"/>
      <c r="AY147" s="804"/>
      <c r="AZ147" s="157"/>
      <c r="BA147" s="150"/>
      <c r="BB147" s="811" t="str">
        <f ca="1">'Intermediate Data'!AR191</f>
        <v/>
      </c>
      <c r="BC147" s="803"/>
      <c r="BD147" s="803"/>
      <c r="BE147" s="803"/>
      <c r="BF147" s="692"/>
      <c r="BG147" s="31"/>
      <c r="BH147" s="31"/>
      <c r="BI147" s="30"/>
    </row>
    <row r="148" spans="1:61" hidden="1" x14ac:dyDescent="0.25">
      <c r="A148" s="30"/>
      <c r="B148" s="30"/>
      <c r="C148" s="30"/>
      <c r="D148" s="30"/>
      <c r="E148" s="30"/>
      <c r="F148" s="30"/>
      <c r="G148" s="30"/>
      <c r="H148" s="30"/>
      <c r="I148" s="30"/>
      <c r="J148" s="30"/>
      <c r="K148" s="30"/>
      <c r="L148" s="30"/>
      <c r="M148" s="30"/>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30"/>
      <c r="BH148" s="30"/>
      <c r="BI148" s="30"/>
    </row>
    <row r="149" spans="1:61" hidden="1" x14ac:dyDescent="0.25">
      <c r="A149" s="30"/>
      <c r="B149" s="30"/>
      <c r="C149" s="30"/>
      <c r="D149" s="30"/>
      <c r="E149" s="30"/>
      <c r="F149" s="30"/>
      <c r="G149" s="30"/>
      <c r="H149" s="30"/>
      <c r="I149" s="30"/>
      <c r="J149" s="30"/>
      <c r="K149" s="30"/>
      <c r="L149" s="30"/>
      <c r="M149" s="30"/>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30"/>
      <c r="BH149" s="30"/>
    </row>
    <row r="150" spans="1:61" hidden="1" x14ac:dyDescent="0.25">
      <c r="A150" s="30"/>
      <c r="B150" s="30"/>
      <c r="C150" s="30"/>
      <c r="D150" s="30"/>
      <c r="E150" s="30"/>
      <c r="F150" s="30"/>
      <c r="G150" s="30"/>
      <c r="H150" s="30"/>
      <c r="I150" s="30"/>
      <c r="J150" s="30"/>
      <c r="K150" s="30"/>
      <c r="L150" s="30"/>
      <c r="M150" s="30"/>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30"/>
      <c r="BH150" s="30"/>
    </row>
    <row r="151" spans="1:61" hidden="1" x14ac:dyDescent="0.25">
      <c r="A151" s="30"/>
      <c r="B151" s="30"/>
      <c r="C151" s="30"/>
      <c r="D151" s="30"/>
      <c r="E151" s="30"/>
      <c r="F151" s="30"/>
      <c r="G151" s="30"/>
      <c r="H151" s="30"/>
      <c r="I151" s="30"/>
      <c r="J151" s="30"/>
      <c r="K151" s="30"/>
      <c r="L151" s="30"/>
      <c r="M151" s="30"/>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30"/>
      <c r="BH151" s="30"/>
    </row>
    <row r="152" spans="1:61" hidden="1" x14ac:dyDescent="0.25">
      <c r="A152" s="30"/>
      <c r="B152" s="30"/>
      <c r="C152" s="30"/>
      <c r="D152" s="30"/>
      <c r="E152" s="30"/>
      <c r="F152" s="30"/>
      <c r="G152" s="30"/>
      <c r="H152" s="30"/>
      <c r="I152" s="30"/>
      <c r="J152" s="30"/>
      <c r="K152" s="30"/>
      <c r="L152" s="30"/>
      <c r="M152" s="30"/>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30"/>
      <c r="BH152" s="30"/>
    </row>
    <row r="153" spans="1:61" hidden="1" x14ac:dyDescent="0.25">
      <c r="A153" s="30"/>
      <c r="B153" s="30"/>
      <c r="C153" s="30"/>
      <c r="D153" s="30"/>
      <c r="E153" s="30"/>
      <c r="F153" s="30"/>
      <c r="G153" s="30"/>
      <c r="H153" s="30"/>
      <c r="I153" s="30"/>
      <c r="J153" s="30"/>
      <c r="K153" s="30"/>
      <c r="L153" s="30"/>
      <c r="M153" s="30"/>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30"/>
      <c r="BH153" s="30"/>
    </row>
    <row r="154" spans="1:61" hidden="1" x14ac:dyDescent="0.25">
      <c r="A154" s="30"/>
      <c r="B154" s="30"/>
      <c r="C154" s="30"/>
      <c r="D154" s="30"/>
      <c r="E154" s="30"/>
      <c r="F154" s="30"/>
      <c r="G154" s="30"/>
      <c r="H154" s="30"/>
      <c r="I154" s="30"/>
      <c r="J154" s="30"/>
      <c r="K154" s="30"/>
      <c r="L154" s="30"/>
      <c r="M154" s="30"/>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30"/>
      <c r="BH154" s="30"/>
    </row>
    <row r="155" spans="1:61" hidden="1" x14ac:dyDescent="0.25"/>
    <row r="156" spans="1:61" hidden="1" x14ac:dyDescent="0.25"/>
    <row r="157" spans="1:61" hidden="1" x14ac:dyDescent="0.25"/>
    <row r="158" spans="1:61" hidden="1" x14ac:dyDescent="0.25"/>
    <row r="159" spans="1:61" hidden="1" x14ac:dyDescent="0.25"/>
    <row r="160" spans="1:61"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sheetData>
  <sheetProtection algorithmName="SHA-512" hashValue="Mxx9t6wHf4vGXYYFOgQf3WedXcba5Rvx3t/SxjzgM0j7nn0jvRi6qH20iMiB19y2DQIsJ26iLvpLRJ2Lx3aOLg==" saltValue="f6m2USyoZfgx9KgL+gZKvQ==" spinCount="100000" sheet="1" objects="1" scenarios="1"/>
  <mergeCells count="697">
    <mergeCell ref="V143:Y143"/>
    <mergeCell ref="AG143:AJ143"/>
    <mergeCell ref="AV143:AY143"/>
    <mergeCell ref="BB143:BE143"/>
    <mergeCell ref="V140:Y140"/>
    <mergeCell ref="AG140:AJ140"/>
    <mergeCell ref="AV140:AY140"/>
    <mergeCell ref="BB140:BE140"/>
    <mergeCell ref="V141:Y141"/>
    <mergeCell ref="AG141:AJ141"/>
    <mergeCell ref="AV141:AY141"/>
    <mergeCell ref="BB141:BE141"/>
    <mergeCell ref="V142:Y142"/>
    <mergeCell ref="AG142:AJ142"/>
    <mergeCell ref="AV142:AY142"/>
    <mergeCell ref="BB142:BE142"/>
    <mergeCell ref="AR140:AS140"/>
    <mergeCell ref="AR141:AS141"/>
    <mergeCell ref="AR142:AS142"/>
    <mergeCell ref="AR143:AS143"/>
    <mergeCell ref="V146:Y146"/>
    <mergeCell ref="AG146:AJ146"/>
    <mergeCell ref="AV146:AY146"/>
    <mergeCell ref="BB146:BE146"/>
    <mergeCell ref="V147:Y147"/>
    <mergeCell ref="AG147:AJ147"/>
    <mergeCell ref="AV147:AY147"/>
    <mergeCell ref="BB147:BE147"/>
    <mergeCell ref="V144:Y144"/>
    <mergeCell ref="AG144:AJ144"/>
    <mergeCell ref="AV144:AY144"/>
    <mergeCell ref="BB144:BE144"/>
    <mergeCell ref="V145:Y145"/>
    <mergeCell ref="AG145:AJ145"/>
    <mergeCell ref="AV145:AY145"/>
    <mergeCell ref="BB145:BE145"/>
    <mergeCell ref="AR144:AS144"/>
    <mergeCell ref="AR145:AS145"/>
    <mergeCell ref="AR146:AS146"/>
    <mergeCell ref="AR147:AS147"/>
    <mergeCell ref="V137:Y137"/>
    <mergeCell ref="AG137:AJ137"/>
    <mergeCell ref="AV137:AY137"/>
    <mergeCell ref="BB137:BE137"/>
    <mergeCell ref="V138:Y138"/>
    <mergeCell ref="AG138:AJ138"/>
    <mergeCell ref="AV138:AY138"/>
    <mergeCell ref="BB138:BE138"/>
    <mergeCell ref="V139:Y139"/>
    <mergeCell ref="AG139:AJ139"/>
    <mergeCell ref="AV139:AY139"/>
    <mergeCell ref="BB139:BE139"/>
    <mergeCell ref="AR137:AS137"/>
    <mergeCell ref="AR138:AS138"/>
    <mergeCell ref="AR139:AS139"/>
    <mergeCell ref="V134:Y134"/>
    <mergeCell ref="AG134:AJ134"/>
    <mergeCell ref="AV134:AY134"/>
    <mergeCell ref="BB134:BE134"/>
    <mergeCell ref="V135:Y135"/>
    <mergeCell ref="AG135:AJ135"/>
    <mergeCell ref="AV135:AY135"/>
    <mergeCell ref="BB135:BE135"/>
    <mergeCell ref="V136:Y136"/>
    <mergeCell ref="AG136:AJ136"/>
    <mergeCell ref="AV136:AY136"/>
    <mergeCell ref="BB136:BE136"/>
    <mergeCell ref="AR134:AS134"/>
    <mergeCell ref="AR135:AS135"/>
    <mergeCell ref="AR136:AS136"/>
    <mergeCell ref="V131:Y131"/>
    <mergeCell ref="AG131:AJ131"/>
    <mergeCell ref="AV131:AY131"/>
    <mergeCell ref="BB131:BE131"/>
    <mergeCell ref="V132:Y132"/>
    <mergeCell ref="AG132:AJ132"/>
    <mergeCell ref="AV132:AY132"/>
    <mergeCell ref="BB132:BE132"/>
    <mergeCell ref="V133:Y133"/>
    <mergeCell ref="AG133:AJ133"/>
    <mergeCell ref="AV133:AY133"/>
    <mergeCell ref="BB133:BE133"/>
    <mergeCell ref="AR131:AS131"/>
    <mergeCell ref="AR132:AS132"/>
    <mergeCell ref="AR133:AS133"/>
    <mergeCell ref="V128:Y128"/>
    <mergeCell ref="AG128:AJ128"/>
    <mergeCell ref="AV128:AY128"/>
    <mergeCell ref="BB128:BE128"/>
    <mergeCell ref="V129:Y129"/>
    <mergeCell ref="AG129:AJ129"/>
    <mergeCell ref="AV129:AY129"/>
    <mergeCell ref="BB129:BE129"/>
    <mergeCell ref="V130:Y130"/>
    <mergeCell ref="AG130:AJ130"/>
    <mergeCell ref="AV130:AY130"/>
    <mergeCell ref="BB130:BE130"/>
    <mergeCell ref="AR128:AS128"/>
    <mergeCell ref="AR129:AS129"/>
    <mergeCell ref="AR130:AS130"/>
    <mergeCell ref="V125:Y125"/>
    <mergeCell ref="AG125:AJ125"/>
    <mergeCell ref="AV125:AY125"/>
    <mergeCell ref="BB125:BE125"/>
    <mergeCell ref="V126:Y126"/>
    <mergeCell ref="AG126:AJ126"/>
    <mergeCell ref="AV126:AY126"/>
    <mergeCell ref="BB126:BE126"/>
    <mergeCell ref="V127:Y127"/>
    <mergeCell ref="AG127:AJ127"/>
    <mergeCell ref="AV127:AY127"/>
    <mergeCell ref="BB127:BE127"/>
    <mergeCell ref="AR125:AS125"/>
    <mergeCell ref="AR126:AS126"/>
    <mergeCell ref="AR127:AS127"/>
    <mergeCell ref="V122:Y122"/>
    <mergeCell ref="AG122:AJ122"/>
    <mergeCell ref="AV122:AY122"/>
    <mergeCell ref="BB122:BE122"/>
    <mergeCell ref="V123:Y123"/>
    <mergeCell ref="AG123:AJ123"/>
    <mergeCell ref="AV123:AY123"/>
    <mergeCell ref="BB123:BE123"/>
    <mergeCell ref="V124:Y124"/>
    <mergeCell ref="AG124:AJ124"/>
    <mergeCell ref="AV124:AY124"/>
    <mergeCell ref="BB124:BE124"/>
    <mergeCell ref="AR122:AS122"/>
    <mergeCell ref="AR123:AS123"/>
    <mergeCell ref="AR124:AS124"/>
    <mergeCell ref="V119:Y119"/>
    <mergeCell ref="AG119:AJ119"/>
    <mergeCell ref="AV119:AY119"/>
    <mergeCell ref="BB119:BE119"/>
    <mergeCell ref="V120:Y120"/>
    <mergeCell ref="AG120:AJ120"/>
    <mergeCell ref="AV120:AY120"/>
    <mergeCell ref="BB120:BE120"/>
    <mergeCell ref="V121:Y121"/>
    <mergeCell ref="AG121:AJ121"/>
    <mergeCell ref="AV121:AY121"/>
    <mergeCell ref="BB121:BE121"/>
    <mergeCell ref="AR119:AS119"/>
    <mergeCell ref="AR120:AS120"/>
    <mergeCell ref="AR121:AS121"/>
    <mergeCell ref="V116:Y116"/>
    <mergeCell ref="AG116:AJ116"/>
    <mergeCell ref="AV116:AY116"/>
    <mergeCell ref="BB116:BE116"/>
    <mergeCell ref="V117:Y117"/>
    <mergeCell ref="AG117:AJ117"/>
    <mergeCell ref="AV117:AY117"/>
    <mergeCell ref="BB117:BE117"/>
    <mergeCell ref="V118:Y118"/>
    <mergeCell ref="AG118:AJ118"/>
    <mergeCell ref="AV118:AY118"/>
    <mergeCell ref="BB118:BE118"/>
    <mergeCell ref="AR116:AS116"/>
    <mergeCell ref="AR117:AS117"/>
    <mergeCell ref="AR118:AS118"/>
    <mergeCell ref="V113:Y113"/>
    <mergeCell ref="AG113:AJ113"/>
    <mergeCell ref="AV113:AY113"/>
    <mergeCell ref="BB113:BE113"/>
    <mergeCell ref="V114:Y114"/>
    <mergeCell ref="AG114:AJ114"/>
    <mergeCell ref="AV114:AY114"/>
    <mergeCell ref="BB114:BE114"/>
    <mergeCell ref="V115:Y115"/>
    <mergeCell ref="AG115:AJ115"/>
    <mergeCell ref="AV115:AY115"/>
    <mergeCell ref="BB115:BE115"/>
    <mergeCell ref="AR113:AS113"/>
    <mergeCell ref="AR114:AS114"/>
    <mergeCell ref="AR115:AS115"/>
    <mergeCell ref="V110:Y110"/>
    <mergeCell ref="AG110:AJ110"/>
    <mergeCell ref="AV110:AY110"/>
    <mergeCell ref="BB110:BE110"/>
    <mergeCell ref="V111:Y111"/>
    <mergeCell ref="AG111:AJ111"/>
    <mergeCell ref="AV111:AY111"/>
    <mergeCell ref="BB111:BE111"/>
    <mergeCell ref="V112:Y112"/>
    <mergeCell ref="AG112:AJ112"/>
    <mergeCell ref="AV112:AY112"/>
    <mergeCell ref="BB112:BE112"/>
    <mergeCell ref="AR110:AS110"/>
    <mergeCell ref="AR111:AS111"/>
    <mergeCell ref="AR112:AS112"/>
    <mergeCell ref="V107:Y107"/>
    <mergeCell ref="AG107:AJ107"/>
    <mergeCell ref="AV107:AY107"/>
    <mergeCell ref="BB107:BE107"/>
    <mergeCell ref="V108:Y108"/>
    <mergeCell ref="AG108:AJ108"/>
    <mergeCell ref="AV108:AY108"/>
    <mergeCell ref="BB108:BE108"/>
    <mergeCell ref="V109:Y109"/>
    <mergeCell ref="AG109:AJ109"/>
    <mergeCell ref="AV109:AY109"/>
    <mergeCell ref="BB109:BE109"/>
    <mergeCell ref="AR107:AS107"/>
    <mergeCell ref="AR108:AS108"/>
    <mergeCell ref="AR109:AS109"/>
    <mergeCell ref="V104:Y104"/>
    <mergeCell ref="AG104:AJ104"/>
    <mergeCell ref="AV104:AY104"/>
    <mergeCell ref="BB104:BE104"/>
    <mergeCell ref="V105:Y105"/>
    <mergeCell ref="AG105:AJ105"/>
    <mergeCell ref="AV105:AY105"/>
    <mergeCell ref="BB105:BE105"/>
    <mergeCell ref="V106:Y106"/>
    <mergeCell ref="AG106:AJ106"/>
    <mergeCell ref="AV106:AY106"/>
    <mergeCell ref="BB106:BE106"/>
    <mergeCell ref="AR104:AS104"/>
    <mergeCell ref="AR105:AS105"/>
    <mergeCell ref="AR106:AS106"/>
    <mergeCell ref="V101:Y101"/>
    <mergeCell ref="AG101:AJ101"/>
    <mergeCell ref="AV101:AY101"/>
    <mergeCell ref="BB101:BE101"/>
    <mergeCell ref="V102:Y102"/>
    <mergeCell ref="AG102:AJ102"/>
    <mergeCell ref="AV102:AY102"/>
    <mergeCell ref="BB102:BE102"/>
    <mergeCell ref="V103:Y103"/>
    <mergeCell ref="AG103:AJ103"/>
    <mergeCell ref="AV103:AY103"/>
    <mergeCell ref="BB103:BE103"/>
    <mergeCell ref="AR101:AS101"/>
    <mergeCell ref="AR102:AS102"/>
    <mergeCell ref="AR103:AS103"/>
    <mergeCell ref="V98:Y98"/>
    <mergeCell ref="AG98:AJ98"/>
    <mergeCell ref="AV98:AY98"/>
    <mergeCell ref="BB98:BE98"/>
    <mergeCell ref="V99:Y99"/>
    <mergeCell ref="AG99:AJ99"/>
    <mergeCell ref="AV99:AY99"/>
    <mergeCell ref="BB99:BE99"/>
    <mergeCell ref="V100:Y100"/>
    <mergeCell ref="AG100:AJ100"/>
    <mergeCell ref="AV100:AY100"/>
    <mergeCell ref="BB100:BE100"/>
    <mergeCell ref="AR98:AS98"/>
    <mergeCell ref="AR99:AS99"/>
    <mergeCell ref="AR100:AS100"/>
    <mergeCell ref="V95:Y95"/>
    <mergeCell ref="AG95:AJ95"/>
    <mergeCell ref="AV95:AY95"/>
    <mergeCell ref="BB95:BE95"/>
    <mergeCell ref="V96:Y96"/>
    <mergeCell ref="AG96:AJ96"/>
    <mergeCell ref="AV96:AY96"/>
    <mergeCell ref="BB96:BE96"/>
    <mergeCell ref="V97:Y97"/>
    <mergeCell ref="AG97:AJ97"/>
    <mergeCell ref="AV97:AY97"/>
    <mergeCell ref="BB97:BE97"/>
    <mergeCell ref="AR95:AS95"/>
    <mergeCell ref="AR96:AS96"/>
    <mergeCell ref="AR97:AS97"/>
    <mergeCell ref="V92:Y92"/>
    <mergeCell ref="AG92:AJ92"/>
    <mergeCell ref="AV92:AY92"/>
    <mergeCell ref="BB92:BE92"/>
    <mergeCell ref="V93:Y93"/>
    <mergeCell ref="AG93:AJ93"/>
    <mergeCell ref="AV93:AY93"/>
    <mergeCell ref="BB93:BE93"/>
    <mergeCell ref="V94:Y94"/>
    <mergeCell ref="AG94:AJ94"/>
    <mergeCell ref="AV94:AY94"/>
    <mergeCell ref="BB94:BE94"/>
    <mergeCell ref="AR92:AS92"/>
    <mergeCell ref="AR93:AS93"/>
    <mergeCell ref="AR94:AS94"/>
    <mergeCell ref="V89:Y89"/>
    <mergeCell ref="AG89:AJ89"/>
    <mergeCell ref="AV89:AY89"/>
    <mergeCell ref="BB89:BE89"/>
    <mergeCell ref="V90:Y90"/>
    <mergeCell ref="AG90:AJ90"/>
    <mergeCell ref="AV90:AY90"/>
    <mergeCell ref="BB90:BE90"/>
    <mergeCell ref="V91:Y91"/>
    <mergeCell ref="AG91:AJ91"/>
    <mergeCell ref="AV91:AY91"/>
    <mergeCell ref="BB91:BE91"/>
    <mergeCell ref="AR89:AS89"/>
    <mergeCell ref="AR90:AS90"/>
    <mergeCell ref="AR91:AS91"/>
    <mergeCell ref="V86:Y86"/>
    <mergeCell ref="AG86:AJ86"/>
    <mergeCell ref="AV86:AY86"/>
    <mergeCell ref="BB86:BE86"/>
    <mergeCell ref="V87:Y87"/>
    <mergeCell ref="AG87:AJ87"/>
    <mergeCell ref="AV87:AY87"/>
    <mergeCell ref="BB87:BE87"/>
    <mergeCell ref="V88:Y88"/>
    <mergeCell ref="AG88:AJ88"/>
    <mergeCell ref="AV88:AY88"/>
    <mergeCell ref="BB88:BE88"/>
    <mergeCell ref="AR86:AS86"/>
    <mergeCell ref="AR87:AS87"/>
    <mergeCell ref="AR88:AS88"/>
    <mergeCell ref="V83:Y83"/>
    <mergeCell ref="AG83:AJ83"/>
    <mergeCell ref="AV83:AY83"/>
    <mergeCell ref="BB83:BE83"/>
    <mergeCell ref="V84:Y84"/>
    <mergeCell ref="AG84:AJ84"/>
    <mergeCell ref="AV84:AY84"/>
    <mergeCell ref="BB84:BE84"/>
    <mergeCell ref="V85:Y85"/>
    <mergeCell ref="AG85:AJ85"/>
    <mergeCell ref="AV85:AY85"/>
    <mergeCell ref="BB85:BE85"/>
    <mergeCell ref="AR84:AS84"/>
    <mergeCell ref="AR85:AS85"/>
    <mergeCell ref="AV12:AY12"/>
    <mergeCell ref="BB12:BE12"/>
    <mergeCell ref="AV13:AY13"/>
    <mergeCell ref="AV14:AY14"/>
    <mergeCell ref="AV15:AY15"/>
    <mergeCell ref="AG13:AJ13"/>
    <mergeCell ref="AV5:BF5"/>
    <mergeCell ref="AG14:AJ14"/>
    <mergeCell ref="V82:Y82"/>
    <mergeCell ref="AG82:AJ82"/>
    <mergeCell ref="AV82:AY82"/>
    <mergeCell ref="BB82:BE82"/>
    <mergeCell ref="AG18:AJ18"/>
    <mergeCell ref="AG19:AJ19"/>
    <mergeCell ref="AG20:AJ20"/>
    <mergeCell ref="AG21:AJ21"/>
    <mergeCell ref="V22:Y22"/>
    <mergeCell ref="V23:Y23"/>
    <mergeCell ref="V42:Y42"/>
    <mergeCell ref="V24:Y24"/>
    <mergeCell ref="V25:Y25"/>
    <mergeCell ref="V26:Y26"/>
    <mergeCell ref="V18:Y18"/>
    <mergeCell ref="V19:Y19"/>
    <mergeCell ref="B1:J2"/>
    <mergeCell ref="L1:W2"/>
    <mergeCell ref="AG12:AJ12"/>
    <mergeCell ref="V17:Y17"/>
    <mergeCell ref="AG17:AJ17"/>
    <mergeCell ref="V13:Y13"/>
    <mergeCell ref="V14:Y14"/>
    <mergeCell ref="V15:Y15"/>
    <mergeCell ref="V16:Y16"/>
    <mergeCell ref="V12:Y12"/>
    <mergeCell ref="AG15:AJ15"/>
    <mergeCell ref="AG16:AJ16"/>
    <mergeCell ref="V20:Y20"/>
    <mergeCell ref="V21:Y21"/>
    <mergeCell ref="V32:Y32"/>
    <mergeCell ref="V33:Y33"/>
    <mergeCell ref="V37:Y37"/>
    <mergeCell ref="V38:Y38"/>
    <mergeCell ref="V39:Y39"/>
    <mergeCell ref="V40:Y40"/>
    <mergeCell ref="V41:Y41"/>
    <mergeCell ref="V34:Y34"/>
    <mergeCell ref="V35:Y35"/>
    <mergeCell ref="V36:Y36"/>
    <mergeCell ref="V27:Y27"/>
    <mergeCell ref="V28:Y28"/>
    <mergeCell ref="V29:Y29"/>
    <mergeCell ref="V30:Y30"/>
    <mergeCell ref="V31:Y31"/>
    <mergeCell ref="V62:Y62"/>
    <mergeCell ref="V63:Y63"/>
    <mergeCell ref="V64:Y64"/>
    <mergeCell ref="V65:Y65"/>
    <mergeCell ref="V66:Y66"/>
    <mergeCell ref="V67:Y67"/>
    <mergeCell ref="V43:Y43"/>
    <mergeCell ref="V44:Y44"/>
    <mergeCell ref="V45:Y45"/>
    <mergeCell ref="V46:Y46"/>
    <mergeCell ref="V57:Y57"/>
    <mergeCell ref="V58:Y58"/>
    <mergeCell ref="V59:Y59"/>
    <mergeCell ref="V60:Y60"/>
    <mergeCell ref="V61:Y61"/>
    <mergeCell ref="V52:Y52"/>
    <mergeCell ref="V53:Y53"/>
    <mergeCell ref="V54:Y54"/>
    <mergeCell ref="V55:Y55"/>
    <mergeCell ref="V56:Y56"/>
    <mergeCell ref="V47:Y47"/>
    <mergeCell ref="V48:Y48"/>
    <mergeCell ref="V49:Y49"/>
    <mergeCell ref="V50:Y50"/>
    <mergeCell ref="V51:Y51"/>
    <mergeCell ref="AG22:AJ22"/>
    <mergeCell ref="AG23:AJ23"/>
    <mergeCell ref="AG24:AJ24"/>
    <mergeCell ref="AG25:AJ25"/>
    <mergeCell ref="AG26:AJ26"/>
    <mergeCell ref="AG27:AJ27"/>
    <mergeCell ref="AG43:AJ43"/>
    <mergeCell ref="AG44:AJ44"/>
    <mergeCell ref="AG45:AJ45"/>
    <mergeCell ref="AG33:AJ33"/>
    <mergeCell ref="AG34:AJ34"/>
    <mergeCell ref="AG35:AJ35"/>
    <mergeCell ref="AG36:AJ36"/>
    <mergeCell ref="AG37:AJ37"/>
    <mergeCell ref="AG28:AJ28"/>
    <mergeCell ref="AG29:AJ29"/>
    <mergeCell ref="AG30:AJ30"/>
    <mergeCell ref="AG31:AJ31"/>
    <mergeCell ref="AG32:AJ32"/>
    <mergeCell ref="AG46:AJ46"/>
    <mergeCell ref="AG47:AJ47"/>
    <mergeCell ref="AG38:AJ38"/>
    <mergeCell ref="AG39:AJ39"/>
    <mergeCell ref="AG40:AJ40"/>
    <mergeCell ref="AG41:AJ41"/>
    <mergeCell ref="AG42:AJ42"/>
    <mergeCell ref="AG53:AJ53"/>
    <mergeCell ref="AG54:AJ54"/>
    <mergeCell ref="AG55:AJ55"/>
    <mergeCell ref="AG56:AJ56"/>
    <mergeCell ref="AG57:AJ57"/>
    <mergeCell ref="AG48:AJ48"/>
    <mergeCell ref="AG49:AJ49"/>
    <mergeCell ref="AG50:AJ50"/>
    <mergeCell ref="AG51:AJ51"/>
    <mergeCell ref="AG52:AJ52"/>
    <mergeCell ref="AG63:AJ63"/>
    <mergeCell ref="AG64:AJ64"/>
    <mergeCell ref="AG65:AJ65"/>
    <mergeCell ref="AG66:AJ66"/>
    <mergeCell ref="AG67:AJ67"/>
    <mergeCell ref="AG58:AJ58"/>
    <mergeCell ref="AG59:AJ59"/>
    <mergeCell ref="AG60:AJ60"/>
    <mergeCell ref="AG61:AJ61"/>
    <mergeCell ref="AG62:AJ62"/>
    <mergeCell ref="AG73:AJ73"/>
    <mergeCell ref="AG74:AJ74"/>
    <mergeCell ref="AG75:AJ75"/>
    <mergeCell ref="AG68:AJ68"/>
    <mergeCell ref="AG69:AJ69"/>
    <mergeCell ref="AG70:AJ70"/>
    <mergeCell ref="V76:Y76"/>
    <mergeCell ref="AG76:AJ76"/>
    <mergeCell ref="V77:Y77"/>
    <mergeCell ref="AG77:AJ77"/>
    <mergeCell ref="AG71:AJ71"/>
    <mergeCell ref="AG72:AJ72"/>
    <mergeCell ref="V72:Y72"/>
    <mergeCell ref="V73:Y73"/>
    <mergeCell ref="V74:Y74"/>
    <mergeCell ref="V75:Y75"/>
    <mergeCell ref="V68:Y68"/>
    <mergeCell ref="V69:Y69"/>
    <mergeCell ref="V70:Y70"/>
    <mergeCell ref="V71:Y71"/>
    <mergeCell ref="V80:Y80"/>
    <mergeCell ref="AG80:AJ80"/>
    <mergeCell ref="V81:Y81"/>
    <mergeCell ref="AG81:AJ81"/>
    <mergeCell ref="V78:Y78"/>
    <mergeCell ref="AG78:AJ78"/>
    <mergeCell ref="V79:Y79"/>
    <mergeCell ref="AG79:AJ79"/>
    <mergeCell ref="AV16:AY16"/>
    <mergeCell ref="AV17:AY17"/>
    <mergeCell ref="AV18:AY18"/>
    <mergeCell ref="AV19:AY19"/>
    <mergeCell ref="AV20:AY20"/>
    <mergeCell ref="AV21:AY21"/>
    <mergeCell ref="AV22:AY22"/>
    <mergeCell ref="AV23:AY23"/>
    <mergeCell ref="AV24:AY24"/>
    <mergeCell ref="AV25:AY25"/>
    <mergeCell ref="AV31:AY31"/>
    <mergeCell ref="AV32:AY32"/>
    <mergeCell ref="AV33:AY33"/>
    <mergeCell ref="AV34:AY34"/>
    <mergeCell ref="AV35:AY35"/>
    <mergeCell ref="AV26:AY26"/>
    <mergeCell ref="AV27:AY27"/>
    <mergeCell ref="AV28:AY28"/>
    <mergeCell ref="AV29:AY29"/>
    <mergeCell ref="AV30:AY30"/>
    <mergeCell ref="AV41:AY41"/>
    <mergeCell ref="AV42:AY42"/>
    <mergeCell ref="AV43:AY43"/>
    <mergeCell ref="AV44:AY44"/>
    <mergeCell ref="AV45:AY45"/>
    <mergeCell ref="AV36:AY36"/>
    <mergeCell ref="AV37:AY37"/>
    <mergeCell ref="AV38:AY38"/>
    <mergeCell ref="AV39:AY39"/>
    <mergeCell ref="AV40:AY40"/>
    <mergeCell ref="AV51:AY51"/>
    <mergeCell ref="AV52:AY52"/>
    <mergeCell ref="AV53:AY53"/>
    <mergeCell ref="AV54:AY54"/>
    <mergeCell ref="AV55:AY55"/>
    <mergeCell ref="AV46:AY46"/>
    <mergeCell ref="AV47:AY47"/>
    <mergeCell ref="AV48:AY48"/>
    <mergeCell ref="AV49:AY49"/>
    <mergeCell ref="AV50:AY50"/>
    <mergeCell ref="AV61:AY61"/>
    <mergeCell ref="AV62:AY62"/>
    <mergeCell ref="AV63:AY63"/>
    <mergeCell ref="AV64:AY64"/>
    <mergeCell ref="AV65:AY65"/>
    <mergeCell ref="AV56:AY56"/>
    <mergeCell ref="AV57:AY57"/>
    <mergeCell ref="AV58:AY58"/>
    <mergeCell ref="AV59:AY59"/>
    <mergeCell ref="AV60:AY60"/>
    <mergeCell ref="AV79:AY79"/>
    <mergeCell ref="AV80:AY80"/>
    <mergeCell ref="AV71:AY71"/>
    <mergeCell ref="AV72:AY72"/>
    <mergeCell ref="AV73:AY73"/>
    <mergeCell ref="AV74:AY74"/>
    <mergeCell ref="AV75:AY75"/>
    <mergeCell ref="AV66:AY66"/>
    <mergeCell ref="AV67:AY67"/>
    <mergeCell ref="AV68:AY68"/>
    <mergeCell ref="AV69:AY69"/>
    <mergeCell ref="AV70:AY70"/>
    <mergeCell ref="BB28:BE28"/>
    <mergeCell ref="BB29:BE29"/>
    <mergeCell ref="BB30:BE30"/>
    <mergeCell ref="BB31:BE31"/>
    <mergeCell ref="BB32:BE32"/>
    <mergeCell ref="AV81:AY81"/>
    <mergeCell ref="BB13:BE13"/>
    <mergeCell ref="BB14:BE14"/>
    <mergeCell ref="BB15:BE15"/>
    <mergeCell ref="BB16:BE16"/>
    <mergeCell ref="BB17:BE17"/>
    <mergeCell ref="BB18:BE18"/>
    <mergeCell ref="BB19:BE19"/>
    <mergeCell ref="BB20:BE20"/>
    <mergeCell ref="BB21:BE21"/>
    <mergeCell ref="BB22:BE22"/>
    <mergeCell ref="BB23:BE23"/>
    <mergeCell ref="BB24:BE24"/>
    <mergeCell ref="BB25:BE25"/>
    <mergeCell ref="BB26:BE26"/>
    <mergeCell ref="BB27:BE27"/>
    <mergeCell ref="AV76:AY76"/>
    <mergeCell ref="AV77:AY77"/>
    <mergeCell ref="AV78:AY78"/>
    <mergeCell ref="BB38:BE38"/>
    <mergeCell ref="BB39:BE39"/>
    <mergeCell ref="BB40:BE40"/>
    <mergeCell ref="BB41:BE41"/>
    <mergeCell ref="BB42:BE42"/>
    <mergeCell ref="BB33:BE33"/>
    <mergeCell ref="BB34:BE34"/>
    <mergeCell ref="BB35:BE35"/>
    <mergeCell ref="BB36:BE36"/>
    <mergeCell ref="BB37:BE37"/>
    <mergeCell ref="BB48:BE48"/>
    <mergeCell ref="BB49:BE49"/>
    <mergeCell ref="BB50:BE50"/>
    <mergeCell ref="BB51:BE51"/>
    <mergeCell ref="BB52:BE52"/>
    <mergeCell ref="BB43:BE43"/>
    <mergeCell ref="BB44:BE44"/>
    <mergeCell ref="BB45:BE45"/>
    <mergeCell ref="BB46:BE46"/>
    <mergeCell ref="BB47:BE47"/>
    <mergeCell ref="BB58:BE58"/>
    <mergeCell ref="BB59:BE59"/>
    <mergeCell ref="BB60:BE60"/>
    <mergeCell ref="BB61:BE61"/>
    <mergeCell ref="BB62:BE62"/>
    <mergeCell ref="BB53:BE53"/>
    <mergeCell ref="BB54:BE54"/>
    <mergeCell ref="BB55:BE55"/>
    <mergeCell ref="BB56:BE56"/>
    <mergeCell ref="BB57:BE57"/>
    <mergeCell ref="BB68:BE68"/>
    <mergeCell ref="BB69:BE69"/>
    <mergeCell ref="BB70:BE70"/>
    <mergeCell ref="BB71:BE71"/>
    <mergeCell ref="BB72:BE72"/>
    <mergeCell ref="BB63:BE63"/>
    <mergeCell ref="BB64:BE64"/>
    <mergeCell ref="BB65:BE65"/>
    <mergeCell ref="BB66:BE66"/>
    <mergeCell ref="BB67:BE67"/>
    <mergeCell ref="BB81:BE81"/>
    <mergeCell ref="BB76:BE76"/>
    <mergeCell ref="BB77:BE77"/>
    <mergeCell ref="BB78:BE78"/>
    <mergeCell ref="BB79:BE79"/>
    <mergeCell ref="BB80:BE80"/>
    <mergeCell ref="BB73:BE73"/>
    <mergeCell ref="BB74:BE74"/>
    <mergeCell ref="BB75:BE75"/>
    <mergeCell ref="AL1:BF2"/>
    <mergeCell ref="AY10:AZ10"/>
    <mergeCell ref="AD10:AE10"/>
    <mergeCell ref="AO10:AP10"/>
    <mergeCell ref="AA8:AE9"/>
    <mergeCell ref="AL8:AP9"/>
    <mergeCell ref="V11:Y11"/>
    <mergeCell ref="AG11:AJ11"/>
    <mergeCell ref="V5:AP5"/>
    <mergeCell ref="AR5:AT5"/>
    <mergeCell ref="BE10:BF10"/>
    <mergeCell ref="AR8:AT8"/>
    <mergeCell ref="AR9:AT9"/>
    <mergeCell ref="AS10:AT10"/>
    <mergeCell ref="AR12:AS12"/>
    <mergeCell ref="AR13:AS13"/>
    <mergeCell ref="AR14:AS14"/>
    <mergeCell ref="AR15:AS15"/>
    <mergeCell ref="AR16:AS16"/>
    <mergeCell ref="AR17:AS17"/>
    <mergeCell ref="AR18:AS18"/>
    <mergeCell ref="AR19:AS19"/>
    <mergeCell ref="AR20:AS20"/>
    <mergeCell ref="AR21:AS21"/>
    <mergeCell ref="AR22:AS22"/>
    <mergeCell ref="AR23:AS23"/>
    <mergeCell ref="AR24:AS24"/>
    <mergeCell ref="AR25:AS25"/>
    <mergeCell ref="AR26:AS26"/>
    <mergeCell ref="AR27:AS27"/>
    <mergeCell ref="AR28:AS28"/>
    <mergeCell ref="AR29:AS29"/>
    <mergeCell ref="AR30:AS30"/>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R64:AS64"/>
    <mergeCell ref="AR65:AS65"/>
    <mergeCell ref="AR66:AS66"/>
    <mergeCell ref="AR67:AS67"/>
    <mergeCell ref="AR68:AS68"/>
    <mergeCell ref="AR69:AS69"/>
    <mergeCell ref="AR70:AS70"/>
    <mergeCell ref="AR71:AS71"/>
    <mergeCell ref="AR72:AS72"/>
    <mergeCell ref="AR73:AS73"/>
    <mergeCell ref="AR74:AS74"/>
    <mergeCell ref="AR75:AS75"/>
    <mergeCell ref="AR76:AS76"/>
    <mergeCell ref="AR77:AS77"/>
    <mergeCell ref="AR78:AS78"/>
    <mergeCell ref="AR79:AS79"/>
    <mergeCell ref="AR80:AS80"/>
    <mergeCell ref="AR81:AS81"/>
    <mergeCell ref="AR82:AS82"/>
    <mergeCell ref="AR83:AS83"/>
  </mergeCells>
  <conditionalFormatting sqref="V12:Y147">
    <cfRule type="dataBar" priority="8">
      <dataBar>
        <cfvo type="num" val="-0.45"/>
        <cfvo type="num" val="1"/>
        <color theme="1" tint="0.499984740745262"/>
      </dataBar>
      <extLst>
        <ext xmlns:x14="http://schemas.microsoft.com/office/spreadsheetml/2009/9/main" uri="{B025F937-C7B1-47D3-B67F-A62EFF666E3E}">
          <x14:id>{425FC8BE-0E0E-4105-8DEE-64C6233108F7}</x14:id>
        </ext>
      </extLst>
    </cfRule>
  </conditionalFormatting>
  <conditionalFormatting sqref="AB12:AB147">
    <cfRule type="expression" dxfId="35" priority="27">
      <formula>OR($N12="",AND(ISEVEN(ROW(N12)),ISERROR(AB12)))</formula>
    </cfRule>
  </conditionalFormatting>
  <conditionalFormatting sqref="BB12:BE147">
    <cfRule type="dataBar" priority="18">
      <dataBar>
        <cfvo type="formula" val="-MAX($BB$12:$BB$147)/2.5"/>
        <cfvo type="max"/>
        <color rgb="FF638EC6"/>
      </dataBar>
      <extLst>
        <ext xmlns:x14="http://schemas.microsoft.com/office/spreadsheetml/2009/9/main" uri="{B025F937-C7B1-47D3-B67F-A62EFF666E3E}">
          <x14:id>{2940B666-567A-4EE3-978A-AC4FCC9A37E5}</x14:id>
        </ext>
      </extLst>
    </cfRule>
  </conditionalFormatting>
  <conditionalFormatting sqref="AV12:AY147">
    <cfRule type="dataBar" priority="15">
      <dataBar>
        <cfvo type="num" val="-0.4"/>
        <cfvo type="num" val="1"/>
        <color rgb="FF638EC6"/>
      </dataBar>
      <extLst>
        <ext xmlns:x14="http://schemas.microsoft.com/office/spreadsheetml/2009/9/main" uri="{B025F937-C7B1-47D3-B67F-A62EFF666E3E}">
          <x14:id>{8977693E-62BC-4E14-B31D-FC916F019C92}</x14:id>
        </ext>
      </extLst>
    </cfRule>
  </conditionalFormatting>
  <conditionalFormatting sqref="N14:U81 V13:Y147 N12:AR13 Z14:AR81 AA82:AR147 AT12:BF147">
    <cfRule type="expression" dxfId="34" priority="26">
      <formula>AND(NOT($N12=""),ISODD(ROW($N12)))</formula>
    </cfRule>
  </conditionalFormatting>
  <conditionalFormatting sqref="AB12:AB147">
    <cfRule type="expression" dxfId="33" priority="23">
      <formula>AND(NOT($N12=""),ISODD(ROW(N12)),ISERROR(AB12))</formula>
    </cfRule>
  </conditionalFormatting>
  <conditionalFormatting sqref="AG12:AJ147">
    <cfRule type="dataBar" priority="14">
      <dataBar>
        <cfvo type="formula" val="-MAX($AG$12:$AG$147)/2.5"/>
        <cfvo type="max"/>
        <color theme="1" tint="0.499984740745262"/>
      </dataBar>
      <extLst>
        <ext xmlns:x14="http://schemas.microsoft.com/office/spreadsheetml/2009/9/main" uri="{B025F937-C7B1-47D3-B67F-A62EFF666E3E}">
          <x14:id>{4BE7E483-1738-4E7B-9E45-DFCF1E7263BD}</x14:id>
        </ext>
      </extLst>
    </cfRule>
  </conditionalFormatting>
  <conditionalFormatting sqref="Z82:Z147 N82:U147">
    <cfRule type="expression" dxfId="32" priority="7">
      <formula>AND(NOT($N82=""),ISODD(ROW($N82)))</formula>
    </cfRule>
  </conditionalFormatting>
  <conditionalFormatting sqref="AM12:AM147">
    <cfRule type="expression" dxfId="31" priority="143">
      <formula>OR($N12="",AND(ISEVEN(ROW(AB12)),ISERROR(AM12)))</formula>
    </cfRule>
  </conditionalFormatting>
  <conditionalFormatting sqref="AM12:AM147">
    <cfRule type="expression" dxfId="30" priority="144">
      <formula>AND(NOT($N12=""),ISODD(ROW(AB12)),ISERROR(AM12))</formula>
    </cfRule>
  </conditionalFormatting>
  <conditionalFormatting sqref="AO12:AP147">
    <cfRule type="expression" dxfId="29" priority="146">
      <formula>OR($N12="",AND(ISEVEN(ROW(AC12)),ISERROR(AO12)))</formula>
    </cfRule>
  </conditionalFormatting>
  <conditionalFormatting sqref="AO12:AP147">
    <cfRule type="expression" dxfId="28" priority="148">
      <formula>AND(NOT($N12=""),ISODD(ROW(AC12)),ISERROR(AO12))</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Option Button 3">
              <controlPr defaultSize="0" autoFill="0" autoLine="0" autoPict="0">
                <anchor moveWithCells="1">
                  <from>
                    <xdr:col>12</xdr:col>
                    <xdr:colOff>247650</xdr:colOff>
                    <xdr:row>5</xdr:row>
                    <xdr:rowOff>47625</xdr:rowOff>
                  </from>
                  <to>
                    <xdr:col>13</xdr:col>
                    <xdr:colOff>171450</xdr:colOff>
                    <xdr:row>6</xdr:row>
                    <xdr:rowOff>171450</xdr:rowOff>
                  </to>
                </anchor>
              </controlPr>
            </control>
          </mc:Choice>
        </mc:AlternateContent>
        <mc:AlternateContent xmlns:mc="http://schemas.openxmlformats.org/markup-compatibility/2006">
          <mc:Choice Requires="x14">
            <control shapeId="6148" r:id="rId5" name="Option Button 4">
              <controlPr defaultSize="0" autoFill="0" autoLine="0" autoPict="0">
                <anchor moveWithCells="1">
                  <from>
                    <xdr:col>21</xdr:col>
                    <xdr:colOff>28575</xdr:colOff>
                    <xdr:row>5</xdr:row>
                    <xdr:rowOff>47625</xdr:rowOff>
                  </from>
                  <to>
                    <xdr:col>21</xdr:col>
                    <xdr:colOff>209550</xdr:colOff>
                    <xdr:row>6</xdr:row>
                    <xdr:rowOff>171450</xdr:rowOff>
                  </to>
                </anchor>
              </controlPr>
            </control>
          </mc:Choice>
        </mc:AlternateContent>
        <mc:AlternateContent xmlns:mc="http://schemas.openxmlformats.org/markup-compatibility/2006">
          <mc:Choice Requires="x14">
            <control shapeId="6149" r:id="rId6" name="Option Button 5">
              <controlPr defaultSize="0" autoFill="0" autoLine="0" autoPict="0">
                <anchor moveWithCells="1">
                  <from>
                    <xdr:col>32</xdr:col>
                    <xdr:colOff>28575</xdr:colOff>
                    <xdr:row>5</xdr:row>
                    <xdr:rowOff>47625</xdr:rowOff>
                  </from>
                  <to>
                    <xdr:col>32</xdr:col>
                    <xdr:colOff>209550</xdr:colOff>
                    <xdr:row>6</xdr:row>
                    <xdr:rowOff>171450</xdr:rowOff>
                  </to>
                </anchor>
              </controlPr>
            </control>
          </mc:Choice>
        </mc:AlternateContent>
        <mc:AlternateContent xmlns:mc="http://schemas.openxmlformats.org/markup-compatibility/2006">
          <mc:Choice Requires="x14">
            <control shapeId="6150" r:id="rId7" name="Option Button 6">
              <controlPr defaultSize="0" autoFill="0" autoLine="0" autoPict="0">
                <anchor moveWithCells="1">
                  <from>
                    <xdr:col>43</xdr:col>
                    <xdr:colOff>28575</xdr:colOff>
                    <xdr:row>5</xdr:row>
                    <xdr:rowOff>47625</xdr:rowOff>
                  </from>
                  <to>
                    <xdr:col>43</xdr:col>
                    <xdr:colOff>209550</xdr:colOff>
                    <xdr:row>6</xdr:row>
                    <xdr:rowOff>171450</xdr:rowOff>
                  </to>
                </anchor>
              </controlPr>
            </control>
          </mc:Choice>
        </mc:AlternateContent>
        <mc:AlternateContent xmlns:mc="http://schemas.openxmlformats.org/markup-compatibility/2006">
          <mc:Choice Requires="x14">
            <control shapeId="6245" r:id="rId8" name="Drop Down 101">
              <controlPr defaultSize="0" autoLine="0" autoPict="0">
                <anchor moveWithCells="1">
                  <from>
                    <xdr:col>14</xdr:col>
                    <xdr:colOff>114300</xdr:colOff>
                    <xdr:row>2</xdr:row>
                    <xdr:rowOff>0</xdr:rowOff>
                  </from>
                  <to>
                    <xdr:col>18</xdr:col>
                    <xdr:colOff>0</xdr:colOff>
                    <xdr:row>2</xdr:row>
                    <xdr:rowOff>180975</xdr:rowOff>
                  </to>
                </anchor>
              </controlPr>
            </control>
          </mc:Choice>
        </mc:AlternateContent>
        <mc:AlternateContent xmlns:mc="http://schemas.openxmlformats.org/markup-compatibility/2006">
          <mc:Choice Requires="x14">
            <control shapeId="6248" r:id="rId9" name="Drop Down 104">
              <controlPr defaultSize="0" autoLine="0" autoPict="0">
                <anchor moveWithCells="1">
                  <from>
                    <xdr:col>14</xdr:col>
                    <xdr:colOff>114300</xdr:colOff>
                    <xdr:row>3</xdr:row>
                    <xdr:rowOff>0</xdr:rowOff>
                  </from>
                  <to>
                    <xdr:col>20</xdr:col>
                    <xdr:colOff>209550</xdr:colOff>
                    <xdr:row>3</xdr:row>
                    <xdr:rowOff>180975</xdr:rowOff>
                  </to>
                </anchor>
              </controlPr>
            </control>
          </mc:Choice>
        </mc:AlternateContent>
        <mc:AlternateContent xmlns:mc="http://schemas.openxmlformats.org/markup-compatibility/2006">
          <mc:Choice Requires="x14">
            <control shapeId="6249" r:id="rId10" name="Drop Down 105">
              <controlPr defaultSize="0" autoLine="0" autoPict="0">
                <anchor moveWithCells="1">
                  <from>
                    <xdr:col>14</xdr:col>
                    <xdr:colOff>114300</xdr:colOff>
                    <xdr:row>4</xdr:row>
                    <xdr:rowOff>0</xdr:rowOff>
                  </from>
                  <to>
                    <xdr:col>18</xdr:col>
                    <xdr:colOff>0</xdr:colOff>
                    <xdr:row>4</xdr:row>
                    <xdr:rowOff>180975</xdr:rowOff>
                  </to>
                </anchor>
              </controlPr>
            </control>
          </mc:Choice>
        </mc:AlternateContent>
        <mc:AlternateContent xmlns:mc="http://schemas.openxmlformats.org/markup-compatibility/2006">
          <mc:Choice Requires="x14">
            <control shapeId="6491" r:id="rId11" name="Option Button 347">
              <controlPr defaultSize="0" autoFill="0" autoLine="0" autoPict="0">
                <anchor moveWithCells="1">
                  <from>
                    <xdr:col>47</xdr:col>
                    <xdr:colOff>19050</xdr:colOff>
                    <xdr:row>5</xdr:row>
                    <xdr:rowOff>38100</xdr:rowOff>
                  </from>
                  <to>
                    <xdr:col>47</xdr:col>
                    <xdr:colOff>200025</xdr:colOff>
                    <xdr:row>6</xdr:row>
                    <xdr:rowOff>161925</xdr:rowOff>
                  </to>
                </anchor>
              </controlPr>
            </control>
          </mc:Choice>
        </mc:AlternateContent>
        <mc:AlternateContent xmlns:mc="http://schemas.openxmlformats.org/markup-compatibility/2006">
          <mc:Choice Requires="x14">
            <control shapeId="7082" r:id="rId12" name="Option Button 938">
              <controlPr defaultSize="0" autoFill="0" autoLine="0" autoPict="0">
                <anchor moveWithCells="1">
                  <from>
                    <xdr:col>53</xdr:col>
                    <xdr:colOff>9525</xdr:colOff>
                    <xdr:row>5</xdr:row>
                    <xdr:rowOff>47625</xdr:rowOff>
                  </from>
                  <to>
                    <xdr:col>53</xdr:col>
                    <xdr:colOff>190500</xdr:colOff>
                    <xdr:row>6</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25FC8BE-0E0E-4105-8DEE-64C6233108F7}">
            <x14:dataBar minLength="0" maxLength="100" gradient="0">
              <x14:cfvo type="num">
                <xm:f>-0.45</xm:f>
              </x14:cfvo>
              <x14:cfvo type="num">
                <xm:f>1</xm:f>
              </x14:cfvo>
              <x14:negativeFillColor rgb="FFFF0000"/>
              <x14:axisColor rgb="FF000000"/>
            </x14:dataBar>
          </x14:cfRule>
          <xm:sqref>V12:Y147</xm:sqref>
        </x14:conditionalFormatting>
        <x14:conditionalFormatting xmlns:xm="http://schemas.microsoft.com/office/excel/2006/main">
          <x14:cfRule type="dataBar" id="{2940B666-567A-4EE3-978A-AC4FCC9A37E5}">
            <x14:dataBar minLength="0" maxLength="100" gradient="0">
              <x14:cfvo type="formula">
                <xm:f>-MAX($BB$12:$BB$147)/2.5</xm:f>
              </x14:cfvo>
              <x14:cfvo type="autoMax"/>
              <x14:negativeFillColor rgb="FFFF0000"/>
              <x14:axisColor rgb="FF000000"/>
            </x14:dataBar>
          </x14:cfRule>
          <xm:sqref>BB12:BE147</xm:sqref>
        </x14:conditionalFormatting>
        <x14:conditionalFormatting xmlns:xm="http://schemas.microsoft.com/office/excel/2006/main">
          <x14:cfRule type="dataBar" id="{8977693E-62BC-4E14-B31D-FC916F019C92}">
            <x14:dataBar minLength="0" maxLength="100" gradient="0">
              <x14:cfvo type="num">
                <xm:f>-0.4</xm:f>
              </x14:cfvo>
              <x14:cfvo type="num">
                <xm:f>1</xm:f>
              </x14:cfvo>
              <x14:negativeFillColor rgb="FFFF0000"/>
              <x14:axisColor rgb="FF000000"/>
            </x14:dataBar>
          </x14:cfRule>
          <xm:sqref>AV12:AY147</xm:sqref>
        </x14:conditionalFormatting>
        <x14:conditionalFormatting xmlns:xm="http://schemas.microsoft.com/office/excel/2006/main">
          <x14:cfRule type="dataBar" id="{4BE7E483-1738-4E7B-9E45-DFCF1E7263BD}">
            <x14:dataBar minLength="0" maxLength="100" gradient="0">
              <x14:cfvo type="formula">
                <xm:f>-MAX($AG$12:$AG$147)/2.5</xm:f>
              </x14:cfvo>
              <x14:cfvo type="autoMax"/>
              <x14:negativeFillColor rgb="FFFF0000"/>
              <x14:axisColor rgb="FF000000"/>
            </x14:dataBar>
          </x14:cfRule>
          <xm:sqref>AG12:AJ147</xm:sqref>
        </x14:conditionalFormatting>
        <x14:conditionalFormatting xmlns:xm="http://schemas.microsoft.com/office/excel/2006/main">
          <x14:cfRule type="expression" priority="1" id="{47AFA192-DB52-4384-AAA5-9947D7ADFAC0}">
            <xm:f>'Intermediate Data'!$AO56="CLASS"</xm:f>
            <x14:dxf>
              <font>
                <color theme="8"/>
              </font>
            </x14:dxf>
          </x14:cfRule>
          <xm:sqref>AG12:AJ147</xm:sqref>
        </x14:conditionalFormatting>
        <x14:conditionalFormatting xmlns:xm="http://schemas.microsoft.com/office/excel/2006/main">
          <x14:cfRule type="expression" priority="5" id="{FEEE029A-7D99-4ED0-8E58-5B77C6A187DD}">
            <xm:f>'Intermediate Data'!$AH56="CLASS"</xm:f>
            <x14:dxf>
              <font>
                <color theme="8"/>
              </font>
            </x14:dxf>
          </x14:cfRule>
          <xm:sqref>V12:Y147</xm:sqref>
        </x14:conditionalFormatting>
        <x14:conditionalFormatting xmlns:xm="http://schemas.microsoft.com/office/excel/2006/main">
          <x14:cfRule type="expression" priority="240" id="{99FE4942-555A-4447-8FC9-888F4A9ACBBE}">
            <xm:f>'Intermediate Data'!$D$48=1</xm:f>
            <x14:dxf>
              <fill>
                <patternFill>
                  <bgColor theme="5" tint="0.59996337778862885"/>
                </patternFill>
              </fill>
            </x14:dxf>
          </x14:cfRule>
          <x14:cfRule type="expression" priority="241" id="{029113BF-D213-4AF3-BB35-C4EEB9FE1A96}">
            <xm:f>'Intermediate Data'!$D$48=0</xm:f>
            <x14:dxf>
              <fill>
                <patternFill>
                  <bgColor theme="4" tint="0.59996337778862885"/>
                </patternFill>
              </fill>
            </x14:dxf>
          </x14:cfRule>
          <xm:sqref>B9:L9 Y3:BF3</xm:sqref>
        </x14:conditionalFormatting>
        <x14:conditionalFormatting xmlns:xm="http://schemas.microsoft.com/office/excel/2006/main">
          <x14:cfRule type="expression" priority="4" id="{048C0F85-D0FF-47B6-9EF1-86C890404448}">
            <xm:f>'Intermediate Data'!$E$48='Intermediate Data'!$B$4</xm:f>
            <x14:dxf>
              <font>
                <color theme="2" tint="-0.24994659260841701"/>
              </font>
              <fill>
                <patternFill>
                  <bgColor theme="0"/>
                </patternFill>
              </fill>
            </x14:dxf>
          </x14:cfRule>
          <xm:sqref>K4:U4</xm:sqref>
        </x14:conditionalFormatting>
        <x14:conditionalFormatting xmlns:xm="http://schemas.microsoft.com/office/excel/2006/main">
          <x14:cfRule type="expression" priority="2" id="{936BA74E-BD3F-4EA3-AD8B-7584427F800E}">
            <xm:f>'Intermediate Data'!$D$48=1</xm:f>
            <x14:dxf>
              <fill>
                <patternFill>
                  <bgColor theme="5" tint="0.59996337778862885"/>
                </patternFill>
              </fill>
            </x14:dxf>
          </x14:cfRule>
          <x14:cfRule type="expression" priority="3" id="{DB135641-002E-44A2-AE36-C757E515F9AB}">
            <xm:f>'Intermediate Data'!$D$48=0</xm:f>
            <x14:dxf>
              <fill>
                <patternFill>
                  <bgColor theme="4" tint="0.59996337778862885"/>
                </patternFill>
              </fill>
            </x14:dxf>
          </x14:cfRule>
          <xm:sqref>V3:X3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9"/>
  </sheetPr>
  <dimension ref="A1:DF70"/>
  <sheetViews>
    <sheetView showGridLines="0" zoomScale="90" zoomScaleNormal="90" workbookViewId="0">
      <selection activeCell="O6" sqref="O6"/>
    </sheetView>
  </sheetViews>
  <sheetFormatPr defaultColWidth="0" defaultRowHeight="15" zeroHeight="1" x14ac:dyDescent="0.25"/>
  <cols>
    <col min="1" max="1" width="1.28515625" customWidth="1"/>
    <col min="2" max="7" width="3.85546875" customWidth="1"/>
    <col min="8" max="8" width="5.42578125" customWidth="1"/>
    <col min="9" max="10" width="3.85546875" customWidth="1"/>
    <col min="11" max="11" width="6" bestFit="1" customWidth="1"/>
    <col min="12" max="14" width="3.85546875" customWidth="1"/>
    <col min="15" max="15" width="4.85546875" customWidth="1"/>
    <col min="16" max="16" width="4.42578125" customWidth="1"/>
    <col min="17" max="17" width="5" customWidth="1"/>
    <col min="18" max="19" width="5.140625" customWidth="1"/>
    <col min="20" max="20" width="5" customWidth="1"/>
    <col min="21" max="21" width="5.140625" customWidth="1"/>
    <col min="22" max="22" width="4.28515625" bestFit="1" customWidth="1"/>
    <col min="23" max="23" width="5.28515625" customWidth="1"/>
    <col min="24" max="24" width="4.7109375" customWidth="1"/>
    <col min="25" max="25" width="3.85546875" customWidth="1"/>
    <col min="26" max="26" width="1.7109375" customWidth="1"/>
    <col min="27" max="28" width="4.140625" style="143" customWidth="1"/>
    <col min="29" max="29" width="4.28515625" style="143" customWidth="1"/>
    <col min="30" max="30" width="1.5703125" style="143" customWidth="1"/>
    <col min="31" max="32" width="4.28515625" style="143" customWidth="1"/>
    <col min="33" max="33" width="4" style="143" customWidth="1"/>
    <col min="34" max="34" width="4.140625" style="143" customWidth="1"/>
    <col min="35" max="35" width="3.140625" style="143" customWidth="1"/>
    <col min="36" max="37" width="4.140625" style="143" customWidth="1"/>
    <col min="38" max="38" width="3.5703125" style="143" customWidth="1"/>
    <col min="39" max="43" width="4.140625" style="143" customWidth="1"/>
    <col min="44" max="44" width="4.85546875" style="143" customWidth="1"/>
    <col min="45" max="45" width="4.140625" style="143" customWidth="1"/>
    <col min="46" max="46" width="2.85546875" style="143" customWidth="1"/>
    <col min="47" max="47" width="2.7109375" customWidth="1"/>
    <col min="48" max="48" width="4.140625" customWidth="1"/>
    <col min="49" max="49" width="2.140625" customWidth="1"/>
    <col min="50" max="50" width="4.7109375" customWidth="1"/>
    <col min="51" max="51" width="4.140625" customWidth="1"/>
    <col min="52" max="53" width="2.140625" customWidth="1"/>
    <col min="54" max="63" width="2" customWidth="1"/>
    <col min="64" max="64" width="2.85546875" customWidth="1"/>
    <col min="65" max="65" width="3.85546875" customWidth="1"/>
    <col min="66" max="66" width="1.7109375" customWidth="1"/>
    <col min="67" max="68" width="3.85546875" customWidth="1"/>
    <col min="69" max="70" width="3.85546875" style="633" customWidth="1"/>
    <col min="71" max="71" width="4.85546875" style="633" customWidth="1"/>
    <col min="72" max="77" width="3.85546875" style="633" customWidth="1"/>
    <col min="78" max="79" width="4.85546875" style="633" customWidth="1"/>
    <col min="80" max="80" width="5.28515625" style="633" customWidth="1"/>
    <col min="81" max="81" width="4.5703125" style="633" customWidth="1"/>
    <col min="82" max="82" width="5.42578125" customWidth="1"/>
    <col min="83" max="83" width="4.5703125" customWidth="1"/>
    <col min="84" max="85" width="4.5703125" style="633" customWidth="1"/>
    <col min="86" max="86" width="5.140625" style="633" customWidth="1"/>
    <col min="87" max="87" width="3.85546875" customWidth="1"/>
    <col min="88" max="93" width="3.85546875" hidden="1" customWidth="1"/>
    <col min="94" max="95" width="5.28515625" hidden="1" customWidth="1"/>
    <col min="96" max="101" width="3.85546875" hidden="1" customWidth="1"/>
    <col min="102" max="103" width="5.140625" hidden="1" customWidth="1"/>
    <col min="104" max="110" width="0" hidden="1" customWidth="1"/>
    <col min="111" max="16384" width="3.85546875" hidden="1"/>
  </cols>
  <sheetData>
    <row r="1" spans="1:93" ht="15" customHeight="1" x14ac:dyDescent="0.25">
      <c r="A1" s="23"/>
      <c r="B1" s="806" t="s">
        <v>603</v>
      </c>
      <c r="C1" s="806"/>
      <c r="D1" s="806"/>
      <c r="E1" s="806"/>
      <c r="F1" s="806"/>
      <c r="G1" s="806"/>
      <c r="H1" s="806"/>
      <c r="I1" s="806"/>
      <c r="J1" s="806"/>
      <c r="K1" s="806"/>
      <c r="L1" s="674"/>
      <c r="M1" s="674"/>
      <c r="N1" s="674"/>
      <c r="O1" s="674"/>
      <c r="P1" s="674"/>
      <c r="Q1" s="674"/>
      <c r="R1" s="674"/>
      <c r="S1" s="189"/>
      <c r="T1" s="37" t="s">
        <v>1115</v>
      </c>
      <c r="U1" s="189"/>
      <c r="V1" s="189"/>
      <c r="W1" s="189"/>
      <c r="X1" s="189" t="s">
        <v>1120</v>
      </c>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c r="BH1" s="189"/>
      <c r="BI1" s="189"/>
      <c r="BJ1" s="189"/>
      <c r="BK1" s="189"/>
      <c r="BL1" s="189"/>
      <c r="BM1" s="189"/>
      <c r="BN1" s="683"/>
      <c r="BO1" s="683"/>
      <c r="BP1" s="683"/>
      <c r="BQ1" s="683"/>
      <c r="BR1" s="683"/>
      <c r="BS1" s="683"/>
      <c r="BT1" s="683"/>
      <c r="BU1" s="683"/>
      <c r="BV1" s="683"/>
      <c r="BW1" s="683"/>
      <c r="BX1" s="683"/>
      <c r="BY1" s="683"/>
      <c r="BZ1" s="683"/>
      <c r="CA1" s="683"/>
      <c r="CB1" s="683"/>
      <c r="CC1" s="683"/>
      <c r="CD1" s="683"/>
      <c r="CE1" s="683"/>
      <c r="CF1" s="683"/>
      <c r="CG1"/>
      <c r="CH1"/>
      <c r="CJ1" s="66"/>
      <c r="CK1" s="66"/>
      <c r="CL1" s="23"/>
      <c r="CM1" s="23"/>
      <c r="CN1" s="23"/>
      <c r="CO1" s="23"/>
    </row>
    <row r="2" spans="1:93" ht="15.75" customHeight="1" x14ac:dyDescent="0.25">
      <c r="A2" s="23"/>
      <c r="B2" s="806"/>
      <c r="C2" s="806"/>
      <c r="D2" s="806"/>
      <c r="E2" s="806"/>
      <c r="F2" s="806"/>
      <c r="G2" s="806"/>
      <c r="H2" s="806"/>
      <c r="I2" s="806"/>
      <c r="J2" s="806"/>
      <c r="K2" s="806"/>
      <c r="L2" s="674"/>
      <c r="M2" s="674"/>
      <c r="N2" s="674"/>
      <c r="O2" s="674"/>
      <c r="P2" s="674"/>
      <c r="Q2" s="674"/>
      <c r="R2" s="674"/>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683"/>
      <c r="BO2" s="683"/>
      <c r="BP2" s="683"/>
      <c r="BQ2" s="683"/>
      <c r="BR2" s="683"/>
      <c r="BS2" s="683"/>
      <c r="BT2" s="683"/>
      <c r="BU2" s="683"/>
      <c r="BV2" s="683"/>
      <c r="BW2" s="683"/>
      <c r="BX2" s="683"/>
      <c r="BY2" s="683"/>
      <c r="BZ2" s="683"/>
      <c r="CA2" s="683"/>
      <c r="CB2" s="683"/>
      <c r="CC2" s="683"/>
      <c r="CD2" s="683"/>
      <c r="CE2" s="683"/>
      <c r="CF2" s="683"/>
      <c r="CG2"/>
      <c r="CH2"/>
      <c r="CJ2" s="30"/>
      <c r="CK2" s="30"/>
      <c r="CL2" s="30"/>
      <c r="CM2" s="30"/>
      <c r="CN2" s="30"/>
      <c r="CO2" s="30"/>
    </row>
    <row r="3" spans="1:93" x14ac:dyDescent="0.25">
      <c r="A3" s="23"/>
      <c r="C3" s="127" t="s">
        <v>183</v>
      </c>
      <c r="D3" s="126"/>
      <c r="E3" s="126"/>
      <c r="F3" s="126"/>
      <c r="G3" s="126"/>
      <c r="H3" s="126"/>
      <c r="I3" s="126"/>
      <c r="J3" s="151"/>
      <c r="K3" s="126"/>
      <c r="L3" s="126"/>
      <c r="M3" s="126"/>
      <c r="Q3" s="30"/>
      <c r="R3" s="30"/>
      <c r="S3" s="30"/>
      <c r="T3" s="27"/>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687"/>
      <c r="CH3"/>
      <c r="CJ3" s="30"/>
      <c r="CK3" s="30"/>
      <c r="CL3" s="30"/>
      <c r="CM3" s="30"/>
      <c r="CN3" s="30"/>
      <c r="CO3" s="30"/>
    </row>
    <row r="4" spans="1:93" x14ac:dyDescent="0.25">
      <c r="A4" s="23"/>
      <c r="C4" s="127" t="s">
        <v>582</v>
      </c>
      <c r="D4" s="209"/>
      <c r="E4" s="209"/>
      <c r="F4" s="209"/>
      <c r="G4" s="126"/>
      <c r="H4" s="126"/>
      <c r="I4" s="126"/>
      <c r="J4" s="126"/>
      <c r="K4" s="126"/>
      <c r="L4" s="126"/>
      <c r="M4" s="126"/>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Q4"/>
      <c r="BR4"/>
      <c r="BS4"/>
      <c r="BT4"/>
      <c r="BU4"/>
      <c r="BV4"/>
      <c r="BW4"/>
      <c r="BX4"/>
      <c r="BY4"/>
      <c r="BZ4"/>
      <c r="CA4"/>
      <c r="CB4"/>
      <c r="CC4"/>
      <c r="CD4" s="633"/>
      <c r="CE4" s="633"/>
      <c r="CG4"/>
      <c r="CH4"/>
    </row>
    <row r="5" spans="1:93" x14ac:dyDescent="0.25">
      <c r="A5" s="23"/>
      <c r="C5" s="127" t="s">
        <v>352</v>
      </c>
      <c r="D5" s="126"/>
      <c r="E5" s="126"/>
      <c r="F5" s="126"/>
      <c r="G5" s="126"/>
      <c r="H5" s="126"/>
      <c r="I5" s="126"/>
      <c r="J5" s="126"/>
      <c r="K5" s="126"/>
      <c r="L5" s="126"/>
      <c r="M5" s="126"/>
      <c r="Q5" s="980" t="str">
        <f>'Intermediate Data'!AY50</f>
        <v>All IOUs</v>
      </c>
      <c r="R5" s="980"/>
      <c r="S5" s="980"/>
      <c r="T5" s="980"/>
      <c r="U5" s="980"/>
      <c r="V5" s="980"/>
      <c r="W5" s="980"/>
      <c r="X5" s="980"/>
      <c r="Y5" s="980"/>
      <c r="Z5" s="23"/>
      <c r="AA5" s="981" t="s">
        <v>602</v>
      </c>
      <c r="AB5" s="981"/>
      <c r="AC5" s="981"/>
      <c r="AD5" s="981"/>
      <c r="AE5" s="981"/>
      <c r="AF5" s="981"/>
      <c r="AG5" s="981"/>
      <c r="AH5" s="981"/>
      <c r="AI5" s="981"/>
      <c r="AJ5" s="981"/>
      <c r="AK5" s="981"/>
      <c r="AL5" s="981"/>
      <c r="AM5" s="981"/>
      <c r="AN5" s="981"/>
      <c r="AO5" s="981"/>
      <c r="AP5" s="981"/>
      <c r="AQ5" s="981"/>
      <c r="AR5" s="981"/>
      <c r="AS5" s="981"/>
      <c r="AT5" s="981"/>
      <c r="AU5" s="981"/>
      <c r="AV5" s="981"/>
      <c r="AW5" s="981"/>
      <c r="AX5" s="981"/>
      <c r="AY5" s="981"/>
      <c r="AZ5" s="688"/>
      <c r="BA5" s="980" t="s">
        <v>1040</v>
      </c>
      <c r="BB5" s="980"/>
      <c r="BC5" s="980"/>
      <c r="BD5" s="980"/>
      <c r="BE5" s="980"/>
      <c r="BF5" s="980"/>
      <c r="BG5" s="980"/>
      <c r="BH5" s="980"/>
      <c r="BI5" s="980"/>
      <c r="BJ5" s="980"/>
      <c r="BK5" s="980"/>
      <c r="BL5" s="980"/>
      <c r="BM5" s="980"/>
      <c r="BN5" s="23"/>
      <c r="BO5" s="980" t="s">
        <v>1039</v>
      </c>
      <c r="BP5" s="980"/>
      <c r="BQ5" s="980"/>
      <c r="BR5" s="980"/>
      <c r="BS5" s="980"/>
      <c r="BT5" s="980"/>
      <c r="BU5" s="980"/>
      <c r="BV5" s="980"/>
      <c r="BW5" s="980"/>
      <c r="BX5" s="980"/>
      <c r="BY5" s="980"/>
      <c r="BZ5" s="980"/>
      <c r="CA5"/>
      <c r="CB5" s="66"/>
      <c r="CC5" s="66"/>
      <c r="CD5" s="66"/>
      <c r="CE5" s="66"/>
      <c r="CF5" s="66"/>
      <c r="CG5"/>
      <c r="CH5"/>
    </row>
    <row r="6" spans="1:93" ht="7.5" customHeight="1" x14ac:dyDescent="0.25">
      <c r="A6" s="23"/>
      <c r="C6" s="23"/>
      <c r="D6" s="23"/>
      <c r="E6" s="23"/>
      <c r="F6" s="23"/>
      <c r="G6" s="23"/>
      <c r="H6" s="23"/>
      <c r="I6" s="23"/>
      <c r="J6" s="167"/>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Q6"/>
      <c r="BR6"/>
      <c r="BS6"/>
      <c r="BT6"/>
      <c r="BU6"/>
      <c r="BY6"/>
      <c r="BZ6"/>
      <c r="CA6"/>
      <c r="CB6"/>
      <c r="CC6"/>
      <c r="CF6"/>
      <c r="CG6"/>
      <c r="CH6"/>
    </row>
    <row r="7" spans="1:93" x14ac:dyDescent="0.25">
      <c r="A7" s="23"/>
      <c r="C7" s="127" t="s">
        <v>399</v>
      </c>
      <c r="D7" s="126"/>
      <c r="E7" s="126"/>
      <c r="F7" s="126"/>
      <c r="G7" s="126"/>
      <c r="H7" s="126"/>
      <c r="I7" s="126"/>
      <c r="J7" s="126"/>
      <c r="K7" s="126"/>
      <c r="L7" s="126"/>
      <c r="M7" s="126"/>
      <c r="Q7" s="677"/>
      <c r="R7" s="24"/>
      <c r="S7" s="24"/>
      <c r="T7" s="24"/>
      <c r="U7" s="24"/>
      <c r="V7" s="154"/>
      <c r="W7" s="24"/>
      <c r="X7" s="24"/>
      <c r="Y7" s="24"/>
      <c r="Z7" s="24"/>
      <c r="AA7" s="154"/>
      <c r="AB7" s="24"/>
      <c r="AC7" s="24"/>
      <c r="AD7" s="24"/>
      <c r="AE7" s="154"/>
      <c r="AF7" s="24"/>
      <c r="AG7" s="24"/>
      <c r="AH7" s="24"/>
      <c r="AI7" s="24"/>
      <c r="AJ7" s="154"/>
      <c r="AL7" s="24"/>
      <c r="AM7" s="154"/>
      <c r="AN7" s="676"/>
      <c r="AO7" s="24"/>
      <c r="AP7" s="24"/>
      <c r="AQ7" s="24"/>
      <c r="AR7" s="24"/>
      <c r="AS7" s="24"/>
      <c r="AT7" s="24"/>
      <c r="AU7" s="24"/>
      <c r="AV7" s="154"/>
      <c r="AW7" s="24"/>
      <c r="AX7" s="24"/>
      <c r="AY7" s="24"/>
      <c r="AZ7" s="24"/>
      <c r="BA7" s="921"/>
      <c r="BB7" s="921"/>
      <c r="BC7" s="24"/>
      <c r="BD7" s="24"/>
      <c r="BE7" s="24"/>
      <c r="BF7" s="23"/>
      <c r="BG7" s="23"/>
      <c r="BH7" s="23"/>
      <c r="BI7" s="23"/>
      <c r="BJ7" s="23"/>
      <c r="BK7" s="23"/>
      <c r="BL7" s="23"/>
      <c r="BM7" s="23"/>
      <c r="BN7" s="106"/>
      <c r="BO7" s="126"/>
      <c r="BQ7"/>
      <c r="BR7"/>
      <c r="BS7"/>
      <c r="BT7"/>
      <c r="BU7" s="126"/>
      <c r="BY7"/>
      <c r="BZ7"/>
      <c r="CA7"/>
      <c r="CB7"/>
      <c r="CC7"/>
      <c r="CF7"/>
      <c r="CG7"/>
      <c r="CH7"/>
    </row>
    <row r="8" spans="1:93" x14ac:dyDescent="0.25">
      <c r="A8" s="23"/>
      <c r="C8" s="23"/>
      <c r="D8" s="23"/>
      <c r="E8" s="23"/>
      <c r="F8" s="23"/>
      <c r="G8" s="23"/>
      <c r="H8" s="23"/>
      <c r="I8" s="23"/>
      <c r="J8" s="61"/>
      <c r="K8" s="23"/>
      <c r="L8" s="23"/>
      <c r="M8" s="23"/>
      <c r="N8" s="23"/>
      <c r="O8" s="23"/>
      <c r="P8" s="23"/>
      <c r="Q8" s="181" t="s">
        <v>407</v>
      </c>
      <c r="R8" s="181"/>
      <c r="S8" s="181"/>
      <c r="T8" s="181"/>
      <c r="U8" s="23"/>
      <c r="V8" s="180" t="s">
        <v>993</v>
      </c>
      <c r="W8" s="180"/>
      <c r="X8" s="180"/>
      <c r="Y8" s="180"/>
      <c r="Z8" s="23"/>
      <c r="AA8" s="220" t="s">
        <v>640</v>
      </c>
      <c r="AB8" s="182"/>
      <c r="AC8" s="182"/>
      <c r="AD8" s="29"/>
      <c r="AE8" s="808" t="s">
        <v>992</v>
      </c>
      <c r="AF8" s="808"/>
      <c r="AG8" s="808"/>
      <c r="AH8" s="808"/>
      <c r="AI8" s="808"/>
      <c r="AJ8" s="808"/>
      <c r="AK8" s="808"/>
      <c r="AL8" s="808"/>
      <c r="AM8" s="808"/>
      <c r="AN8" s="808"/>
      <c r="AO8" s="808"/>
      <c r="AP8" s="808"/>
      <c r="AQ8" s="808"/>
      <c r="AR8" s="808"/>
      <c r="AS8" s="808"/>
      <c r="AT8" s="808"/>
      <c r="AU8" s="23"/>
      <c r="AV8" s="183" t="s">
        <v>180</v>
      </c>
      <c r="AW8" s="183"/>
      <c r="AX8" s="183"/>
      <c r="AY8" s="183"/>
      <c r="AZ8" s="23"/>
      <c r="BA8" s="180" t="s">
        <v>776</v>
      </c>
      <c r="BB8" s="180"/>
      <c r="BC8" s="180"/>
      <c r="BD8" s="180"/>
      <c r="BE8" s="180"/>
      <c r="BF8" s="180"/>
      <c r="BG8" s="180"/>
      <c r="BH8" s="180"/>
      <c r="BI8" s="180"/>
      <c r="BJ8" s="180"/>
      <c r="BK8" s="180"/>
      <c r="BL8" s="180"/>
      <c r="BM8" s="180"/>
      <c r="BN8" s="23"/>
      <c r="BO8" s="982" t="s">
        <v>1032</v>
      </c>
      <c r="BP8" s="982"/>
      <c r="BQ8" s="982"/>
      <c r="BR8" s="982"/>
      <c r="BS8" s="982"/>
      <c r="BT8" s="983"/>
      <c r="BU8" s="980" t="s">
        <v>1033</v>
      </c>
      <c r="BV8" s="980"/>
      <c r="BW8" s="980"/>
      <c r="BX8" s="980"/>
      <c r="BY8" s="980"/>
      <c r="BZ8" s="980"/>
      <c r="CA8"/>
      <c r="CB8"/>
      <c r="CC8"/>
      <c r="CF8"/>
      <c r="CG8"/>
      <c r="CH8"/>
    </row>
    <row r="9" spans="1:93" ht="15.75" customHeight="1" thickBot="1" x14ac:dyDescent="0.5">
      <c r="A9" s="23"/>
      <c r="C9" s="127" t="s">
        <v>424</v>
      </c>
      <c r="D9" s="126"/>
      <c r="E9" s="126"/>
      <c r="F9" s="126"/>
      <c r="G9" s="126"/>
      <c r="I9" s="23"/>
      <c r="J9" s="23"/>
      <c r="K9" s="23"/>
      <c r="L9" s="23"/>
      <c r="M9" s="23"/>
      <c r="N9" s="23"/>
      <c r="O9" s="23"/>
      <c r="P9" s="23"/>
      <c r="Q9" s="181" t="s">
        <v>408</v>
      </c>
      <c r="R9" s="181"/>
      <c r="S9" s="181"/>
      <c r="T9" s="181"/>
      <c r="U9" s="23"/>
      <c r="V9" s="180"/>
      <c r="W9" s="180"/>
      <c r="X9" s="188"/>
      <c r="Y9" s="669" t="s">
        <v>995</v>
      </c>
      <c r="Z9" s="23"/>
      <c r="AA9" s="182" t="s">
        <v>617</v>
      </c>
      <c r="AB9" s="182"/>
      <c r="AC9" s="182"/>
      <c r="AD9" s="29"/>
      <c r="AE9" s="952" t="s">
        <v>588</v>
      </c>
      <c r="AF9" s="952"/>
      <c r="AG9" s="952"/>
      <c r="AH9" s="952"/>
      <c r="AI9" s="953"/>
      <c r="AJ9" s="927" t="s">
        <v>180</v>
      </c>
      <c r="AK9" s="928"/>
      <c r="AL9" s="928"/>
      <c r="AM9" s="927" t="s">
        <v>1</v>
      </c>
      <c r="AN9" s="928"/>
      <c r="AO9" s="928"/>
      <c r="AP9" s="928"/>
      <c r="AQ9" s="928"/>
      <c r="AR9" s="928"/>
      <c r="AS9" s="270"/>
      <c r="AT9" s="270"/>
      <c r="AU9" s="23"/>
      <c r="AV9" s="183" t="s">
        <v>181</v>
      </c>
      <c r="AW9" s="183"/>
      <c r="AX9" s="183"/>
      <c r="AY9" s="183"/>
      <c r="AZ9" s="23"/>
      <c r="BA9" s="173" t="s">
        <v>191</v>
      </c>
      <c r="BB9" s="173"/>
      <c r="BC9" s="173"/>
      <c r="BD9" s="173"/>
      <c r="BE9" s="174" t="s">
        <v>425</v>
      </c>
      <c r="BF9" s="174"/>
      <c r="BG9" s="174"/>
      <c r="BH9" s="175" t="s">
        <v>185</v>
      </c>
      <c r="BI9" s="175"/>
      <c r="BJ9" s="175"/>
      <c r="BK9" s="267" t="s">
        <v>599</v>
      </c>
      <c r="BL9" s="268" t="s">
        <v>593</v>
      </c>
      <c r="BM9" s="269"/>
      <c r="BN9" s="23"/>
      <c r="BO9" s="984" t="s">
        <v>1031</v>
      </c>
      <c r="BP9" s="984"/>
      <c r="BQ9" s="985"/>
      <c r="BR9" s="984" t="s">
        <v>1038</v>
      </c>
      <c r="BS9" s="984"/>
      <c r="BT9" s="985"/>
      <c r="BU9" s="984" t="s">
        <v>1031</v>
      </c>
      <c r="BV9" s="984"/>
      <c r="BW9" s="985"/>
      <c r="BX9" s="984" t="s">
        <v>1038</v>
      </c>
      <c r="BY9" s="984"/>
      <c r="BZ9" s="985"/>
      <c r="CA9"/>
      <c r="CB9"/>
      <c r="CC9"/>
      <c r="CF9"/>
      <c r="CG9"/>
      <c r="CH9"/>
    </row>
    <row r="10" spans="1:93" ht="19.5" customHeight="1" x14ac:dyDescent="0.25">
      <c r="A10" s="23"/>
      <c r="B10" s="101"/>
      <c r="D10" s="193"/>
      <c r="E10" s="193"/>
      <c r="F10" s="193"/>
      <c r="G10" s="193"/>
      <c r="I10" s="30"/>
      <c r="K10" s="61"/>
      <c r="L10" s="61"/>
      <c r="M10" s="61"/>
      <c r="N10" s="61"/>
      <c r="O10" s="61"/>
      <c r="P10" s="61"/>
      <c r="Q10" s="667" t="str">
        <f>IF('Intermediate Data'!$AY$48="Electric","kWh","Therms")</f>
        <v>kWh</v>
      </c>
      <c r="R10" s="59"/>
      <c r="S10" s="59"/>
      <c r="T10" s="709" t="str">
        <f>HYPERLINK("#"&amp;ADDRESS(MATCH(80000,'SOURCE Info'!$A:$A,0),1,1,1,"SOURCE Info"),"80000")</f>
        <v>80000</v>
      </c>
      <c r="V10" s="667" t="str">
        <f>IF('Intermediate Data'!$AY$48="Electric","kWh","Therms")</f>
        <v>kWh</v>
      </c>
      <c r="W10" s="158"/>
      <c r="X10" s="922">
        <f>HYPERLINK("#"&amp;ADDRESS(MATCH(80000,'SOURCE Info'!$A:$A,0),1,1,1,"SOURCE Info"),80000)</f>
        <v>80000</v>
      </c>
      <c r="Y10" s="922"/>
      <c r="Z10" s="61"/>
      <c r="AA10" s="196" t="str">
        <f>IF('Intermediate Data'!$AY$48="Electric","kWh","Therms")</f>
        <v>kWh</v>
      </c>
      <c r="AB10" s="60"/>
      <c r="AC10" s="709" t="str">
        <f>HYPERLINK("#"&amp;ADDRESS(MATCH(30000,'SOURCE Info'!$A:$A,0),1,1,1,"SOURCE Info"),"30000")</f>
        <v>30000</v>
      </c>
      <c r="AD10" s="61"/>
      <c r="AE10" s="196" t="str">
        <f>IF('Intermediate Data'!$AY$48="Electric","kWh","Therms")</f>
        <v>kWh</v>
      </c>
      <c r="AF10" s="59"/>
      <c r="AG10" s="59"/>
      <c r="AH10" s="195" t="s">
        <v>0</v>
      </c>
      <c r="AI10" s="59"/>
      <c r="AJ10" s="196" t="str">
        <f>IF('Intermediate Data'!$AY$48="Electric","kWh","Therms")</f>
        <v>kWh</v>
      </c>
      <c r="AK10" s="922" t="str">
        <f>HYPERLINK("#"&amp;ADDRESS(MATCH(40001,'SOURCE Info'!$A:$A,0),1,1,1,"SOURCE Info"),"40001")</f>
        <v>40001</v>
      </c>
      <c r="AL10" s="923"/>
      <c r="AM10" s="196" t="str">
        <f>IF('Intermediate Data'!$AY$48="Electric","kWh","Therms")</f>
        <v>kWh</v>
      </c>
      <c r="AN10" s="138"/>
      <c r="AO10" s="138"/>
      <c r="AP10" s="266" t="s">
        <v>411</v>
      </c>
      <c r="AQ10" s="138"/>
      <c r="AR10" s="138"/>
      <c r="AS10" s="195" t="s">
        <v>616</v>
      </c>
      <c r="AT10" s="60"/>
      <c r="AU10" s="61"/>
      <c r="AV10" s="59" t="s">
        <v>1080</v>
      </c>
      <c r="AW10" s="124"/>
      <c r="AX10" s="922" t="str">
        <f>HYPERLINK("#"&amp;ADDRESS(MATCH(20001,'SOURCE Info'!$A:$A,0),1,1,1,"SOURCE Info"),"20001")</f>
        <v>20001</v>
      </c>
      <c r="AY10" s="923"/>
      <c r="AZ10" s="23"/>
      <c r="BA10" s="155" t="s">
        <v>905</v>
      </c>
      <c r="BB10" s="155">
        <v>40909</v>
      </c>
      <c r="BC10" s="155">
        <v>41275</v>
      </c>
      <c r="BD10" s="705">
        <v>41640</v>
      </c>
      <c r="BE10" s="535">
        <v>42005</v>
      </c>
      <c r="BF10" s="155">
        <v>42370</v>
      </c>
      <c r="BG10" s="155">
        <v>42736</v>
      </c>
      <c r="BH10" s="155">
        <v>43101</v>
      </c>
      <c r="BI10" s="155">
        <v>43466</v>
      </c>
      <c r="BJ10" s="155">
        <v>43831</v>
      </c>
      <c r="BK10" s="155">
        <v>44197</v>
      </c>
      <c r="BL10" s="60"/>
      <c r="BM10" s="198" t="s">
        <v>0</v>
      </c>
      <c r="BN10" s="23"/>
      <c r="BO10" s="684" t="str">
        <f>IF('Intermediate Data'!$AY$48="Electric","kWh","Therms")</f>
        <v>kWh</v>
      </c>
      <c r="BP10" s="138"/>
      <c r="BQ10" s="685"/>
      <c r="BR10" s="138" t="s">
        <v>2</v>
      </c>
      <c r="BS10" s="138"/>
      <c r="BT10" s="685"/>
      <c r="BU10" s="686" t="str">
        <f>IF('Intermediate Data'!$AY$48="Electric","kWh","Therms")</f>
        <v>kWh</v>
      </c>
      <c r="BV10" s="138"/>
      <c r="BW10" s="685"/>
      <c r="BX10" s="60" t="s">
        <v>2</v>
      </c>
      <c r="BY10" s="60"/>
      <c r="BZ10" s="709" t="str">
        <f>HYPERLINK("#"&amp;ADDRESS(MATCH(80000,'SOURCE Info'!$A:$A,0),1,1,1,"SOURCE Info"),"80000")</f>
        <v>80000</v>
      </c>
      <c r="CA10"/>
      <c r="CB10"/>
      <c r="CC10"/>
      <c r="CF10"/>
      <c r="CG10"/>
      <c r="CH10"/>
    </row>
    <row r="11" spans="1:93" ht="15" customHeight="1" x14ac:dyDescent="0.25">
      <c r="A11" s="23"/>
      <c r="B11" s="102"/>
      <c r="C11" s="663" t="s">
        <v>695</v>
      </c>
      <c r="D11" s="664"/>
      <c r="E11" s="664"/>
      <c r="F11" s="664"/>
      <c r="G11" s="664"/>
      <c r="I11" s="30"/>
      <c r="J11" s="116" t="str">
        <f ca="1">'Intermediate Data'!CF56</f>
        <v>Hot water heater - Electric</v>
      </c>
      <c r="K11" s="30"/>
      <c r="L11" s="30"/>
      <c r="M11" s="30"/>
      <c r="N11" s="30"/>
      <c r="O11" s="30"/>
      <c r="P11" s="30"/>
      <c r="Q11" s="832">
        <f ca="1">'Intermediate Data'!CN56</f>
        <v>157412636.60087502</v>
      </c>
      <c r="R11" s="832"/>
      <c r="S11" s="832"/>
      <c r="T11" s="832"/>
      <c r="U11" s="679"/>
      <c r="V11" s="824">
        <f ca="1">'Intermediate Data'!CL56</f>
        <v>1139.4449239663506</v>
      </c>
      <c r="W11" s="824"/>
      <c r="X11" s="824"/>
      <c r="Y11" s="219" t="str">
        <f ca="1">'Intermediate Data'!CM56</f>
        <v/>
      </c>
      <c r="Z11" s="678"/>
      <c r="AA11" s="831" t="str">
        <f ca="1">'Intermediate Data'!CG56</f>
        <v/>
      </c>
      <c r="AB11" s="831"/>
      <c r="AC11" s="831"/>
      <c r="AD11" s="194"/>
      <c r="AE11" s="831">
        <f ca="1">'Intermediate Data'!CH56</f>
        <v>2683</v>
      </c>
      <c r="AF11" s="831"/>
      <c r="AG11" s="831"/>
      <c r="AH11" s="825">
        <f ca="1">IF(ISNUMBER(AE11),HYPERLINK("#"&amp;ADDRESS(MATCH(INDEX('DATA SOURCE #s'!BK:$BK,MATCH($J11,'DATA SOURCE #s'!$B:$B,0)),'SOURCE Info'!$A:$A,0),1,1,1,"SOURCE Info"),INDEX('DATA SOURCE #s'!BK:$BK,MATCH($J11,'DATA SOURCE #s'!$B:$B,0))),"")</f>
        <v>42001</v>
      </c>
      <c r="AI11" s="826"/>
      <c r="AJ11" s="827">
        <f ca="1">'Intermediate Data'!CI56</f>
        <v>2700</v>
      </c>
      <c r="AK11" s="827"/>
      <c r="AL11" s="827"/>
      <c r="AM11" s="827" t="str">
        <f ca="1">'Intermediate Data'!CJ56</f>
        <v/>
      </c>
      <c r="AN11" s="827"/>
      <c r="AO11" s="827"/>
      <c r="AP11" s="899" t="str">
        <f ca="1">IF('Intermediate Data'!CK56="","",'Intermediate Data'!CK56)</f>
        <v/>
      </c>
      <c r="AQ11" s="900"/>
      <c r="AR11" s="900"/>
      <c r="AS11" s="825" t="str">
        <f ca="1">IF(ISNUMBER(AM11),HYPERLINK("#"&amp;ADDRESS(MATCH(INDEX('DATA SOURCE #s'!$BO:BO,MATCH($J11,'DATA SOURCE #s'!$B:$B,0)),'SOURCE Info'!$A:$A,0),1,1,1,"SOURCE Info"),INDEX('DATA SOURCE #s'!$BO:BO,MATCH($J11,'DATA SOURCE #s'!$B:$B,0))),"")</f>
        <v/>
      </c>
      <c r="AT11" s="826"/>
      <c r="AU11" s="689"/>
      <c r="AV11" s="804">
        <f ca="1">'Intermediate Data'!CO56</f>
        <v>0.01</v>
      </c>
      <c r="AW11" s="804"/>
      <c r="AX11" s="804"/>
      <c r="AY11" s="804"/>
      <c r="AZ11" s="678"/>
      <c r="BA11" s="176" t="str">
        <f ca="1">IF(IFERROR(YEAR('Intermediate Data'!$CV56)&lt;2012,FALSE)=TRUE,"n","")</f>
        <v/>
      </c>
      <c r="BB11" s="177" t="str">
        <f ca="1">IF(IFERROR(YEAR('Intermediate Data'!$CV56)=YEAR(BB$10),FALSE)=TRUE,"n","")</f>
        <v/>
      </c>
      <c r="BC11" s="533" t="str">
        <f ca="1">IF(IFERROR(YEAR('Intermediate Data'!$CV56)=YEAR(BC$10),FALSE)=TRUE,"n","")</f>
        <v/>
      </c>
      <c r="BD11" s="534" t="str">
        <f ca="1">IF(IFERROR(YEAR('Intermediate Data'!$CV56)=YEAR(BD$10),FALSE)=TRUE,"n","")</f>
        <v/>
      </c>
      <c r="BE11" s="179" t="str">
        <f ca="1">IF(IFERROR(YEAR('Intermediate Data'!$CW56)=YEAR(BE$10),FALSE)=TRUE,"n","")</f>
        <v/>
      </c>
      <c r="BF11" s="179" t="str">
        <f ca="1">IF(IFERROR(YEAR('Intermediate Data'!$CW56)=YEAR(BF$10),FALSE)=TRUE,"n","")</f>
        <v/>
      </c>
      <c r="BG11" s="179" t="str">
        <f ca="1">IF(IFERROR(YEAR('Intermediate Data'!$CW56)=YEAR(BG$10),FALSE)=TRUE,"n","")</f>
        <v/>
      </c>
      <c r="BH11" s="179" t="str">
        <f ca="1">IF(IFERROR(YEAR('Intermediate Data'!$CW56)=YEAR(BH$10),FALSE)=TRUE,"n","")</f>
        <v/>
      </c>
      <c r="BI11" s="179" t="str">
        <f ca="1">IF(IFERROR(YEAR('Intermediate Data'!$CW56)=YEAR(BI$10),FALSE)=TRUE,"n","")</f>
        <v/>
      </c>
      <c r="BJ11" s="179" t="str">
        <f ca="1">IF(IFERROR(YEAR('Intermediate Data'!$CW56)=YEAR(BJ$10),FALSE)=TRUE,"n","")</f>
        <v/>
      </c>
      <c r="BK11" s="179" t="str">
        <f ca="1">IF(IFERROR(YEAR('Intermediate Data'!$CW56)=YEAR(BK$10),FALSE)=TRUE,"n","")</f>
        <v/>
      </c>
      <c r="BL11" s="833">
        <f ca="1">IFERROR(HYPERLINK("#"&amp;ADDRESS(MATCH(INDEX('DATA SOURCE #s'!$DS:$DS,MATCH($J11,'DATA SOURCE #s'!$B:$B,0)),'SOURCE Info'!$A:$A,0),1,1,1,"SOURCE Info"),INDEX('DATA SOURCE #s'!$DS:$DS,MATCH($J11,'DATA SOURCE #s'!$B:$B,0))),"")</f>
        <v>62000</v>
      </c>
      <c r="BM11" s="834"/>
      <c r="BN11" s="23"/>
      <c r="BO11" s="978" t="str">
        <f ca="1">'Intermediate Data'!CY56</f>
        <v/>
      </c>
      <c r="BP11" s="978"/>
      <c r="BQ11" s="978"/>
      <c r="BR11" s="979" t="str">
        <f ca="1">'Intermediate Data'!CZ56</f>
        <v/>
      </c>
      <c r="BS11" s="979"/>
      <c r="BT11" s="979"/>
      <c r="BU11" s="978" t="str">
        <f ca="1">'Intermediate Data'!DA56</f>
        <v/>
      </c>
      <c r="BV11" s="978"/>
      <c r="BW11" s="978"/>
      <c r="BX11" s="979" t="str">
        <f ca="1">'Intermediate Data'!DB56</f>
        <v/>
      </c>
      <c r="BY11" s="979"/>
      <c r="BZ11" s="979"/>
      <c r="CA11" s="88" t="str">
        <f ca="1">'Intermediate Data'!CF56</f>
        <v>Hot water heater - Electric</v>
      </c>
      <c r="CB11"/>
      <c r="CC11"/>
      <c r="CF11"/>
      <c r="CG11"/>
      <c r="CH11"/>
    </row>
    <row r="12" spans="1:93" ht="15" customHeight="1" x14ac:dyDescent="0.25">
      <c r="A12" s="23"/>
      <c r="B12" s="102"/>
      <c r="C12" s="109" t="s">
        <v>696</v>
      </c>
      <c r="D12" s="664"/>
      <c r="E12" s="664"/>
      <c r="F12" s="664"/>
      <c r="G12" s="664"/>
      <c r="I12" s="30"/>
      <c r="J12" s="118" t="str">
        <f ca="1">'Intermediate Data'!CF57</f>
        <v>Hot tub/Spa - Electric</v>
      </c>
      <c r="K12" s="30"/>
      <c r="L12" s="30"/>
      <c r="M12" s="30"/>
      <c r="N12" s="30"/>
      <c r="O12" s="30"/>
      <c r="P12" s="30"/>
      <c r="Q12" s="832" t="str">
        <f ca="1">'Intermediate Data'!CN57</f>
        <v/>
      </c>
      <c r="R12" s="832"/>
      <c r="S12" s="832"/>
      <c r="T12" s="832"/>
      <c r="U12" s="679"/>
      <c r="V12" s="824" t="str">
        <f ca="1">'Intermediate Data'!CL57</f>
        <v/>
      </c>
      <c r="W12" s="824"/>
      <c r="X12" s="824"/>
      <c r="Y12" s="219" t="str">
        <f ca="1">'Intermediate Data'!CM57</f>
        <v/>
      </c>
      <c r="Z12" s="678"/>
      <c r="AA12" s="831" t="str">
        <f ca="1">'Intermediate Data'!CG57</f>
        <v/>
      </c>
      <c r="AB12" s="831"/>
      <c r="AC12" s="831"/>
      <c r="AD12" s="194"/>
      <c r="AE12" s="831">
        <f ca="1">'Intermediate Data'!CH57</f>
        <v>900</v>
      </c>
      <c r="AF12" s="831"/>
      <c r="AG12" s="831"/>
      <c r="AH12" s="825">
        <f ca="1">IF(ISNUMBER(AE12),HYPERLINK("#"&amp;ADDRESS(MATCH(INDEX('DATA SOURCE #s'!BK:$BK,MATCH($J12,'DATA SOURCE #s'!$B:$B,0)),'SOURCE Info'!$A:$A,0),1,1,1,"SOURCE Info"),INDEX('DATA SOURCE #s'!BK:$BK,MATCH($J12,'DATA SOURCE #s'!$B:$B,0))),"")</f>
        <v>41101</v>
      </c>
      <c r="AI12" s="826"/>
      <c r="AJ12" s="827" t="str">
        <f ca="1">'Intermediate Data'!CI57</f>
        <v>No spec</v>
      </c>
      <c r="AK12" s="827"/>
      <c r="AL12" s="827"/>
      <c r="AM12" s="827">
        <f ca="1">'Intermediate Data'!CJ57</f>
        <v>750</v>
      </c>
      <c r="AN12" s="827"/>
      <c r="AO12" s="827"/>
      <c r="AP12" s="899" t="str">
        <f ca="1">IF('Intermediate Data'!CK57="","",'Intermediate Data'!CK57)</f>
        <v>Max Tech</v>
      </c>
      <c r="AQ12" s="900"/>
      <c r="AR12" s="900"/>
      <c r="AS12" s="825">
        <f ca="1">IF(ISNUMBER(AM12),HYPERLINK("#"&amp;ADDRESS(MATCH(INDEX('DATA SOURCE #s'!$BO:BO,MATCH($J12,'DATA SOURCE #s'!$B:$B,0)),'SOURCE Info'!$A:$A,0),1,1,1,"SOURCE Info"),INDEX('DATA SOURCE #s'!$BO:BO,MATCH($J12,'DATA SOURCE #s'!$B:$B,0))),"")</f>
        <v>40801</v>
      </c>
      <c r="AT12" s="826"/>
      <c r="AU12" s="689"/>
      <c r="AV12" s="804" t="str">
        <f ca="1">'Intermediate Data'!CO57</f>
        <v>No spec</v>
      </c>
      <c r="AW12" s="804"/>
      <c r="AX12" s="804"/>
      <c r="AY12" s="804"/>
      <c r="AZ12" s="678"/>
      <c r="BA12" s="176" t="str">
        <f ca="1">IF(IFERROR(YEAR('Intermediate Data'!$CV57)&lt;2012,FALSE)=TRUE,"n","")</f>
        <v>n</v>
      </c>
      <c r="BB12" s="178" t="str">
        <f ca="1">IF(IFERROR(YEAR('Intermediate Data'!$CV57)=YEAR(BB$10),FALSE)=TRUE,"n","")</f>
        <v/>
      </c>
      <c r="BC12" s="177" t="str">
        <f ca="1">IF(IFERROR(YEAR('Intermediate Data'!$CV57)=YEAR(BC$10),FALSE)=TRUE,"n","")</f>
        <v/>
      </c>
      <c r="BD12" s="534" t="str">
        <f ca="1">IF(IFERROR(YEAR('Intermediate Data'!$CV57)=YEAR(BD$10),FALSE)=TRUE,"n","")</f>
        <v/>
      </c>
      <c r="BE12" s="179" t="str">
        <f ca="1">IF(IFERROR(YEAR('Intermediate Data'!$CW57)=YEAR(BE$10),FALSE)=TRUE,"n","")</f>
        <v/>
      </c>
      <c r="BF12" s="179" t="str">
        <f ca="1">IF(IFERROR(YEAR('Intermediate Data'!$CW57)=YEAR(BF$10),FALSE)=TRUE,"n","")</f>
        <v>n</v>
      </c>
      <c r="BG12" s="179" t="str">
        <f ca="1">IF(IFERROR(YEAR('Intermediate Data'!$CW57)=YEAR(BG$10),FALSE)=TRUE,"n","")</f>
        <v/>
      </c>
      <c r="BH12" s="179" t="str">
        <f ca="1">IF(IFERROR(YEAR('Intermediate Data'!$CW57)=YEAR(BH$10),FALSE)=TRUE,"n","")</f>
        <v/>
      </c>
      <c r="BI12" s="179" t="str">
        <f ca="1">IF(IFERROR(YEAR('Intermediate Data'!$CW57)=YEAR(BI$10),FALSE)=TRUE,"n","")</f>
        <v/>
      </c>
      <c r="BJ12" s="179" t="str">
        <f ca="1">IF(IFERROR(YEAR('Intermediate Data'!$CW57)=YEAR(BJ$10),FALSE)=TRUE,"n","")</f>
        <v/>
      </c>
      <c r="BK12" s="179" t="str">
        <f ca="1">IF(IFERROR(YEAR('Intermediate Data'!$CW57)=YEAR(BK$10),FALSE)=TRUE,"n","")</f>
        <v/>
      </c>
      <c r="BL12" s="833">
        <f ca="1">IFERROR(HYPERLINK("#"&amp;ADDRESS(MATCH(INDEX('DATA SOURCE #s'!$DS:$DS,MATCH($J12,'DATA SOURCE #s'!$B:$B,0)),'SOURCE Info'!$A:$A,0),1,1,1,"SOURCE Info"),INDEX('DATA SOURCE #s'!$DS:$DS,MATCH($J12,'DATA SOURCE #s'!$B:$B,0))),"")</f>
        <v>61100</v>
      </c>
      <c r="BM12" s="834"/>
      <c r="BN12" s="23"/>
      <c r="BO12" s="978">
        <f ca="1">'Intermediate Data'!CY57</f>
        <v>375.8</v>
      </c>
      <c r="BP12" s="978"/>
      <c r="BQ12" s="978"/>
      <c r="BR12" s="979">
        <f ca="1">'Intermediate Data'!CZ57</f>
        <v>0.3</v>
      </c>
      <c r="BS12" s="979"/>
      <c r="BT12" s="979"/>
      <c r="BU12" s="978">
        <f ca="1">'Intermediate Data'!DA57</f>
        <v>240</v>
      </c>
      <c r="BV12" s="978"/>
      <c r="BW12" s="978"/>
      <c r="BX12" s="979">
        <f ca="1">'Intermediate Data'!DB57</f>
        <v>0.15429999999999999</v>
      </c>
      <c r="BY12" s="979"/>
      <c r="BZ12" s="979"/>
      <c r="CA12" s="88" t="str">
        <f ca="1">'Intermediate Data'!CF57</f>
        <v>Hot tub/Spa - Electric</v>
      </c>
      <c r="CB12"/>
      <c r="CC12"/>
      <c r="CF12"/>
      <c r="CG12"/>
      <c r="CH12"/>
    </row>
    <row r="13" spans="1:93" ht="15" customHeight="1" x14ac:dyDescent="0.25">
      <c r="A13" s="23"/>
      <c r="B13" s="102"/>
      <c r="C13" s="109" t="s">
        <v>694</v>
      </c>
      <c r="D13" s="23"/>
      <c r="E13" s="23"/>
      <c r="F13" s="23"/>
      <c r="G13" s="23"/>
      <c r="I13" s="23"/>
      <c r="J13" s="118" t="str">
        <f ca="1">'Intermediate Data'!CF58</f>
        <v>Clothes washer</v>
      </c>
      <c r="K13" s="30"/>
      <c r="L13" s="30"/>
      <c r="M13" s="30"/>
      <c r="N13" s="30"/>
      <c r="O13" s="30"/>
      <c r="P13" s="30"/>
      <c r="Q13" s="832">
        <f ca="1">'Intermediate Data'!CN58</f>
        <v>124022052.892993</v>
      </c>
      <c r="R13" s="832"/>
      <c r="S13" s="832"/>
      <c r="T13" s="832"/>
      <c r="U13" s="679"/>
      <c r="V13" s="824">
        <f ca="1">'Intermediate Data'!CL58</f>
        <v>369.70118800515468</v>
      </c>
      <c r="W13" s="824"/>
      <c r="X13" s="824"/>
      <c r="Y13" s="219" t="str">
        <f ca="1">'Intermediate Data'!CM58</f>
        <v>ET</v>
      </c>
      <c r="Z13" s="678"/>
      <c r="AA13" s="831" t="str">
        <f ca="1">'Intermediate Data'!CG58</f>
        <v/>
      </c>
      <c r="AB13" s="831"/>
      <c r="AC13" s="831"/>
      <c r="AD13" s="194"/>
      <c r="AE13" s="831">
        <f ca="1">'Intermediate Data'!CH58</f>
        <v>475</v>
      </c>
      <c r="AF13" s="831"/>
      <c r="AG13" s="831"/>
      <c r="AH13" s="825">
        <f ca="1">IF(ISNUMBER(AE13),HYPERLINK("#"&amp;ADDRESS(MATCH(INDEX('DATA SOURCE #s'!BK:$BK,MATCH($J13,'DATA SOURCE #s'!$B:$B,0)),'SOURCE Info'!$A:$A,0),1,1,1,"SOURCE Info"),INDEX('DATA SOURCE #s'!BK:$BK,MATCH($J13,'DATA SOURCE #s'!$B:$B,0))),"")</f>
        <v>40101</v>
      </c>
      <c r="AI13" s="826"/>
      <c r="AJ13" s="827">
        <f ca="1">'Intermediate Data'!CI58</f>
        <v>310</v>
      </c>
      <c r="AK13" s="827"/>
      <c r="AL13" s="827"/>
      <c r="AM13" s="827" t="str">
        <f ca="1">'Intermediate Data'!CJ58</f>
        <v/>
      </c>
      <c r="AN13" s="827"/>
      <c r="AO13" s="827"/>
      <c r="AP13" s="899" t="str">
        <f ca="1">IF('Intermediate Data'!CK58="","",'Intermediate Data'!CK58)</f>
        <v/>
      </c>
      <c r="AQ13" s="900"/>
      <c r="AR13" s="900"/>
      <c r="AS13" s="825" t="str">
        <f ca="1">IF(ISNUMBER(AM13),HYPERLINK("#"&amp;ADDRESS(MATCH(INDEX('DATA SOURCE #s'!$BO:BO,MATCH($J13,'DATA SOURCE #s'!$B:$B,0)),'SOURCE Info'!$A:$A,0),1,1,1,"SOURCE Info"),INDEX('DATA SOURCE #s'!$BO:BO,MATCH($J13,'DATA SOURCE #s'!$B:$B,0))),"")</f>
        <v/>
      </c>
      <c r="AT13" s="826"/>
      <c r="AU13" s="689"/>
      <c r="AV13" s="804">
        <f ca="1">'Intermediate Data'!CO58</f>
        <v>0.66</v>
      </c>
      <c r="AW13" s="804"/>
      <c r="AX13" s="804"/>
      <c r="AY13" s="804"/>
      <c r="AZ13" s="678"/>
      <c r="BA13" s="176" t="str">
        <f ca="1">IF(IFERROR(YEAR('Intermediate Data'!$CV58)&lt;2012,FALSE)=TRUE,"n","")</f>
        <v/>
      </c>
      <c r="BB13" s="178" t="str">
        <f ca="1">IF(IFERROR(YEAR('Intermediate Data'!$CV58)=YEAR(BB$10),FALSE)=TRUE,"n","")</f>
        <v/>
      </c>
      <c r="BC13" s="177" t="str">
        <f ca="1">IF(IFERROR(YEAR('Intermediate Data'!$CV58)=YEAR(BC$10),FALSE)=TRUE,"n","")</f>
        <v/>
      </c>
      <c r="BD13" s="534" t="str">
        <f ca="1">IF(IFERROR(YEAR('Intermediate Data'!$CV58)=YEAR(BD$10),FALSE)=TRUE,"n","")</f>
        <v/>
      </c>
      <c r="BE13" s="179" t="str">
        <f ca="1">IF(IFERROR(YEAR('Intermediate Data'!$CW58)=YEAR(BE$10),FALSE)=TRUE,"n","")</f>
        <v/>
      </c>
      <c r="BF13" s="179" t="str">
        <f ca="1">IF(IFERROR(YEAR('Intermediate Data'!$CW58)=YEAR(BF$10),FALSE)=TRUE,"n","")</f>
        <v/>
      </c>
      <c r="BG13" s="179" t="str">
        <f ca="1">IF(IFERROR(YEAR('Intermediate Data'!$CW58)=YEAR(BG$10),FALSE)=TRUE,"n","")</f>
        <v/>
      </c>
      <c r="BH13" s="179" t="str">
        <f ca="1">IF(IFERROR(YEAR('Intermediate Data'!$CW58)=YEAR(BH$10),FALSE)=TRUE,"n","")</f>
        <v/>
      </c>
      <c r="BI13" s="179" t="str">
        <f ca="1">IF(IFERROR(YEAR('Intermediate Data'!$CW58)=YEAR(BI$10),FALSE)=TRUE,"n","")</f>
        <v/>
      </c>
      <c r="BJ13" s="179" t="str">
        <f ca="1">IF(IFERROR(YEAR('Intermediate Data'!$CW58)=YEAR(BJ$10),FALSE)=TRUE,"n","")</f>
        <v/>
      </c>
      <c r="BK13" s="179" t="str">
        <f ca="1">IF(IFERROR(YEAR('Intermediate Data'!$CW58)=YEAR(BK$10),FALSE)=TRUE,"n","")</f>
        <v/>
      </c>
      <c r="BL13" s="833">
        <f ca="1">IFERROR(HYPERLINK("#"&amp;ADDRESS(MATCH(INDEX('DATA SOURCE #s'!$DS:$DS,MATCH($J13,'DATA SOURCE #s'!$B:$B,0)),'SOURCE Info'!$A:$A,0),1,1,1,"SOURCE Info"),INDEX('DATA SOURCE #s'!$DS:$DS,MATCH($J13,'DATA SOURCE #s'!$B:$B,0))),"")</f>
        <v>60100</v>
      </c>
      <c r="BM13" s="834"/>
      <c r="BN13" s="23"/>
      <c r="BO13" s="978" t="str">
        <f ca="1">'Intermediate Data'!CY58</f>
        <v/>
      </c>
      <c r="BP13" s="978"/>
      <c r="BQ13" s="978"/>
      <c r="BR13" s="979" t="str">
        <f ca="1">'Intermediate Data'!CZ58</f>
        <v/>
      </c>
      <c r="BS13" s="979"/>
      <c r="BT13" s="979"/>
      <c r="BU13" s="978" t="str">
        <f ca="1">'Intermediate Data'!DA58</f>
        <v/>
      </c>
      <c r="BV13" s="978"/>
      <c r="BW13" s="978"/>
      <c r="BX13" s="979" t="str">
        <f ca="1">'Intermediate Data'!DB58</f>
        <v/>
      </c>
      <c r="BY13" s="979"/>
      <c r="BZ13" s="979"/>
      <c r="CA13" s="88" t="str">
        <f ca="1">'Intermediate Data'!CF58</f>
        <v>Clothes washer</v>
      </c>
      <c r="CB13"/>
      <c r="CC13"/>
      <c r="CF13"/>
      <c r="CG13"/>
      <c r="CH13"/>
    </row>
    <row r="14" spans="1:93" ht="15" customHeight="1" x14ac:dyDescent="0.25">
      <c r="A14" s="23"/>
      <c r="B14" s="102"/>
      <c r="C14" s="109" t="s">
        <v>89</v>
      </c>
      <c r="D14" s="23"/>
      <c r="E14" s="23"/>
      <c r="F14" s="23"/>
      <c r="G14" s="23"/>
      <c r="I14" s="23"/>
      <c r="J14" s="118" t="str">
        <f ca="1">'Intermediate Data'!CF59</f>
        <v>Clothes dryer - Electric</v>
      </c>
      <c r="K14" s="30"/>
      <c r="L14" s="30"/>
      <c r="M14" s="30"/>
      <c r="N14" s="30"/>
      <c r="O14" s="30"/>
      <c r="P14" s="30"/>
      <c r="Q14" s="832">
        <f ca="1">'Intermediate Data'!CN59</f>
        <v>1117883096.3319499</v>
      </c>
      <c r="R14" s="832"/>
      <c r="S14" s="832"/>
      <c r="T14" s="832"/>
      <c r="U14" s="679"/>
      <c r="V14" s="824">
        <f ca="1">'Intermediate Data'!CL59</f>
        <v>359.49999975127514</v>
      </c>
      <c r="W14" s="824"/>
      <c r="X14" s="824"/>
      <c r="Y14" s="219" t="str">
        <f ca="1">'Intermediate Data'!CM59</f>
        <v>ET</v>
      </c>
      <c r="Z14" s="678"/>
      <c r="AA14" s="831" t="str">
        <f ca="1">'Intermediate Data'!CG59</f>
        <v/>
      </c>
      <c r="AB14" s="831"/>
      <c r="AC14" s="831"/>
      <c r="AD14" s="194"/>
      <c r="AE14" s="831">
        <f ca="1">'Intermediate Data'!CH59</f>
        <v>243.00000000000003</v>
      </c>
      <c r="AF14" s="831"/>
      <c r="AG14" s="831"/>
      <c r="AH14" s="825">
        <f ca="1">IF(ISNUMBER(AE14),HYPERLINK("#"&amp;ADDRESS(MATCH(INDEX('DATA SOURCE #s'!BK:$BK,MATCH($J14,'DATA SOURCE #s'!$B:$B,0)),'SOURCE Info'!$A:$A,0),1,1,1,"SOURCE Info"),INDEX('DATA SOURCE #s'!BK:$BK,MATCH($J14,'DATA SOURCE #s'!$B:$B,0))),"")</f>
        <v>40601</v>
      </c>
      <c r="AI14" s="826"/>
      <c r="AJ14" s="827">
        <f ca="1">'Intermediate Data'!CI59</f>
        <v>160</v>
      </c>
      <c r="AK14" s="827"/>
      <c r="AL14" s="827"/>
      <c r="AM14" s="827" t="str">
        <f ca="1">'Intermediate Data'!CJ59</f>
        <v/>
      </c>
      <c r="AN14" s="827"/>
      <c r="AO14" s="827"/>
      <c r="AP14" s="899" t="str">
        <f ca="1">IF('Intermediate Data'!CK59="","",'Intermediate Data'!CK59)</f>
        <v/>
      </c>
      <c r="AQ14" s="900"/>
      <c r="AR14" s="900"/>
      <c r="AS14" s="825" t="str">
        <f ca="1">IF(ISNUMBER(AM14),HYPERLINK("#"&amp;ADDRESS(MATCH(INDEX('DATA SOURCE #s'!$BO:BO,MATCH($J14,'DATA SOURCE #s'!$B:$B,0)),'SOURCE Info'!$A:$A,0),1,1,1,"SOURCE Info"),INDEX('DATA SOURCE #s'!$BO:BO,MATCH($J14,'DATA SOURCE #s'!$B:$B,0))),"")</f>
        <v/>
      </c>
      <c r="AT14" s="826"/>
      <c r="AU14" s="689"/>
      <c r="AV14" s="804" t="str">
        <f ca="1">'Intermediate Data'!CO59</f>
        <v>No spec</v>
      </c>
      <c r="AW14" s="804"/>
      <c r="AX14" s="804"/>
      <c r="AY14" s="804"/>
      <c r="AZ14" s="678"/>
      <c r="BA14" s="176" t="str">
        <f ca="1">IF(IFERROR(YEAR('Intermediate Data'!$CV59)&lt;2012,FALSE)=TRUE,"n","")</f>
        <v/>
      </c>
      <c r="BB14" s="178" t="str">
        <f ca="1">IF(IFERROR(YEAR('Intermediate Data'!$CV59)=YEAR(BB$10),FALSE)=TRUE,"n","")</f>
        <v/>
      </c>
      <c r="BC14" s="177" t="str">
        <f ca="1">IF(IFERROR(YEAR('Intermediate Data'!$CV59)=YEAR(BC$10),FALSE)=TRUE,"n","")</f>
        <v/>
      </c>
      <c r="BD14" s="534" t="str">
        <f ca="1">IF(IFERROR(YEAR('Intermediate Data'!$CV59)=YEAR(BD$10),FALSE)=TRUE,"n","")</f>
        <v/>
      </c>
      <c r="BE14" s="179" t="str">
        <f ca="1">IF(IFERROR(YEAR('Intermediate Data'!$CW59)=YEAR(BE$10),FALSE)=TRUE,"n","")</f>
        <v/>
      </c>
      <c r="BF14" s="179" t="str">
        <f ca="1">IF(IFERROR(YEAR('Intermediate Data'!$CW59)=YEAR(BF$10),FALSE)=TRUE,"n","")</f>
        <v/>
      </c>
      <c r="BG14" s="179" t="str">
        <f ca="1">IF(IFERROR(YEAR('Intermediate Data'!$CW59)=YEAR(BG$10),FALSE)=TRUE,"n","")</f>
        <v/>
      </c>
      <c r="BH14" s="179" t="str">
        <f ca="1">IF(IFERROR(YEAR('Intermediate Data'!$CW59)=YEAR(BH$10),FALSE)=TRUE,"n","")</f>
        <v/>
      </c>
      <c r="BI14" s="179" t="str">
        <f ca="1">IF(IFERROR(YEAR('Intermediate Data'!$CW59)=YEAR(BI$10),FALSE)=TRUE,"n","")</f>
        <v/>
      </c>
      <c r="BJ14" s="179" t="str">
        <f ca="1">IF(IFERROR(YEAR('Intermediate Data'!$CW59)=YEAR(BJ$10),FALSE)=TRUE,"n","")</f>
        <v/>
      </c>
      <c r="BK14" s="179" t="str">
        <f ca="1">IF(IFERROR(YEAR('Intermediate Data'!$CW59)=YEAR(BK$10),FALSE)=TRUE,"n","")</f>
        <v/>
      </c>
      <c r="BL14" s="833">
        <f ca="1">IFERROR(HYPERLINK("#"&amp;ADDRESS(MATCH(INDEX('DATA SOURCE #s'!$DS:$DS,MATCH($J14,'DATA SOURCE #s'!$B:$B,0)),'SOURCE Info'!$A:$A,0),1,1,1,"SOURCE Info"),INDEX('DATA SOURCE #s'!$DS:$DS,MATCH($J14,'DATA SOURCE #s'!$B:$B,0))),"")</f>
        <v>60600</v>
      </c>
      <c r="BM14" s="834"/>
      <c r="BN14" s="23"/>
      <c r="BO14" s="978" t="str">
        <f ca="1">'Intermediate Data'!CY59</f>
        <v/>
      </c>
      <c r="BP14" s="978"/>
      <c r="BQ14" s="978"/>
      <c r="BR14" s="979" t="str">
        <f ca="1">'Intermediate Data'!CZ59</f>
        <v/>
      </c>
      <c r="BS14" s="979"/>
      <c r="BT14" s="979"/>
      <c r="BU14" s="978" t="str">
        <f ca="1">'Intermediate Data'!DA59</f>
        <v/>
      </c>
      <c r="BV14" s="978"/>
      <c r="BW14" s="978"/>
      <c r="BX14" s="979" t="str">
        <f ca="1">'Intermediate Data'!DB59</f>
        <v/>
      </c>
      <c r="BY14" s="979"/>
      <c r="BZ14" s="979"/>
      <c r="CA14" s="88" t="str">
        <f ca="1">'Intermediate Data'!CF59</f>
        <v>Clothes dryer - Electric</v>
      </c>
      <c r="CB14"/>
      <c r="CC14"/>
      <c r="CF14"/>
      <c r="CG14"/>
      <c r="CH14"/>
    </row>
    <row r="15" spans="1:93" ht="15" customHeight="1" x14ac:dyDescent="0.25">
      <c r="A15" s="23"/>
      <c r="B15" s="102"/>
      <c r="C15" s="192" t="s">
        <v>1075</v>
      </c>
      <c r="D15" s="23"/>
      <c r="E15" s="23"/>
      <c r="F15" s="23"/>
      <c r="G15" s="23"/>
      <c r="I15" s="23"/>
      <c r="J15" s="118" t="str">
        <f ca="1">'Intermediate Data'!CF60</f>
        <v>Desktop (non-portable computer)</v>
      </c>
      <c r="K15" s="30"/>
      <c r="L15" s="30"/>
      <c r="M15" s="30"/>
      <c r="N15" s="30"/>
      <c r="O15" s="30"/>
      <c r="P15" s="30"/>
      <c r="Q15" s="832">
        <f ca="1">'Intermediate Data'!CN60</f>
        <v>532705861.22803903</v>
      </c>
      <c r="R15" s="832"/>
      <c r="S15" s="832"/>
      <c r="T15" s="832"/>
      <c r="U15" s="679"/>
      <c r="V15" s="824">
        <f ca="1">'Intermediate Data'!CL60</f>
        <v>106.24095160323077</v>
      </c>
      <c r="W15" s="824"/>
      <c r="X15" s="824"/>
      <c r="Y15" s="219" t="str">
        <f ca="1">'Intermediate Data'!CM60</f>
        <v/>
      </c>
      <c r="Z15" s="678"/>
      <c r="AA15" s="831">
        <f ca="1">'Intermediate Data'!CG60</f>
        <v>183</v>
      </c>
      <c r="AB15" s="831"/>
      <c r="AC15" s="831"/>
      <c r="AD15" s="194"/>
      <c r="AE15" s="831">
        <f ca="1">'Intermediate Data'!CH60</f>
        <v>177.1</v>
      </c>
      <c r="AF15" s="831"/>
      <c r="AG15" s="831"/>
      <c r="AH15" s="825">
        <f ca="1">IF(ISNUMBER(AE15),HYPERLINK("#"&amp;ADDRESS(MATCH(INDEX('DATA SOURCE #s'!BK:$BK,MATCH($J15,'DATA SOURCE #s'!$B:$B,0)),'SOURCE Info'!$A:$A,0),1,1,1,"SOURCE Info"),INDEX('DATA SOURCE #s'!BK:$BK,MATCH($J15,'DATA SOURCE #s'!$B:$B,0))),"")</f>
        <v>41002</v>
      </c>
      <c r="AI15" s="826"/>
      <c r="AJ15" s="827">
        <f ca="1">'Intermediate Data'!CI60</f>
        <v>66</v>
      </c>
      <c r="AK15" s="827"/>
      <c r="AL15" s="827"/>
      <c r="AM15" s="827" t="str">
        <f ca="1">'Intermediate Data'!CJ60</f>
        <v/>
      </c>
      <c r="AN15" s="827"/>
      <c r="AO15" s="827"/>
      <c r="AP15" s="899" t="str">
        <f ca="1">IF('Intermediate Data'!CK60="","",'Intermediate Data'!CK60)</f>
        <v/>
      </c>
      <c r="AQ15" s="900"/>
      <c r="AR15" s="900"/>
      <c r="AS15" s="825" t="str">
        <f ca="1">IF(ISNUMBER(AM15),HYPERLINK("#"&amp;ADDRESS(MATCH(INDEX('DATA SOURCE #s'!$BO:BO,MATCH($J15,'DATA SOURCE #s'!$B:$B,0)),'SOURCE Info'!$A:$A,0),1,1,1,"SOURCE Info"),INDEX('DATA SOURCE #s'!$BO:BO,MATCH($J15,'DATA SOURCE #s'!$B:$B,0))),"")</f>
        <v/>
      </c>
      <c r="AT15" s="826"/>
      <c r="AU15" s="689"/>
      <c r="AV15" s="804">
        <f ca="1">'Intermediate Data'!CO60</f>
        <v>0.25</v>
      </c>
      <c r="AW15" s="804"/>
      <c r="AX15" s="804"/>
      <c r="AY15" s="804"/>
      <c r="AZ15" s="678"/>
      <c r="BA15" s="176" t="str">
        <f ca="1">IF(IFERROR(YEAR('Intermediate Data'!$CV60)&lt;2012,FALSE)=TRUE,"n","")</f>
        <v/>
      </c>
      <c r="BB15" s="178" t="str">
        <f ca="1">IF(IFERROR(YEAR('Intermediate Data'!$CV60)=YEAR(BB$10),FALSE)=TRUE,"n","")</f>
        <v/>
      </c>
      <c r="BC15" s="177" t="str">
        <f ca="1">IF(IFERROR(YEAR('Intermediate Data'!$CV60)=YEAR(BC$10),FALSE)=TRUE,"n","")</f>
        <v/>
      </c>
      <c r="BD15" s="534" t="str">
        <f ca="1">IF(IFERROR(YEAR('Intermediate Data'!$CV60)=YEAR(BD$10),FALSE)=TRUE,"n","")</f>
        <v/>
      </c>
      <c r="BE15" s="179" t="str">
        <f ca="1">IF(IFERROR(YEAR('Intermediate Data'!$CW60)=YEAR(BE$10),FALSE)=TRUE,"n","")</f>
        <v/>
      </c>
      <c r="BF15" s="179" t="str">
        <f ca="1">IF(IFERROR(YEAR('Intermediate Data'!$CW60)=YEAR(BF$10),FALSE)=TRUE,"n","")</f>
        <v>n</v>
      </c>
      <c r="BG15" s="179" t="str">
        <f ca="1">IF(IFERROR(YEAR('Intermediate Data'!$CW60)=YEAR(BG$10),FALSE)=TRUE,"n","")</f>
        <v/>
      </c>
      <c r="BH15" s="179" t="str">
        <f ca="1">IF(IFERROR(YEAR('Intermediate Data'!$CW60)=YEAR(BH$10),FALSE)=TRUE,"n","")</f>
        <v/>
      </c>
      <c r="BI15" s="179" t="str">
        <f ca="1">IF(IFERROR(YEAR('Intermediate Data'!$CW60)=YEAR(BI$10),FALSE)=TRUE,"n","")</f>
        <v/>
      </c>
      <c r="BJ15" s="179" t="str">
        <f ca="1">IF(IFERROR(YEAR('Intermediate Data'!$CW60)=YEAR(BJ$10),FALSE)=TRUE,"n","")</f>
        <v/>
      </c>
      <c r="BK15" s="179" t="str">
        <f ca="1">IF(IFERROR(YEAR('Intermediate Data'!$CW60)=YEAR(BK$10),FALSE)=TRUE,"n","")</f>
        <v/>
      </c>
      <c r="BL15" s="833">
        <f ca="1">IFERROR(HYPERLINK("#"&amp;ADDRESS(MATCH(INDEX('DATA SOURCE #s'!$DS:$DS,MATCH($J15,'DATA SOURCE #s'!$B:$B,0)),'SOURCE Info'!$A:$A,0),1,1,1,"SOURCE Info"),INDEX('DATA SOURCE #s'!$DS:$DS,MATCH($J15,'DATA SOURCE #s'!$B:$B,0))),"")</f>
        <v>61800</v>
      </c>
      <c r="BM15" s="834"/>
      <c r="BN15" s="23"/>
      <c r="BO15" s="978" t="str">
        <f ca="1">'Intermediate Data'!CY60</f>
        <v/>
      </c>
      <c r="BP15" s="978"/>
      <c r="BQ15" s="978"/>
      <c r="BR15" s="979" t="str">
        <f ca="1">'Intermediate Data'!CZ60</f>
        <v/>
      </c>
      <c r="BS15" s="979"/>
      <c r="BT15" s="979"/>
      <c r="BU15" s="978">
        <f ca="1">'Intermediate Data'!DA60</f>
        <v>50</v>
      </c>
      <c r="BV15" s="978"/>
      <c r="BW15" s="978"/>
      <c r="BX15" s="979">
        <f ca="1">'Intermediate Data'!DB60</f>
        <v>0.15429999999999999</v>
      </c>
      <c r="BY15" s="979"/>
      <c r="BZ15" s="979"/>
      <c r="CA15" s="88" t="str">
        <f ca="1">'Intermediate Data'!CF60</f>
        <v>Desktop (non-portable computer)</v>
      </c>
      <c r="CB15"/>
      <c r="CC15"/>
      <c r="CF15"/>
      <c r="CG15"/>
      <c r="CH15"/>
    </row>
    <row r="16" spans="1:93" ht="15" customHeight="1" x14ac:dyDescent="0.25">
      <c r="A16" s="23"/>
      <c r="B16" s="102"/>
      <c r="C16" s="109" t="s">
        <v>699</v>
      </c>
      <c r="D16" s="23"/>
      <c r="E16" s="23"/>
      <c r="F16" s="23"/>
      <c r="G16" s="23"/>
      <c r="H16" s="675"/>
      <c r="I16" s="23"/>
      <c r="J16" s="118" t="str">
        <f ca="1">'Intermediate Data'!CF61</f>
        <v>Television</v>
      </c>
      <c r="K16" s="30"/>
      <c r="L16" s="30"/>
      <c r="M16" s="30"/>
      <c r="N16" s="30"/>
      <c r="O16" s="30"/>
      <c r="P16" s="30"/>
      <c r="Q16" s="832" t="str">
        <f ca="1">'Intermediate Data'!CN61</f>
        <v/>
      </c>
      <c r="R16" s="832"/>
      <c r="S16" s="832"/>
      <c r="T16" s="832"/>
      <c r="U16" s="679"/>
      <c r="V16" s="824" t="str">
        <f ca="1">'Intermediate Data'!CL61</f>
        <v/>
      </c>
      <c r="W16" s="824"/>
      <c r="X16" s="824"/>
      <c r="Y16" s="219" t="str">
        <f ca="1">'Intermediate Data'!CM61</f>
        <v/>
      </c>
      <c r="Z16" s="678"/>
      <c r="AA16" s="831">
        <f ca="1">'Intermediate Data'!CG61</f>
        <v>230</v>
      </c>
      <c r="AB16" s="831"/>
      <c r="AC16" s="831"/>
      <c r="AD16" s="194"/>
      <c r="AE16" s="831">
        <f ca="1">'Intermediate Data'!CH61</f>
        <v>166</v>
      </c>
      <c r="AF16" s="831"/>
      <c r="AG16" s="831"/>
      <c r="AH16" s="825">
        <f ca="1">IF(ISNUMBER(AE16),HYPERLINK("#"&amp;ADDRESS(MATCH(INDEX('DATA SOURCE #s'!BK:$BK,MATCH($J16,'DATA SOURCE #s'!$B:$B,0)),'SOURCE Info'!$A:$A,0),1,1,1,"SOURCE Info"),INDEX('DATA SOURCE #s'!BK:$BK,MATCH($J16,'DATA SOURCE #s'!$B:$B,0))),"")</f>
        <v>41402</v>
      </c>
      <c r="AI16" s="826"/>
      <c r="AJ16" s="827">
        <f ca="1">'Intermediate Data'!CI61</f>
        <v>35</v>
      </c>
      <c r="AK16" s="827"/>
      <c r="AL16" s="827"/>
      <c r="AM16" s="827" t="str">
        <f ca="1">'Intermediate Data'!CJ61</f>
        <v/>
      </c>
      <c r="AN16" s="827"/>
      <c r="AO16" s="827"/>
      <c r="AP16" s="899" t="str">
        <f ca="1">IF('Intermediate Data'!CK61="","",'Intermediate Data'!CK61)</f>
        <v/>
      </c>
      <c r="AQ16" s="900"/>
      <c r="AR16" s="900"/>
      <c r="AS16" s="825" t="str">
        <f ca="1">IF(ISNUMBER(AM16),HYPERLINK("#"&amp;ADDRESS(MATCH(INDEX('DATA SOURCE #s'!$BO:BO,MATCH($J16,'DATA SOURCE #s'!$B:$B,0)),'SOURCE Info'!$A:$A,0),1,1,1,"SOURCE Info"),INDEX('DATA SOURCE #s'!$BO:BO,MATCH($J16,'DATA SOURCE #s'!$B:$B,0))),"")</f>
        <v/>
      </c>
      <c r="AT16" s="826"/>
      <c r="AU16" s="689"/>
      <c r="AV16" s="804">
        <f ca="1">'Intermediate Data'!CO61</f>
        <v>0.84</v>
      </c>
      <c r="AW16" s="804"/>
      <c r="AX16" s="804"/>
      <c r="AY16" s="804"/>
      <c r="AZ16" s="678"/>
      <c r="BA16" s="176" t="str">
        <f ca="1">IF(IFERROR(YEAR('Intermediate Data'!$CV61)&lt;2012,FALSE)=TRUE,"n","")</f>
        <v/>
      </c>
      <c r="BB16" s="178" t="str">
        <f ca="1">IF(IFERROR(YEAR('Intermediate Data'!$CV61)=YEAR(BB$10),FALSE)=TRUE,"n","")</f>
        <v/>
      </c>
      <c r="BC16" s="177" t="str">
        <f ca="1">IF(IFERROR(YEAR('Intermediate Data'!$CV61)=YEAR(BC$10),FALSE)=TRUE,"n","")</f>
        <v>n</v>
      </c>
      <c r="BD16" s="534" t="str">
        <f ca="1">IF(IFERROR(YEAR('Intermediate Data'!$CV61)=YEAR(BD$10),FALSE)=TRUE,"n","")</f>
        <v/>
      </c>
      <c r="BE16" s="179" t="str">
        <f ca="1">IF(IFERROR(YEAR('Intermediate Data'!$CW61)=YEAR(BE$10),FALSE)=TRUE,"n","")</f>
        <v/>
      </c>
      <c r="BF16" s="179" t="str">
        <f ca="1">IF(IFERROR(YEAR('Intermediate Data'!$CW61)=YEAR(BF$10),FALSE)=TRUE,"n","")</f>
        <v/>
      </c>
      <c r="BG16" s="179" t="str">
        <f ca="1">IF(IFERROR(YEAR('Intermediate Data'!$CW61)=YEAR(BG$10),FALSE)=TRUE,"n","")</f>
        <v/>
      </c>
      <c r="BH16" s="179" t="str">
        <f ca="1">IF(IFERROR(YEAR('Intermediate Data'!$CW61)=YEAR(BH$10),FALSE)=TRUE,"n","")</f>
        <v/>
      </c>
      <c r="BI16" s="179" t="str">
        <f ca="1">IF(IFERROR(YEAR('Intermediate Data'!$CW61)=YEAR(BI$10),FALSE)=TRUE,"n","")</f>
        <v/>
      </c>
      <c r="BJ16" s="179" t="str">
        <f ca="1">IF(IFERROR(YEAR('Intermediate Data'!$CW61)=YEAR(BJ$10),FALSE)=TRUE,"n","")</f>
        <v/>
      </c>
      <c r="BK16" s="179" t="str">
        <f ca="1">IF(IFERROR(YEAR('Intermediate Data'!$CW61)=YEAR(BK$10),FALSE)=TRUE,"n","")</f>
        <v/>
      </c>
      <c r="BL16" s="833">
        <f ca="1">IFERROR(HYPERLINK("#"&amp;ADDRESS(MATCH(INDEX('DATA SOURCE #s'!$DS:$DS,MATCH($J16,'DATA SOURCE #s'!$B:$B,0)),'SOURCE Info'!$A:$A,0),1,1,1,"SOURCE Info"),INDEX('DATA SOURCE #s'!$DS:$DS,MATCH($J16,'DATA SOURCE #s'!$B:$B,0))),"")</f>
        <v>61400</v>
      </c>
      <c r="BM16" s="834"/>
      <c r="BN16" s="23"/>
      <c r="BO16" s="978">
        <f ca="1">'Intermediate Data'!CY61</f>
        <v>84</v>
      </c>
      <c r="BP16" s="978"/>
      <c r="BQ16" s="978"/>
      <c r="BR16" s="979">
        <f ca="1">'Intermediate Data'!CZ61</f>
        <v>0.15429999999999999</v>
      </c>
      <c r="BS16" s="979"/>
      <c r="BT16" s="979"/>
      <c r="BU16" s="978" t="str">
        <f ca="1">'Intermediate Data'!DA61</f>
        <v/>
      </c>
      <c r="BV16" s="978"/>
      <c r="BW16" s="978"/>
      <c r="BX16" s="979" t="str">
        <f ca="1">'Intermediate Data'!DB61</f>
        <v/>
      </c>
      <c r="BY16" s="979"/>
      <c r="BZ16" s="979"/>
      <c r="CA16" s="88" t="str">
        <f ca="1">'Intermediate Data'!CF61</f>
        <v>Television</v>
      </c>
      <c r="CB16"/>
      <c r="CC16"/>
      <c r="CF16"/>
      <c r="CG16"/>
      <c r="CH16"/>
    </row>
    <row r="17" spans="1:86" ht="15" customHeight="1" x14ac:dyDescent="0.25">
      <c r="A17" s="23"/>
      <c r="B17" s="102"/>
      <c r="C17" s="109" t="s">
        <v>703</v>
      </c>
      <c r="D17" s="23"/>
      <c r="E17" s="23"/>
      <c r="F17" s="23"/>
      <c r="G17" s="23"/>
      <c r="H17" s="675"/>
      <c r="I17" s="23"/>
      <c r="J17" s="118" t="str">
        <f ca="1">'Intermediate Data'!CF62</f>
        <v>Stand-alone freezer</v>
      </c>
      <c r="K17" s="30"/>
      <c r="L17" s="30"/>
      <c r="M17" s="30"/>
      <c r="N17" s="30"/>
      <c r="O17" s="30"/>
      <c r="P17" s="30"/>
      <c r="Q17" s="832" t="str">
        <f ca="1">'Intermediate Data'!CN62</f>
        <v/>
      </c>
      <c r="R17" s="832"/>
      <c r="S17" s="832"/>
      <c r="T17" s="832"/>
      <c r="U17" s="679"/>
      <c r="V17" s="824" t="str">
        <f ca="1">'Intermediate Data'!CL62</f>
        <v/>
      </c>
      <c r="W17" s="824"/>
      <c r="X17" s="824"/>
      <c r="Y17" s="219" t="str">
        <f ca="1">'Intermediate Data'!CM62</f>
        <v/>
      </c>
      <c r="Z17" s="678"/>
      <c r="AA17" s="831" t="str">
        <f ca="1">'Intermediate Data'!CG62</f>
        <v/>
      </c>
      <c r="AB17" s="831"/>
      <c r="AC17" s="831"/>
      <c r="AD17" s="194"/>
      <c r="AE17" s="831">
        <f ca="1">'Intermediate Data'!CH62</f>
        <v>145</v>
      </c>
      <c r="AF17" s="831"/>
      <c r="AG17" s="831"/>
      <c r="AH17" s="825">
        <f ca="1">IF(ISNUMBER(AE17),HYPERLINK("#"&amp;ADDRESS(MATCH(INDEX('DATA SOURCE #s'!BK:$BK,MATCH($J17,'DATA SOURCE #s'!$B:$B,0)),'SOURCE Info'!$A:$A,0),1,1,1,"SOURCE Info"),INDEX('DATA SOURCE #s'!BK:$BK,MATCH($J17,'DATA SOURCE #s'!$B:$B,0))),"")</f>
        <v>40401</v>
      </c>
      <c r="AI17" s="826"/>
      <c r="AJ17" s="827">
        <f ca="1">'Intermediate Data'!CI62</f>
        <v>30</v>
      </c>
      <c r="AK17" s="827"/>
      <c r="AL17" s="827"/>
      <c r="AM17" s="827" t="str">
        <f ca="1">'Intermediate Data'!CJ62</f>
        <v/>
      </c>
      <c r="AN17" s="827"/>
      <c r="AO17" s="827"/>
      <c r="AP17" s="899" t="str">
        <f ca="1">IF('Intermediate Data'!CK62="","",'Intermediate Data'!CK62)</f>
        <v/>
      </c>
      <c r="AQ17" s="900"/>
      <c r="AR17" s="900"/>
      <c r="AS17" s="825" t="str">
        <f ca="1">IF(ISNUMBER(AM17),HYPERLINK("#"&amp;ADDRESS(MATCH(INDEX('DATA SOURCE #s'!$BO:BO,MATCH($J17,'DATA SOURCE #s'!$B:$B,0)),'SOURCE Info'!$A:$A,0),1,1,1,"SOURCE Info"),INDEX('DATA SOURCE #s'!$BO:BO,MATCH($J17,'DATA SOURCE #s'!$B:$B,0))),"")</f>
        <v/>
      </c>
      <c r="AT17" s="826"/>
      <c r="AU17" s="689"/>
      <c r="AV17" s="804">
        <f ca="1">'Intermediate Data'!CO62</f>
        <v>0.28999999999999998</v>
      </c>
      <c r="AW17" s="804"/>
      <c r="AX17" s="804"/>
      <c r="AY17" s="804"/>
      <c r="AZ17" s="678"/>
      <c r="BA17" s="176" t="str">
        <f ca="1">IF(IFERROR(YEAR('Intermediate Data'!$CV62)&lt;2012,FALSE)=TRUE,"n","")</f>
        <v/>
      </c>
      <c r="BB17" s="178" t="str">
        <f ca="1">IF(IFERROR(YEAR('Intermediate Data'!$CV62)=YEAR(BB$10),FALSE)=TRUE,"n","")</f>
        <v/>
      </c>
      <c r="BC17" s="177" t="str">
        <f ca="1">IF(IFERROR(YEAR('Intermediate Data'!$CV62)=YEAR(BC$10),FALSE)=TRUE,"n","")</f>
        <v/>
      </c>
      <c r="BD17" s="534" t="str">
        <f ca="1">IF(IFERROR(YEAR('Intermediate Data'!$CV62)=YEAR(BD$10),FALSE)=TRUE,"n","")</f>
        <v/>
      </c>
      <c r="BE17" s="179" t="str">
        <f ca="1">IF(IFERROR(YEAR('Intermediate Data'!$CW62)=YEAR(BE$10),FALSE)=TRUE,"n","")</f>
        <v/>
      </c>
      <c r="BF17" s="179" t="str">
        <f ca="1">IF(IFERROR(YEAR('Intermediate Data'!$CW62)=YEAR(BF$10),FALSE)=TRUE,"n","")</f>
        <v/>
      </c>
      <c r="BG17" s="179" t="str">
        <f ca="1">IF(IFERROR(YEAR('Intermediate Data'!$CW62)=YEAR(BG$10),FALSE)=TRUE,"n","")</f>
        <v/>
      </c>
      <c r="BH17" s="179" t="str">
        <f ca="1">IF(IFERROR(YEAR('Intermediate Data'!$CW62)=YEAR(BH$10),FALSE)=TRUE,"n","")</f>
        <v/>
      </c>
      <c r="BI17" s="179" t="str">
        <f ca="1">IF(IFERROR(YEAR('Intermediate Data'!$CW62)=YEAR(BI$10),FALSE)=TRUE,"n","")</f>
        <v/>
      </c>
      <c r="BJ17" s="179" t="str">
        <f ca="1">IF(IFERROR(YEAR('Intermediate Data'!$CW62)=YEAR(BJ$10),FALSE)=TRUE,"n","")</f>
        <v/>
      </c>
      <c r="BK17" s="179" t="str">
        <f ca="1">IF(IFERROR(YEAR('Intermediate Data'!$CW62)=YEAR(BK$10),FALSE)=TRUE,"n","")</f>
        <v/>
      </c>
      <c r="BL17" s="833">
        <f ca="1">IFERROR(HYPERLINK("#"&amp;ADDRESS(MATCH(INDEX('DATA SOURCE #s'!$DS:$DS,MATCH($J17,'DATA SOURCE #s'!$B:$B,0)),'SOURCE Info'!$A:$A,0),1,1,1,"SOURCE Info"),INDEX('DATA SOURCE #s'!$DS:$DS,MATCH($J17,'DATA SOURCE #s'!$B:$B,0))),"")</f>
        <v>60400</v>
      </c>
      <c r="BM17" s="834"/>
      <c r="BN17" s="23"/>
      <c r="BO17" s="978" t="str">
        <f ca="1">'Intermediate Data'!CY62</f>
        <v/>
      </c>
      <c r="BP17" s="978"/>
      <c r="BQ17" s="978"/>
      <c r="BR17" s="979" t="str">
        <f ca="1">'Intermediate Data'!CZ62</f>
        <v/>
      </c>
      <c r="BS17" s="979"/>
      <c r="BT17" s="979"/>
      <c r="BU17" s="978" t="str">
        <f ca="1">'Intermediate Data'!DA62</f>
        <v/>
      </c>
      <c r="BV17" s="978"/>
      <c r="BW17" s="978"/>
      <c r="BX17" s="979" t="str">
        <f ca="1">'Intermediate Data'!DB62</f>
        <v/>
      </c>
      <c r="BY17" s="979"/>
      <c r="BZ17" s="979"/>
      <c r="CA17" s="88" t="str">
        <f ca="1">'Intermediate Data'!CF62</f>
        <v>Stand-alone freezer</v>
      </c>
      <c r="CB17"/>
      <c r="CC17"/>
      <c r="CF17"/>
      <c r="CG17"/>
      <c r="CH17"/>
    </row>
    <row r="18" spans="1:86" ht="15" customHeight="1" x14ac:dyDescent="0.25">
      <c r="A18" s="23"/>
      <c r="B18" s="102"/>
      <c r="C18" s="109" t="s">
        <v>10</v>
      </c>
      <c r="D18" s="23"/>
      <c r="E18" s="23"/>
      <c r="F18" s="23"/>
      <c r="G18" s="23"/>
      <c r="H18" s="675"/>
      <c r="I18" s="23"/>
      <c r="J18" s="118" t="str">
        <f ca="1">'Intermediate Data'!CF63</f>
        <v>Display</v>
      </c>
      <c r="K18" s="30"/>
      <c r="L18" s="30"/>
      <c r="M18" s="30"/>
      <c r="N18" s="30"/>
      <c r="O18" s="30"/>
      <c r="P18" s="30"/>
      <c r="Q18" s="832">
        <f ca="1">'Intermediate Data'!CN63</f>
        <v>53396357.2444622</v>
      </c>
      <c r="R18" s="832"/>
      <c r="S18" s="832"/>
      <c r="T18" s="832"/>
      <c r="U18" s="679"/>
      <c r="V18" s="824">
        <f ca="1">'Intermediate Data'!CL63</f>
        <v>21.043970129418529</v>
      </c>
      <c r="W18" s="824"/>
      <c r="X18" s="824"/>
      <c r="Y18" s="219" t="str">
        <f ca="1">'Intermediate Data'!CM63</f>
        <v/>
      </c>
      <c r="Z18" s="678"/>
      <c r="AA18" s="831">
        <f ca="1">'Intermediate Data'!CG63</f>
        <v>70</v>
      </c>
      <c r="AB18" s="831"/>
      <c r="AC18" s="831"/>
      <c r="AD18" s="194"/>
      <c r="AE18" s="831">
        <f ca="1">'Intermediate Data'!CH63</f>
        <v>58.5</v>
      </c>
      <c r="AF18" s="831"/>
      <c r="AG18" s="831"/>
      <c r="AH18" s="825">
        <f ca="1">IF(ISNUMBER(AE18),HYPERLINK("#"&amp;ADDRESS(MATCH(INDEX('DATA SOURCE #s'!BK:$BK,MATCH($J18,'DATA SOURCE #s'!$B:$B,0)),'SOURCE Info'!$A:$A,0),1,1,1,"SOURCE Info"),INDEX('DATA SOURCE #s'!BK:$BK,MATCH($J18,'DATA SOURCE #s'!$B:$B,0))),"")</f>
        <v>41001</v>
      </c>
      <c r="AI18" s="826"/>
      <c r="AJ18" s="827">
        <f ca="1">'Intermediate Data'!CI63</f>
        <v>9</v>
      </c>
      <c r="AK18" s="827"/>
      <c r="AL18" s="827"/>
      <c r="AM18" s="827" t="str">
        <f ca="1">'Intermediate Data'!CJ63</f>
        <v/>
      </c>
      <c r="AN18" s="827"/>
      <c r="AO18" s="827"/>
      <c r="AP18" s="899" t="str">
        <f ca="1">IF('Intermediate Data'!CK63="","",'Intermediate Data'!CK63)</f>
        <v/>
      </c>
      <c r="AQ18" s="900"/>
      <c r="AR18" s="900"/>
      <c r="AS18" s="825" t="str">
        <f ca="1">IF(ISNUMBER(AM18),HYPERLINK("#"&amp;ADDRESS(MATCH(INDEX('DATA SOURCE #s'!$BO:BO,MATCH($J18,'DATA SOURCE #s'!$B:$B,0)),'SOURCE Info'!$A:$A,0),1,1,1,"SOURCE Info"),INDEX('DATA SOURCE #s'!$BO:BO,MATCH($J18,'DATA SOURCE #s'!$B:$B,0))),"")</f>
        <v/>
      </c>
      <c r="AT18" s="826"/>
      <c r="AU18" s="689"/>
      <c r="AV18" s="804">
        <f ca="1">'Intermediate Data'!CO63</f>
        <v>0.82</v>
      </c>
      <c r="AW18" s="804"/>
      <c r="AX18" s="804"/>
      <c r="AY18" s="804"/>
      <c r="AZ18" s="678"/>
      <c r="BA18" s="176" t="str">
        <f ca="1">IF(IFERROR(YEAR('Intermediate Data'!$CV63)&lt;2012,FALSE)=TRUE,"n","")</f>
        <v/>
      </c>
      <c r="BB18" s="178" t="str">
        <f ca="1">IF(IFERROR(YEAR('Intermediate Data'!$CV63)=YEAR(BB$10),FALSE)=TRUE,"n","")</f>
        <v/>
      </c>
      <c r="BC18" s="177" t="str">
        <f ca="1">IF(IFERROR(YEAR('Intermediate Data'!$CV63)=YEAR(BC$10),FALSE)=TRUE,"n","")</f>
        <v/>
      </c>
      <c r="BD18" s="534" t="str">
        <f ca="1">IF(IFERROR(YEAR('Intermediate Data'!$CV63)=YEAR(BD$10),FALSE)=TRUE,"n","")</f>
        <v/>
      </c>
      <c r="BE18" s="179" t="str">
        <f ca="1">IF(IFERROR(YEAR('Intermediate Data'!$CW63)=YEAR(BE$10),FALSE)=TRUE,"n","")</f>
        <v/>
      </c>
      <c r="BF18" s="179" t="str">
        <f ca="1">IF(IFERROR(YEAR('Intermediate Data'!$CW63)=YEAR(BF$10),FALSE)=TRUE,"n","")</f>
        <v/>
      </c>
      <c r="BG18" s="179" t="str">
        <f ca="1">IF(IFERROR(YEAR('Intermediate Data'!$CW63)=YEAR(BG$10),FALSE)=TRUE,"n","")</f>
        <v/>
      </c>
      <c r="BH18" s="179" t="str">
        <f ca="1">IF(IFERROR(YEAR('Intermediate Data'!$CW63)=YEAR(BH$10),FALSE)=TRUE,"n","")</f>
        <v/>
      </c>
      <c r="BI18" s="179" t="str">
        <f ca="1">IF(IFERROR(YEAR('Intermediate Data'!$CW63)=YEAR(BI$10),FALSE)=TRUE,"n","")</f>
        <v/>
      </c>
      <c r="BJ18" s="179" t="str">
        <f ca="1">IF(IFERROR(YEAR('Intermediate Data'!$CW63)=YEAR(BJ$10),FALSE)=TRUE,"n","")</f>
        <v/>
      </c>
      <c r="BK18" s="179" t="str">
        <f ca="1">IF(IFERROR(YEAR('Intermediate Data'!$CW63)=YEAR(BK$10),FALSE)=TRUE,"n","")</f>
        <v/>
      </c>
      <c r="BL18" s="833">
        <f ca="1">IFERROR(HYPERLINK("#"&amp;ADDRESS(MATCH(INDEX('DATA SOURCE #s'!$DS:$DS,MATCH($J18,'DATA SOURCE #s'!$B:$B,0)),'SOURCE Info'!$A:$A,0),1,1,1,"SOURCE Info"),INDEX('DATA SOURCE #s'!$DS:$DS,MATCH($J18,'DATA SOURCE #s'!$B:$B,0))),"")</f>
        <v>61900</v>
      </c>
      <c r="BM18" s="834"/>
      <c r="BN18" s="23"/>
      <c r="BO18" s="978" t="str">
        <f ca="1">'Intermediate Data'!CY63</f>
        <v/>
      </c>
      <c r="BP18" s="978"/>
      <c r="BQ18" s="978"/>
      <c r="BR18" s="979" t="str">
        <f ca="1">'Intermediate Data'!CZ63</f>
        <v/>
      </c>
      <c r="BS18" s="979"/>
      <c r="BT18" s="979"/>
      <c r="BU18" s="978">
        <f ca="1">'Intermediate Data'!DA63</f>
        <v>17</v>
      </c>
      <c r="BV18" s="978"/>
      <c r="BW18" s="978"/>
      <c r="BX18" s="979">
        <f ca="1">'Intermediate Data'!DB63</f>
        <v>0.15429999999999999</v>
      </c>
      <c r="BY18" s="979"/>
      <c r="BZ18" s="979"/>
      <c r="CA18" s="88" t="str">
        <f ca="1">'Intermediate Data'!CF63</f>
        <v>Display</v>
      </c>
      <c r="CB18"/>
      <c r="CC18"/>
      <c r="CF18"/>
      <c r="CG18"/>
      <c r="CH18"/>
    </row>
    <row r="19" spans="1:86" ht="15" customHeight="1" x14ac:dyDescent="0.25">
      <c r="A19" s="23"/>
      <c r="B19" s="102"/>
      <c r="C19" s="109" t="s">
        <v>705</v>
      </c>
      <c r="D19" s="23"/>
      <c r="E19" s="23"/>
      <c r="F19" s="23"/>
      <c r="G19" s="23"/>
      <c r="H19" s="675"/>
      <c r="I19" s="23"/>
      <c r="J19" s="118" t="str">
        <f ca="1">'Intermediate Data'!CF64</f>
        <v>Notebook (portable computer)</v>
      </c>
      <c r="K19" s="30"/>
      <c r="L19" s="30"/>
      <c r="M19" s="30"/>
      <c r="N19" s="30"/>
      <c r="O19" s="30"/>
      <c r="P19" s="30"/>
      <c r="Q19" s="832" t="str">
        <f ca="1">'Intermediate Data'!CN64</f>
        <v/>
      </c>
      <c r="R19" s="832"/>
      <c r="S19" s="832"/>
      <c r="T19" s="832"/>
      <c r="U19" s="679"/>
      <c r="V19" s="824" t="str">
        <f ca="1">'Intermediate Data'!CL64</f>
        <v/>
      </c>
      <c r="W19" s="824"/>
      <c r="X19" s="824"/>
      <c r="Y19" s="219" t="str">
        <f ca="1">'Intermediate Data'!CM64</f>
        <v/>
      </c>
      <c r="Z19" s="678"/>
      <c r="AA19" s="831">
        <f ca="1">'Intermediate Data'!CG64</f>
        <v>70</v>
      </c>
      <c r="AB19" s="831"/>
      <c r="AC19" s="831"/>
      <c r="AD19" s="194"/>
      <c r="AE19" s="831">
        <f ca="1">'Intermediate Data'!CH64</f>
        <v>57.8</v>
      </c>
      <c r="AF19" s="831"/>
      <c r="AG19" s="831"/>
      <c r="AH19" s="825">
        <f ca="1">IF(ISNUMBER(AE19),HYPERLINK("#"&amp;ADDRESS(MATCH(INDEX('DATA SOURCE #s'!BK:$BK,MATCH($J19,'DATA SOURCE #s'!$B:$B,0)),'SOURCE Info'!$A:$A,0),1,1,1,"SOURCE Info"),INDEX('DATA SOURCE #s'!BK:$BK,MATCH($J19,'DATA SOURCE #s'!$B:$B,0))),"")</f>
        <v>41002</v>
      </c>
      <c r="AI19" s="826"/>
      <c r="AJ19" s="827">
        <f ca="1">'Intermediate Data'!CI64</f>
        <v>12</v>
      </c>
      <c r="AK19" s="827"/>
      <c r="AL19" s="827"/>
      <c r="AM19" s="827" t="str">
        <f ca="1">'Intermediate Data'!CJ64</f>
        <v/>
      </c>
      <c r="AN19" s="827"/>
      <c r="AO19" s="827"/>
      <c r="AP19" s="899" t="str">
        <f ca="1">IF('Intermediate Data'!CK64="","",'Intermediate Data'!CK64)</f>
        <v/>
      </c>
      <c r="AQ19" s="900"/>
      <c r="AR19" s="900"/>
      <c r="AS19" s="825" t="str">
        <f ca="1">IF(ISNUMBER(AM19),HYPERLINK("#"&amp;ADDRESS(MATCH(INDEX('DATA SOURCE #s'!$BO:BO,MATCH($J19,'DATA SOURCE #s'!$B:$B,0)),'SOURCE Info'!$A:$A,0),1,1,1,"SOURCE Info"),INDEX('DATA SOURCE #s'!$BO:BO,MATCH($J19,'DATA SOURCE #s'!$B:$B,0))),"")</f>
        <v/>
      </c>
      <c r="AT19" s="826"/>
      <c r="AU19" s="689"/>
      <c r="AV19" s="804">
        <f ca="1">'Intermediate Data'!CO64</f>
        <v>0.74</v>
      </c>
      <c r="AW19" s="804"/>
      <c r="AX19" s="804"/>
      <c r="AY19" s="804"/>
      <c r="AZ19" s="678"/>
      <c r="BA19" s="176" t="str">
        <f ca="1">IF(IFERROR(YEAR('Intermediate Data'!$CV64)&lt;2012,FALSE)=TRUE,"n","")</f>
        <v/>
      </c>
      <c r="BB19" s="178" t="str">
        <f ca="1">IF(IFERROR(YEAR('Intermediate Data'!$CV64)=YEAR(BB$10),FALSE)=TRUE,"n","")</f>
        <v/>
      </c>
      <c r="BC19" s="177" t="str">
        <f ca="1">IF(IFERROR(YEAR('Intermediate Data'!$CV64)=YEAR(BC$10),FALSE)=TRUE,"n","")</f>
        <v/>
      </c>
      <c r="BD19" s="534" t="str">
        <f ca="1">IF(IFERROR(YEAR('Intermediate Data'!$CV64)=YEAR(BD$10),FALSE)=TRUE,"n","")</f>
        <v/>
      </c>
      <c r="BE19" s="179" t="str">
        <f ca="1">IF(IFERROR(YEAR('Intermediate Data'!$CW64)=YEAR(BE$10),FALSE)=TRUE,"n","")</f>
        <v/>
      </c>
      <c r="BF19" s="179" t="str">
        <f ca="1">IF(IFERROR(YEAR('Intermediate Data'!$CW64)=YEAR(BF$10),FALSE)=TRUE,"n","")</f>
        <v>n</v>
      </c>
      <c r="BG19" s="179" t="str">
        <f ca="1">IF(IFERROR(YEAR('Intermediate Data'!$CW64)=YEAR(BG$10),FALSE)=TRUE,"n","")</f>
        <v/>
      </c>
      <c r="BH19" s="179" t="str">
        <f ca="1">IF(IFERROR(YEAR('Intermediate Data'!$CW64)=YEAR(BH$10),FALSE)=TRUE,"n","")</f>
        <v/>
      </c>
      <c r="BI19" s="179" t="str">
        <f ca="1">IF(IFERROR(YEAR('Intermediate Data'!$CW64)=YEAR(BI$10),FALSE)=TRUE,"n","")</f>
        <v/>
      </c>
      <c r="BJ19" s="179" t="str">
        <f ca="1">IF(IFERROR(YEAR('Intermediate Data'!$CW64)=YEAR(BJ$10),FALSE)=TRUE,"n","")</f>
        <v/>
      </c>
      <c r="BK19" s="179" t="str">
        <f ca="1">IF(IFERROR(YEAR('Intermediate Data'!$CW64)=YEAR(BK$10),FALSE)=TRUE,"n","")</f>
        <v/>
      </c>
      <c r="BL19" s="833">
        <f ca="1">IFERROR(HYPERLINK("#"&amp;ADDRESS(MATCH(INDEX('DATA SOURCE #s'!$DS:$DS,MATCH($J19,'DATA SOURCE #s'!$B:$B,0)),'SOURCE Info'!$A:$A,0),1,1,1,"SOURCE Info"),INDEX('DATA SOURCE #s'!$DS:$DS,MATCH($J19,'DATA SOURCE #s'!$B:$B,0))),"")</f>
        <v>61000</v>
      </c>
      <c r="BM19" s="834"/>
      <c r="BN19" s="23"/>
      <c r="BO19" s="978" t="str">
        <f ca="1">'Intermediate Data'!CY64</f>
        <v/>
      </c>
      <c r="BP19" s="978"/>
      <c r="BQ19" s="978"/>
      <c r="BR19" s="979" t="str">
        <f ca="1">'Intermediate Data'!CZ64</f>
        <v/>
      </c>
      <c r="BS19" s="979"/>
      <c r="BT19" s="979"/>
      <c r="BU19" s="978">
        <f ca="1">'Intermediate Data'!DA64</f>
        <v>50</v>
      </c>
      <c r="BV19" s="978"/>
      <c r="BW19" s="978"/>
      <c r="BX19" s="979">
        <f ca="1">'Intermediate Data'!DB64</f>
        <v>0.15429999999999999</v>
      </c>
      <c r="BY19" s="979"/>
      <c r="BZ19" s="979"/>
      <c r="CA19" s="88" t="str">
        <f ca="1">'Intermediate Data'!CF64</f>
        <v>Notebook (portable computer)</v>
      </c>
      <c r="CB19"/>
      <c r="CC19"/>
      <c r="CF19"/>
      <c r="CG19"/>
      <c r="CH19"/>
    </row>
    <row r="20" spans="1:86" ht="15" customHeight="1" x14ac:dyDescent="0.25">
      <c r="A20" s="23"/>
      <c r="B20" s="102"/>
      <c r="C20" s="109" t="s">
        <v>72</v>
      </c>
      <c r="D20" s="23"/>
      <c r="E20" s="23"/>
      <c r="F20" s="23"/>
      <c r="G20" s="23"/>
      <c r="H20" s="675"/>
      <c r="I20" s="23"/>
      <c r="J20" s="118" t="str">
        <f ca="1">'Intermediate Data'!CF65</f>
        <v>Component audio</v>
      </c>
      <c r="K20" s="30"/>
      <c r="L20" s="30"/>
      <c r="M20" s="30"/>
      <c r="N20" s="30"/>
      <c r="O20" s="30"/>
      <c r="P20" s="30"/>
      <c r="Q20" s="832" t="str">
        <f ca="1">'Intermediate Data'!CN65</f>
        <v/>
      </c>
      <c r="R20" s="832"/>
      <c r="S20" s="832"/>
      <c r="T20" s="832"/>
      <c r="U20" s="679"/>
      <c r="V20" s="824" t="str">
        <f ca="1">'Intermediate Data'!CL65</f>
        <v/>
      </c>
      <c r="W20" s="824"/>
      <c r="X20" s="824"/>
      <c r="Y20" s="219" t="str">
        <f ca="1">'Intermediate Data'!CM65</f>
        <v/>
      </c>
      <c r="Z20" s="678"/>
      <c r="AA20" s="831">
        <f ca="1">'Intermediate Data'!CG65</f>
        <v>65</v>
      </c>
      <c r="AB20" s="831"/>
      <c r="AC20" s="831"/>
      <c r="AD20" s="194"/>
      <c r="AE20" s="831">
        <f ca="1">'Intermediate Data'!CH65</f>
        <v>47</v>
      </c>
      <c r="AF20" s="831"/>
      <c r="AG20" s="831"/>
      <c r="AH20" s="825">
        <f ca="1">IF(ISNUMBER(AE20),HYPERLINK("#"&amp;ADDRESS(MATCH(INDEX('DATA SOURCE #s'!BK:$BK,MATCH($J20,'DATA SOURCE #s'!$B:$B,0)),'SOURCE Info'!$A:$A,0),1,1,1,"SOURCE Info"),INDEX('DATA SOURCE #s'!BK:$BK,MATCH($J20,'DATA SOURCE #s'!$B:$B,0))),"")</f>
        <v>40901</v>
      </c>
      <c r="AI20" s="826"/>
      <c r="AJ20" s="827">
        <f ca="1">'Intermediate Data'!CI65</f>
        <v>18</v>
      </c>
      <c r="AK20" s="827"/>
      <c r="AL20" s="827"/>
      <c r="AM20" s="827" t="str">
        <f ca="1">'Intermediate Data'!CJ65</f>
        <v/>
      </c>
      <c r="AN20" s="827"/>
      <c r="AO20" s="827"/>
      <c r="AP20" s="899" t="str">
        <f ca="1">IF('Intermediate Data'!CK65="","",'Intermediate Data'!CK65)</f>
        <v/>
      </c>
      <c r="AQ20" s="900"/>
      <c r="AR20" s="900"/>
      <c r="AS20" s="825" t="str">
        <f ca="1">IF(ISNUMBER(AM20),HYPERLINK("#"&amp;ADDRESS(MATCH(INDEX('DATA SOURCE #s'!$BO:BO,MATCH($J20,'DATA SOURCE #s'!$B:$B,0)),'SOURCE Info'!$A:$A,0),1,1,1,"SOURCE Info"),INDEX('DATA SOURCE #s'!$BO:BO,MATCH($J20,'DATA SOURCE #s'!$B:$B,0))),"")</f>
        <v/>
      </c>
      <c r="AT20" s="826"/>
      <c r="AU20" s="689"/>
      <c r="AV20" s="804">
        <f ca="1">'Intermediate Data'!CO65</f>
        <v>0</v>
      </c>
      <c r="AW20" s="804"/>
      <c r="AX20" s="804"/>
      <c r="AY20" s="804"/>
      <c r="AZ20" s="678"/>
      <c r="BA20" s="176" t="str">
        <f ca="1">IF(IFERROR(YEAR('Intermediate Data'!$CV65)&lt;2012,FALSE)=TRUE,"n","")</f>
        <v/>
      </c>
      <c r="BB20" s="178" t="str">
        <f ca="1">IF(IFERROR(YEAR('Intermediate Data'!$CV65)=YEAR(BB$10),FALSE)=TRUE,"n","")</f>
        <v/>
      </c>
      <c r="BC20" s="177" t="str">
        <f ca="1">IF(IFERROR(YEAR('Intermediate Data'!$CV65)=YEAR(BC$10),FALSE)=TRUE,"n","")</f>
        <v/>
      </c>
      <c r="BD20" s="534" t="str">
        <f ca="1">IF(IFERROR(YEAR('Intermediate Data'!$CV65)=YEAR(BD$10),FALSE)=TRUE,"n","")</f>
        <v/>
      </c>
      <c r="BE20" s="179" t="str">
        <f ca="1">IF(IFERROR(YEAR('Intermediate Data'!$CW65)=YEAR(BE$10),FALSE)=TRUE,"n","")</f>
        <v/>
      </c>
      <c r="BF20" s="179" t="str">
        <f ca="1">IF(IFERROR(YEAR('Intermediate Data'!$CW65)=YEAR(BF$10),FALSE)=TRUE,"n","")</f>
        <v/>
      </c>
      <c r="BG20" s="179" t="str">
        <f ca="1">IF(IFERROR(YEAR('Intermediate Data'!$CW65)=YEAR(BG$10),FALSE)=TRUE,"n","")</f>
        <v/>
      </c>
      <c r="BH20" s="179" t="str">
        <f ca="1">IF(IFERROR(YEAR('Intermediate Data'!$CW65)=YEAR(BH$10),FALSE)=TRUE,"n","")</f>
        <v/>
      </c>
      <c r="BI20" s="179" t="str">
        <f ca="1">IF(IFERROR(YEAR('Intermediate Data'!$CW65)=YEAR(BI$10),FALSE)=TRUE,"n","")</f>
        <v/>
      </c>
      <c r="BJ20" s="179" t="str">
        <f ca="1">IF(IFERROR(YEAR('Intermediate Data'!$CW65)=YEAR(BJ$10),FALSE)=TRUE,"n","")</f>
        <v/>
      </c>
      <c r="BK20" s="179" t="str">
        <f ca="1">IF(IFERROR(YEAR('Intermediate Data'!$CW65)=YEAR(BK$10),FALSE)=TRUE,"n","")</f>
        <v/>
      </c>
      <c r="BL20" s="833">
        <f ca="1">IFERROR(HYPERLINK("#"&amp;ADDRESS(MATCH(INDEX('DATA SOURCE #s'!$DS:$DS,MATCH($J20,'DATA SOURCE #s'!$B:$B,0)),'SOURCE Info'!$A:$A,0),1,1,1,"SOURCE Info"),INDEX('DATA SOURCE #s'!$DS:$DS,MATCH($J20,'DATA SOURCE #s'!$B:$B,0))),"")</f>
        <v>60900</v>
      </c>
      <c r="BM20" s="834"/>
      <c r="BN20" s="23"/>
      <c r="BO20" s="978" t="str">
        <f ca="1">'Intermediate Data'!CY65</f>
        <v/>
      </c>
      <c r="BP20" s="978"/>
      <c r="BQ20" s="978"/>
      <c r="BR20" s="979" t="str">
        <f ca="1">'Intermediate Data'!CZ65</f>
        <v/>
      </c>
      <c r="BS20" s="979"/>
      <c r="BT20" s="979"/>
      <c r="BU20" s="978" t="str">
        <f ca="1">'Intermediate Data'!DA65</f>
        <v/>
      </c>
      <c r="BV20" s="978"/>
      <c r="BW20" s="978"/>
      <c r="BX20" s="979" t="str">
        <f ca="1">'Intermediate Data'!DB65</f>
        <v/>
      </c>
      <c r="BY20" s="979"/>
      <c r="BZ20" s="979"/>
      <c r="CA20" s="88" t="str">
        <f ca="1">'Intermediate Data'!CF65</f>
        <v>Component audio</v>
      </c>
      <c r="CB20"/>
      <c r="CC20"/>
      <c r="CF20"/>
      <c r="CG20"/>
      <c r="CH20"/>
    </row>
    <row r="21" spans="1:86" ht="15" customHeight="1" x14ac:dyDescent="0.25">
      <c r="A21" s="23"/>
      <c r="B21" s="102"/>
      <c r="C21" s="109" t="s">
        <v>71</v>
      </c>
      <c r="D21" s="23"/>
      <c r="E21" s="23"/>
      <c r="F21" s="23"/>
      <c r="G21" s="23"/>
      <c r="H21" s="675"/>
      <c r="I21" s="23"/>
      <c r="J21" s="118" t="str">
        <f ca="1">'Intermediate Data'!CF66</f>
        <v>Compact audio</v>
      </c>
      <c r="K21" s="30"/>
      <c r="L21" s="30"/>
      <c r="M21" s="30"/>
      <c r="N21" s="30"/>
      <c r="O21" s="30"/>
      <c r="P21" s="30"/>
      <c r="Q21" s="832" t="str">
        <f ca="1">'Intermediate Data'!CN66</f>
        <v/>
      </c>
      <c r="R21" s="832"/>
      <c r="S21" s="832"/>
      <c r="T21" s="832"/>
      <c r="U21" s="679"/>
      <c r="V21" s="824" t="str">
        <f ca="1">'Intermediate Data'!CL66</f>
        <v/>
      </c>
      <c r="W21" s="824"/>
      <c r="X21" s="824"/>
      <c r="Y21" s="219" t="str">
        <f ca="1">'Intermediate Data'!CM66</f>
        <v/>
      </c>
      <c r="Z21" s="678"/>
      <c r="AA21" s="831">
        <f ca="1">'Intermediate Data'!CG66</f>
        <v>105</v>
      </c>
      <c r="AB21" s="831"/>
      <c r="AC21" s="831"/>
      <c r="AD21" s="194"/>
      <c r="AE21" s="831">
        <f ca="1">'Intermediate Data'!CH66</f>
        <v>36</v>
      </c>
      <c r="AF21" s="831"/>
      <c r="AG21" s="831"/>
      <c r="AH21" s="825">
        <f ca="1">IF(ISNUMBER(AE21),HYPERLINK("#"&amp;ADDRESS(MATCH(INDEX('DATA SOURCE #s'!BK:$BK,MATCH($J21,'DATA SOURCE #s'!$B:$B,0)),'SOURCE Info'!$A:$A,0),1,1,1,"SOURCE Info"),INDEX('DATA SOURCE #s'!BK:$BK,MATCH($J21,'DATA SOURCE #s'!$B:$B,0))),"")</f>
        <v>40501</v>
      </c>
      <c r="AI21" s="826"/>
      <c r="AJ21" s="827">
        <f ca="1">'Intermediate Data'!CI66</f>
        <v>70</v>
      </c>
      <c r="AK21" s="827"/>
      <c r="AL21" s="827"/>
      <c r="AM21" s="827" t="str">
        <f ca="1">'Intermediate Data'!CJ66</f>
        <v/>
      </c>
      <c r="AN21" s="827"/>
      <c r="AO21" s="827"/>
      <c r="AP21" s="899" t="str">
        <f ca="1">IF('Intermediate Data'!CK66="","",'Intermediate Data'!CK66)</f>
        <v/>
      </c>
      <c r="AQ21" s="900"/>
      <c r="AR21" s="900"/>
      <c r="AS21" s="825" t="str">
        <f ca="1">IF(ISNUMBER(AM21),HYPERLINK("#"&amp;ADDRESS(MATCH(INDEX('DATA SOURCE #s'!$BO:BO,MATCH($J21,'DATA SOURCE #s'!$B:$B,0)),'SOURCE Info'!$A:$A,0),1,1,1,"SOURCE Info"),INDEX('DATA SOURCE #s'!$BO:BO,MATCH($J21,'DATA SOURCE #s'!$B:$B,0))),"")</f>
        <v/>
      </c>
      <c r="AT21" s="826"/>
      <c r="AU21" s="689"/>
      <c r="AV21" s="804">
        <f ca="1">'Intermediate Data'!CO66</f>
        <v>0.02</v>
      </c>
      <c r="AW21" s="804"/>
      <c r="AX21" s="804"/>
      <c r="AY21" s="804"/>
      <c r="AZ21" s="678"/>
      <c r="BA21" s="176" t="str">
        <f ca="1">IF(IFERROR(YEAR('Intermediate Data'!$CV66)&lt;2012,FALSE)=TRUE,"n","")</f>
        <v>n</v>
      </c>
      <c r="BB21" s="178" t="str">
        <f ca="1">IF(IFERROR(YEAR('Intermediate Data'!$CV66)=YEAR(BB$10),FALSE)=TRUE,"n","")</f>
        <v/>
      </c>
      <c r="BC21" s="177" t="str">
        <f ca="1">IF(IFERROR(YEAR('Intermediate Data'!$CV66)=YEAR(BC$10),FALSE)=TRUE,"n","")</f>
        <v/>
      </c>
      <c r="BD21" s="534" t="str">
        <f ca="1">IF(IFERROR(YEAR('Intermediate Data'!$CV66)=YEAR(BD$10),FALSE)=TRUE,"n","")</f>
        <v/>
      </c>
      <c r="BE21" s="179" t="str">
        <f ca="1">IF(IFERROR(YEAR('Intermediate Data'!$CW66)=YEAR(BE$10),FALSE)=TRUE,"n","")</f>
        <v/>
      </c>
      <c r="BF21" s="179" t="str">
        <f ca="1">IF(IFERROR(YEAR('Intermediate Data'!$CW66)=YEAR(BF$10),FALSE)=TRUE,"n","")</f>
        <v/>
      </c>
      <c r="BG21" s="179" t="str">
        <f ca="1">IF(IFERROR(YEAR('Intermediate Data'!$CW66)=YEAR(BG$10),FALSE)=TRUE,"n","")</f>
        <v/>
      </c>
      <c r="BH21" s="179" t="str">
        <f ca="1">IF(IFERROR(YEAR('Intermediate Data'!$CW66)=YEAR(BH$10),FALSE)=TRUE,"n","")</f>
        <v/>
      </c>
      <c r="BI21" s="179" t="str">
        <f ca="1">IF(IFERROR(YEAR('Intermediate Data'!$CW66)=YEAR(BI$10),FALSE)=TRUE,"n","")</f>
        <v/>
      </c>
      <c r="BJ21" s="179" t="str">
        <f ca="1">IF(IFERROR(YEAR('Intermediate Data'!$CW66)=YEAR(BJ$10),FALSE)=TRUE,"n","")</f>
        <v/>
      </c>
      <c r="BK21" s="179" t="str">
        <f ca="1">IF(IFERROR(YEAR('Intermediate Data'!$CW66)=YEAR(BK$10),FALSE)=TRUE,"n","")</f>
        <v/>
      </c>
      <c r="BL21" s="833">
        <f ca="1">IFERROR(HYPERLINK("#"&amp;ADDRESS(MATCH(INDEX('DATA SOURCE #s'!$DS:$DS,MATCH($J21,'DATA SOURCE #s'!$B:$B,0)),'SOURCE Info'!$A:$A,0),1,1,1,"SOURCE Info"),INDEX('DATA SOURCE #s'!$DS:$DS,MATCH($J21,'DATA SOURCE #s'!$B:$B,0))),"")</f>
        <v>61200</v>
      </c>
      <c r="BM21" s="834"/>
      <c r="BN21" s="23"/>
      <c r="BO21" s="978">
        <f ca="1">'Intermediate Data'!CY66</f>
        <v>44.676000000000002</v>
      </c>
      <c r="BP21" s="978"/>
      <c r="BQ21" s="978"/>
      <c r="BR21" s="979">
        <f ca="1">'Intermediate Data'!CZ66</f>
        <v>0</v>
      </c>
      <c r="BS21" s="979"/>
      <c r="BT21" s="979"/>
      <c r="BU21" s="978" t="str">
        <f ca="1">'Intermediate Data'!DA66</f>
        <v/>
      </c>
      <c r="BV21" s="978"/>
      <c r="BW21" s="978"/>
      <c r="BX21" s="979" t="str">
        <f ca="1">'Intermediate Data'!DB66</f>
        <v/>
      </c>
      <c r="BY21" s="979"/>
      <c r="BZ21" s="979"/>
      <c r="CA21" s="88" t="str">
        <f ca="1">'Intermediate Data'!CF66</f>
        <v>Compact audio</v>
      </c>
      <c r="CB21"/>
      <c r="CC21"/>
      <c r="CF21"/>
      <c r="CG21"/>
      <c r="CH21"/>
    </row>
    <row r="22" spans="1:86" ht="15" customHeight="1" x14ac:dyDescent="0.25">
      <c r="A22" s="23"/>
      <c r="B22" s="102"/>
      <c r="C22" s="109" t="s">
        <v>701</v>
      </c>
      <c r="D22" s="23"/>
      <c r="E22" s="23"/>
      <c r="F22" s="23"/>
      <c r="G22" s="23"/>
      <c r="H22" s="675"/>
      <c r="I22" s="23"/>
      <c r="J22" s="118" t="str">
        <f ca="1">'Intermediate Data'!CF67</f>
        <v>Hot water heater - Gas</v>
      </c>
      <c r="K22" s="30"/>
      <c r="L22" s="30"/>
      <c r="M22" s="30"/>
      <c r="N22" s="30"/>
      <c r="O22" s="30"/>
      <c r="P22" s="30"/>
      <c r="Q22" s="832">
        <f ca="1">'Intermediate Data'!CN67</f>
        <v>0</v>
      </c>
      <c r="R22" s="832"/>
      <c r="S22" s="832"/>
      <c r="T22" s="832"/>
      <c r="U22" s="679"/>
      <c r="V22" s="824">
        <f ca="1">'Intermediate Data'!CL67</f>
        <v>0</v>
      </c>
      <c r="W22" s="824"/>
      <c r="X22" s="824"/>
      <c r="Y22" s="219" t="str">
        <f ca="1">'Intermediate Data'!CM67</f>
        <v>ET</v>
      </c>
      <c r="Z22" s="678"/>
      <c r="AA22" s="831" t="str">
        <f ca="1">'Intermediate Data'!CG67</f>
        <v/>
      </c>
      <c r="AB22" s="831"/>
      <c r="AC22" s="831"/>
      <c r="AD22" s="194"/>
      <c r="AE22" s="831">
        <f ca="1">'Intermediate Data'!CH67</f>
        <v>0</v>
      </c>
      <c r="AF22" s="831"/>
      <c r="AG22" s="831"/>
      <c r="AH22" s="825">
        <f ca="1">IF(ISNUMBER(AE22),HYPERLINK("#"&amp;ADDRESS(MATCH(INDEX('DATA SOURCE #s'!BK:$BK,MATCH($J22,'DATA SOURCE #s'!$B:$B,0)),'SOURCE Info'!$A:$A,0),1,1,1,"SOURCE Info"),INDEX('DATA SOURCE #s'!BK:$BK,MATCH($J22,'DATA SOURCE #s'!$B:$B,0))),"")</f>
        <v>42001</v>
      </c>
      <c r="AI22" s="826"/>
      <c r="AJ22" s="827">
        <f ca="1">'Intermediate Data'!CI67</f>
        <v>0</v>
      </c>
      <c r="AK22" s="827"/>
      <c r="AL22" s="827"/>
      <c r="AM22" s="827" t="str">
        <f ca="1">'Intermediate Data'!CJ67</f>
        <v/>
      </c>
      <c r="AN22" s="827"/>
      <c r="AO22" s="827"/>
      <c r="AP22" s="899" t="str">
        <f ca="1">IF('Intermediate Data'!CK67="","",'Intermediate Data'!CK67)</f>
        <v/>
      </c>
      <c r="AQ22" s="900"/>
      <c r="AR22" s="900"/>
      <c r="AS22" s="825" t="str">
        <f ca="1">IF(ISNUMBER(AM22),HYPERLINK("#"&amp;ADDRESS(MATCH(INDEX('DATA SOURCE #s'!$BO:BO,MATCH($J22,'DATA SOURCE #s'!$B:$B,0)),'SOURCE Info'!$A:$A,0),1,1,1,"SOURCE Info"),INDEX('DATA SOURCE #s'!$BO:BO,MATCH($J22,'DATA SOURCE #s'!$B:$B,0))),"")</f>
        <v/>
      </c>
      <c r="AT22" s="826"/>
      <c r="AU22" s="689"/>
      <c r="AV22" s="804">
        <f ca="1">'Intermediate Data'!CO67</f>
        <v>0.04</v>
      </c>
      <c r="AW22" s="804"/>
      <c r="AX22" s="804"/>
      <c r="AY22" s="804"/>
      <c r="AZ22" s="678"/>
      <c r="BA22" s="176" t="str">
        <f ca="1">IF(IFERROR(YEAR('Intermediate Data'!$CV67)&lt;2012,FALSE)=TRUE,"n","")</f>
        <v/>
      </c>
      <c r="BB22" s="178" t="str">
        <f ca="1">IF(IFERROR(YEAR('Intermediate Data'!$CV67)=YEAR(BB$10),FALSE)=TRUE,"n","")</f>
        <v/>
      </c>
      <c r="BC22" s="177" t="str">
        <f ca="1">IF(IFERROR(YEAR('Intermediate Data'!$CV67)=YEAR(BC$10),FALSE)=TRUE,"n","")</f>
        <v/>
      </c>
      <c r="BD22" s="534" t="str">
        <f ca="1">IF(IFERROR(YEAR('Intermediate Data'!$CV67)=YEAR(BD$10),FALSE)=TRUE,"n","")</f>
        <v/>
      </c>
      <c r="BE22" s="179" t="str">
        <f ca="1">IF(IFERROR(YEAR('Intermediate Data'!$CW67)=YEAR(BE$10),FALSE)=TRUE,"n","")</f>
        <v/>
      </c>
      <c r="BF22" s="179" t="str">
        <f ca="1">IF(IFERROR(YEAR('Intermediate Data'!$CW67)=YEAR(BF$10),FALSE)=TRUE,"n","")</f>
        <v/>
      </c>
      <c r="BG22" s="179" t="str">
        <f ca="1">IF(IFERROR(YEAR('Intermediate Data'!$CW67)=YEAR(BG$10),FALSE)=TRUE,"n","")</f>
        <v/>
      </c>
      <c r="BH22" s="179" t="str">
        <f ca="1">IF(IFERROR(YEAR('Intermediate Data'!$CW67)=YEAR(BH$10),FALSE)=TRUE,"n","")</f>
        <v/>
      </c>
      <c r="BI22" s="179" t="str">
        <f ca="1">IF(IFERROR(YEAR('Intermediate Data'!$CW67)=YEAR(BI$10),FALSE)=TRUE,"n","")</f>
        <v/>
      </c>
      <c r="BJ22" s="179" t="str">
        <f ca="1">IF(IFERROR(YEAR('Intermediate Data'!$CW67)=YEAR(BJ$10),FALSE)=TRUE,"n","")</f>
        <v/>
      </c>
      <c r="BK22" s="179" t="str">
        <f ca="1">IF(IFERROR(YEAR('Intermediate Data'!$CW67)=YEAR(BK$10),FALSE)=TRUE,"n","")</f>
        <v/>
      </c>
      <c r="BL22" s="833">
        <f ca="1">IFERROR(HYPERLINK("#"&amp;ADDRESS(MATCH(INDEX('DATA SOURCE #s'!$DS:$DS,MATCH($J22,'DATA SOURCE #s'!$B:$B,0)),'SOURCE Info'!$A:$A,0),1,1,1,"SOURCE Info"),INDEX('DATA SOURCE #s'!$DS:$DS,MATCH($J22,'DATA SOURCE #s'!$B:$B,0))),"")</f>
        <v>62100</v>
      </c>
      <c r="BM22" s="834"/>
      <c r="BN22" s="23"/>
      <c r="BO22" s="978" t="str">
        <f ca="1">'Intermediate Data'!CY67</f>
        <v/>
      </c>
      <c r="BP22" s="978"/>
      <c r="BQ22" s="978"/>
      <c r="BR22" s="979" t="str">
        <f ca="1">'Intermediate Data'!CZ67</f>
        <v/>
      </c>
      <c r="BS22" s="979"/>
      <c r="BT22" s="979"/>
      <c r="BU22" s="978" t="str">
        <f ca="1">'Intermediate Data'!DA67</f>
        <v/>
      </c>
      <c r="BV22" s="978"/>
      <c r="BW22" s="978"/>
      <c r="BX22" s="979" t="str">
        <f ca="1">'Intermediate Data'!DB67</f>
        <v/>
      </c>
      <c r="BY22" s="979"/>
      <c r="BZ22" s="979"/>
      <c r="CA22" s="88" t="str">
        <f ca="1">'Intermediate Data'!CF67</f>
        <v>Hot water heater - Gas</v>
      </c>
      <c r="CB22"/>
      <c r="CC22"/>
      <c r="CF22"/>
      <c r="CG22"/>
      <c r="CH22"/>
    </row>
    <row r="23" spans="1:86" ht="15" customHeight="1" x14ac:dyDescent="0.25">
      <c r="A23" s="23"/>
      <c r="B23" s="102"/>
      <c r="C23" s="109" t="s">
        <v>11</v>
      </c>
      <c r="D23" s="23"/>
      <c r="E23" s="23"/>
      <c r="F23" s="23"/>
      <c r="G23" s="23"/>
      <c r="H23" s="675"/>
      <c r="I23" s="23"/>
      <c r="J23" s="118" t="str">
        <f ca="1">'Intermediate Data'!CF68</f>
        <v>Furnace - Fan</v>
      </c>
      <c r="K23" s="30"/>
      <c r="L23" s="30"/>
      <c r="M23" s="30"/>
      <c r="N23" s="30"/>
      <c r="O23" s="30"/>
      <c r="P23" s="30"/>
      <c r="Q23" s="832" t="str">
        <f ca="1">'Intermediate Data'!CN68</f>
        <v/>
      </c>
      <c r="R23" s="832"/>
      <c r="S23" s="832"/>
      <c r="T23" s="832"/>
      <c r="U23" s="679"/>
      <c r="V23" s="824" t="str">
        <f ca="1">'Intermediate Data'!CL68</f>
        <v/>
      </c>
      <c r="W23" s="824"/>
      <c r="X23" s="824"/>
      <c r="Y23" s="219" t="str">
        <f ca="1">'Intermediate Data'!CM68</f>
        <v/>
      </c>
      <c r="Z23" s="678"/>
      <c r="AA23" s="831" t="str">
        <f ca="1">'Intermediate Data'!CG68</f>
        <v/>
      </c>
      <c r="AB23" s="831"/>
      <c r="AC23" s="831"/>
      <c r="AD23" s="194"/>
      <c r="AE23" s="831" t="str">
        <f ca="1">'Intermediate Data'!CH68</f>
        <v/>
      </c>
      <c r="AF23" s="831"/>
      <c r="AG23" s="831"/>
      <c r="AH23" s="825" t="str">
        <f ca="1">IF(ISNUMBER(AE23),HYPERLINK("#"&amp;ADDRESS(MATCH(INDEX('DATA SOURCE #s'!BK:$BK,MATCH($J23,'DATA SOURCE #s'!$B:$B,0)),'SOURCE Info'!$A:$A,0),1,1,1,"SOURCE Info"),INDEX('DATA SOURCE #s'!BK:$BK,MATCH($J23,'DATA SOURCE #s'!$B:$B,0))),"")</f>
        <v/>
      </c>
      <c r="AI23" s="826"/>
      <c r="AJ23" s="827">
        <f ca="1">'Intermediate Data'!CI68</f>
        <v>55</v>
      </c>
      <c r="AK23" s="827"/>
      <c r="AL23" s="827"/>
      <c r="AM23" s="827">
        <f ca="1">'Intermediate Data'!CJ68</f>
        <v>249</v>
      </c>
      <c r="AN23" s="827"/>
      <c r="AO23" s="827"/>
      <c r="AP23" s="899" t="str">
        <f ca="1">IF('Intermediate Data'!CK68="","",'Intermediate Data'!CK68)</f>
        <v>Max Tech</v>
      </c>
      <c r="AQ23" s="900"/>
      <c r="AR23" s="900"/>
      <c r="AS23" s="825">
        <f ca="1">IF(ISNUMBER(AM23),HYPERLINK("#"&amp;ADDRESS(MATCH(INDEX('DATA SOURCE #s'!$BO:BO,MATCH($J23,'DATA SOURCE #s'!$B:$B,0)),'SOURCE Info'!$A:$A,0),1,1,1,"SOURCE Info"),INDEX('DATA SOURCE #s'!$BO:BO,MATCH($J23,'DATA SOURCE #s'!$B:$B,0))),"")</f>
        <v>41701</v>
      </c>
      <c r="AT23" s="826"/>
      <c r="AU23" s="689"/>
      <c r="AV23" s="804" t="str">
        <f ca="1">'Intermediate Data'!CO68</f>
        <v>Not published</v>
      </c>
      <c r="AW23" s="804"/>
      <c r="AX23" s="804"/>
      <c r="AY23" s="804"/>
      <c r="AZ23" s="678"/>
      <c r="BA23" s="176" t="str">
        <f ca="1">IF(IFERROR(YEAR('Intermediate Data'!$CV68)&lt;2012,FALSE)=TRUE,"n","")</f>
        <v/>
      </c>
      <c r="BB23" s="178" t="str">
        <f ca="1">IF(IFERROR(YEAR('Intermediate Data'!$CV68)=YEAR(BB$10),FALSE)=TRUE,"n","")</f>
        <v/>
      </c>
      <c r="BC23" s="177" t="str">
        <f ca="1">IF(IFERROR(YEAR('Intermediate Data'!$CV68)=YEAR(BC$10),FALSE)=TRUE,"n","")</f>
        <v/>
      </c>
      <c r="BD23" s="534" t="str">
        <f ca="1">IF(IFERROR(YEAR('Intermediate Data'!$CV68)=YEAR(BD$10),FALSE)=TRUE,"n","")</f>
        <v/>
      </c>
      <c r="BE23" s="179" t="str">
        <f ca="1">IF(IFERROR(YEAR('Intermediate Data'!$CW68)=YEAR(BE$10),FALSE)=TRUE,"n","")</f>
        <v/>
      </c>
      <c r="BF23" s="179" t="str">
        <f ca="1">IF(IFERROR(YEAR('Intermediate Data'!$CW68)=YEAR(BF$10),FALSE)=TRUE,"n","")</f>
        <v/>
      </c>
      <c r="BG23" s="179" t="str">
        <f ca="1">IF(IFERROR(YEAR('Intermediate Data'!$CW68)=YEAR(BG$10),FALSE)=TRUE,"n","")</f>
        <v/>
      </c>
      <c r="BH23" s="179" t="str">
        <f ca="1">IF(IFERROR(YEAR('Intermediate Data'!$CW68)=YEAR(BH$10),FALSE)=TRUE,"n","")</f>
        <v/>
      </c>
      <c r="BI23" s="179" t="str">
        <f ca="1">IF(IFERROR(YEAR('Intermediate Data'!$CW68)=YEAR(BI$10),FALSE)=TRUE,"n","")</f>
        <v/>
      </c>
      <c r="BJ23" s="179" t="str">
        <f ca="1">IF(IFERROR(YEAR('Intermediate Data'!$CW68)=YEAR(BJ$10),FALSE)=TRUE,"n","")</f>
        <v/>
      </c>
      <c r="BK23" s="179" t="str">
        <f ca="1">IF(IFERROR(YEAR('Intermediate Data'!$CW68)=YEAR(BK$10),FALSE)=TRUE,"n","")</f>
        <v/>
      </c>
      <c r="BL23" s="833">
        <f ca="1">IFERROR(HYPERLINK("#"&amp;ADDRESS(MATCH(INDEX('DATA SOURCE #s'!$DS:$DS,MATCH($J23,'DATA SOURCE #s'!$B:$B,0)),'SOURCE Info'!$A:$A,0),1,1,1,"SOURCE Info"),INDEX('DATA SOURCE #s'!$DS:$DS,MATCH($J23,'DATA SOURCE #s'!$B:$B,0))),"")</f>
        <v>61700</v>
      </c>
      <c r="BM23" s="834"/>
      <c r="BN23" s="23"/>
      <c r="BO23" s="978" t="str">
        <f ca="1">'Intermediate Data'!CY68</f>
        <v/>
      </c>
      <c r="BP23" s="978"/>
      <c r="BQ23" s="978"/>
      <c r="BR23" s="979" t="str">
        <f ca="1">'Intermediate Data'!CZ68</f>
        <v/>
      </c>
      <c r="BS23" s="979"/>
      <c r="BT23" s="979"/>
      <c r="BU23" s="978" t="str">
        <f ca="1">'Intermediate Data'!DA68</f>
        <v/>
      </c>
      <c r="BV23" s="978"/>
      <c r="BW23" s="978"/>
      <c r="BX23" s="979" t="str">
        <f ca="1">'Intermediate Data'!DB68</f>
        <v/>
      </c>
      <c r="BY23" s="979"/>
      <c r="BZ23" s="979"/>
      <c r="CA23" s="88" t="str">
        <f ca="1">'Intermediate Data'!CF68</f>
        <v>Furnace - Fan</v>
      </c>
      <c r="CB23"/>
      <c r="CC23"/>
      <c r="CF23"/>
      <c r="CG23"/>
      <c r="CH23"/>
    </row>
    <row r="24" spans="1:86" ht="15" customHeight="1" x14ac:dyDescent="0.25">
      <c r="A24" s="23"/>
      <c r="B24" s="102"/>
      <c r="C24" s="109" t="s">
        <v>700</v>
      </c>
      <c r="D24" s="23"/>
      <c r="E24" s="23"/>
      <c r="F24" s="23"/>
      <c r="G24" s="23"/>
      <c r="H24" s="675"/>
      <c r="I24" s="23"/>
      <c r="J24" s="118" t="str">
        <f ca="1">'Intermediate Data'!CF69</f>
        <v>Pool pump</v>
      </c>
      <c r="K24" s="30"/>
      <c r="L24" s="30"/>
      <c r="M24" s="30"/>
      <c r="N24" s="30"/>
      <c r="O24" s="30"/>
      <c r="P24" s="30"/>
      <c r="Q24" s="832">
        <f ca="1">'Intermediate Data'!CN69</f>
        <v>526493249.09489399</v>
      </c>
      <c r="R24" s="832"/>
      <c r="S24" s="832"/>
      <c r="T24" s="832"/>
      <c r="U24" s="679"/>
      <c r="V24" s="824">
        <f ca="1">'Intermediate Data'!CL69</f>
        <v>1685.9999988335173</v>
      </c>
      <c r="W24" s="824"/>
      <c r="X24" s="824"/>
      <c r="Y24" s="219" t="str">
        <f ca="1">'Intermediate Data'!CM69</f>
        <v/>
      </c>
      <c r="Z24" s="678"/>
      <c r="AA24" s="831" t="str">
        <f ca="1">'Intermediate Data'!CG69</f>
        <v/>
      </c>
      <c r="AB24" s="831"/>
      <c r="AC24" s="831"/>
      <c r="AD24" s="194"/>
      <c r="AE24" s="831" t="str">
        <f ca="1">'Intermediate Data'!CH69</f>
        <v/>
      </c>
      <c r="AF24" s="831"/>
      <c r="AG24" s="831"/>
      <c r="AH24" s="825" t="str">
        <f ca="1">IF(ISNUMBER(AE24),HYPERLINK("#"&amp;ADDRESS(MATCH(INDEX('DATA SOURCE #s'!BK:$BK,MATCH($J24,'DATA SOURCE #s'!$B:$B,0)),'SOURCE Info'!$A:$A,0),1,1,1,"SOURCE Info"),INDEX('DATA SOURCE #s'!BK:$BK,MATCH($J24,'DATA SOURCE #s'!$B:$B,0))),"")</f>
        <v/>
      </c>
      <c r="AI24" s="826"/>
      <c r="AJ24" s="827">
        <f ca="1">'Intermediate Data'!CI69</f>
        <v>2800</v>
      </c>
      <c r="AK24" s="827"/>
      <c r="AL24" s="827"/>
      <c r="AM24" s="827">
        <f ca="1">'Intermediate Data'!CJ69</f>
        <v>1169</v>
      </c>
      <c r="AN24" s="827"/>
      <c r="AO24" s="827"/>
      <c r="AP24" s="899" t="str">
        <f ca="1">IF('Intermediate Data'!CK69="","",'Intermediate Data'!CK69)</f>
        <v>Savings over Title 20 baseline</v>
      </c>
      <c r="AQ24" s="900"/>
      <c r="AR24" s="900"/>
      <c r="AS24" s="825">
        <f ca="1">IF(ISNUMBER(AM24),HYPERLINK("#"&amp;ADDRESS(MATCH(INDEX('DATA SOURCE #s'!$BO:BO,MATCH($J24,'DATA SOURCE #s'!$B:$B,0)),'SOURCE Info'!$A:$A,0),1,1,1,"SOURCE Info"),INDEX('DATA SOURCE #s'!$BO:BO,MATCH($J24,'DATA SOURCE #s'!$B:$B,0))),"")</f>
        <v>41601</v>
      </c>
      <c r="AT24" s="826"/>
      <c r="AU24" s="689"/>
      <c r="AV24" s="804" t="str">
        <f ca="1">'Intermediate Data'!CO69</f>
        <v>Not published</v>
      </c>
      <c r="AW24" s="804"/>
      <c r="AX24" s="804"/>
      <c r="AY24" s="804"/>
      <c r="AZ24" s="678"/>
      <c r="BA24" s="176" t="str">
        <f ca="1">IF(IFERROR(YEAR('Intermediate Data'!$CV69)&lt;2012,FALSE)=TRUE,"n","")</f>
        <v>n</v>
      </c>
      <c r="BB24" s="178" t="str">
        <f ca="1">IF(IFERROR(YEAR('Intermediate Data'!$CV69)=YEAR(BB$10),FALSE)=TRUE,"n","")</f>
        <v/>
      </c>
      <c r="BC24" s="177" t="str">
        <f ca="1">IF(IFERROR(YEAR('Intermediate Data'!$CV69)=YEAR(BC$10),FALSE)=TRUE,"n","")</f>
        <v/>
      </c>
      <c r="BD24" s="534" t="str">
        <f ca="1">IF(IFERROR(YEAR('Intermediate Data'!$CV69)=YEAR(BD$10),FALSE)=TRUE,"n","")</f>
        <v/>
      </c>
      <c r="BE24" s="179" t="str">
        <f ca="1">IF(IFERROR(YEAR('Intermediate Data'!$CW69)=YEAR(BE$10),FALSE)=TRUE,"n","")</f>
        <v/>
      </c>
      <c r="BF24" s="179" t="str">
        <f ca="1">IF(IFERROR(YEAR('Intermediate Data'!$CW69)=YEAR(BF$10),FALSE)=TRUE,"n","")</f>
        <v>n</v>
      </c>
      <c r="BG24" s="179" t="str">
        <f ca="1">IF(IFERROR(YEAR('Intermediate Data'!$CW69)=YEAR(BG$10),FALSE)=TRUE,"n","")</f>
        <v/>
      </c>
      <c r="BH24" s="179" t="str">
        <f ca="1">IF(IFERROR(YEAR('Intermediate Data'!$CW69)=YEAR(BH$10),FALSE)=TRUE,"n","")</f>
        <v/>
      </c>
      <c r="BI24" s="179" t="str">
        <f ca="1">IF(IFERROR(YEAR('Intermediate Data'!$CW69)=YEAR(BI$10),FALSE)=TRUE,"n","")</f>
        <v/>
      </c>
      <c r="BJ24" s="179" t="str">
        <f ca="1">IF(IFERROR(YEAR('Intermediate Data'!$CW69)=YEAR(BJ$10),FALSE)=TRUE,"n","")</f>
        <v/>
      </c>
      <c r="BK24" s="179" t="str">
        <f ca="1">IF(IFERROR(YEAR('Intermediate Data'!$CW69)=YEAR(BK$10),FALSE)=TRUE,"n","")</f>
        <v/>
      </c>
      <c r="BL24" s="833">
        <f ca="1">IFERROR(HYPERLINK("#"&amp;ADDRESS(MATCH(INDEX('DATA SOURCE #s'!$DS:$DS,MATCH($J24,'DATA SOURCE #s'!$B:$B,0)),'SOURCE Info'!$A:$A,0),1,1,1,"SOURCE Info"),INDEX('DATA SOURCE #s'!$DS:$DS,MATCH($J24,'DATA SOURCE #s'!$B:$B,0))),"")</f>
        <v>61600</v>
      </c>
      <c r="BM24" s="834"/>
      <c r="BN24" s="23"/>
      <c r="BO24" s="978">
        <f ca="1">'Intermediate Data'!CY69</f>
        <v>725.16</v>
      </c>
      <c r="BP24" s="978"/>
      <c r="BQ24" s="978"/>
      <c r="BR24" s="979">
        <f ca="1">'Intermediate Data'!CZ69</f>
        <v>6.4000000000000001E-2</v>
      </c>
      <c r="BS24" s="979"/>
      <c r="BT24" s="979"/>
      <c r="BU24" s="978">
        <f ca="1">'Intermediate Data'!DA69</f>
        <v>240</v>
      </c>
      <c r="BV24" s="978"/>
      <c r="BW24" s="978"/>
      <c r="BX24" s="979">
        <f ca="1">'Intermediate Data'!DB69</f>
        <v>0.15429999999999999</v>
      </c>
      <c r="BY24" s="979"/>
      <c r="BZ24" s="979"/>
      <c r="CA24" s="88" t="str">
        <f ca="1">'Intermediate Data'!CF69</f>
        <v>Pool pump</v>
      </c>
      <c r="CB24"/>
      <c r="CC24"/>
      <c r="CF24"/>
      <c r="CG24"/>
      <c r="CH24"/>
    </row>
    <row r="25" spans="1:86" ht="15" customHeight="1" x14ac:dyDescent="0.25">
      <c r="A25" s="23"/>
      <c r="B25" s="102"/>
      <c r="C25" s="109" t="s">
        <v>62</v>
      </c>
      <c r="D25" s="23"/>
      <c r="E25" s="23"/>
      <c r="F25" s="23"/>
      <c r="G25" s="23"/>
      <c r="H25" s="675"/>
      <c r="I25" s="23"/>
      <c r="J25" s="118" t="str">
        <f ca="1">'Intermediate Data'!CF70</f>
        <v>Network equipment</v>
      </c>
      <c r="K25" s="30"/>
      <c r="L25" s="30"/>
      <c r="M25" s="30"/>
      <c r="N25" s="30"/>
      <c r="O25" s="30"/>
      <c r="P25" s="30"/>
      <c r="Q25" s="832" t="str">
        <f ca="1">'Intermediate Data'!CN70</f>
        <v/>
      </c>
      <c r="R25" s="832"/>
      <c r="S25" s="832"/>
      <c r="T25" s="832"/>
      <c r="U25" s="679"/>
      <c r="V25" s="824" t="str">
        <f ca="1">'Intermediate Data'!CL70</f>
        <v/>
      </c>
      <c r="W25" s="824"/>
      <c r="X25" s="824"/>
      <c r="Y25" s="219" t="str">
        <f ca="1">'Intermediate Data'!CM70</f>
        <v/>
      </c>
      <c r="Z25" s="678"/>
      <c r="AA25" s="831">
        <f ca="1">'Intermediate Data'!CG70</f>
        <v>59</v>
      </c>
      <c r="AB25" s="831"/>
      <c r="AC25" s="831"/>
      <c r="AD25" s="194"/>
      <c r="AE25" s="831" t="str">
        <f ca="1">'Intermediate Data'!CH70</f>
        <v/>
      </c>
      <c r="AF25" s="831"/>
      <c r="AG25" s="831"/>
      <c r="AH25" s="825" t="str">
        <f ca="1">IF(ISNUMBER(AE25),HYPERLINK("#"&amp;ADDRESS(MATCH(INDEX('DATA SOURCE #s'!BK:$BK,MATCH($J25,'DATA SOURCE #s'!$B:$B,0)),'SOURCE Info'!$A:$A,0),1,1,1,"SOURCE Info"),INDEX('DATA SOURCE #s'!BK:$BK,MATCH($J25,'DATA SOURCE #s'!$B:$B,0))),"")</f>
        <v/>
      </c>
      <c r="AI25" s="826"/>
      <c r="AJ25" s="827">
        <f ca="1">'Intermediate Data'!CI70</f>
        <v>15</v>
      </c>
      <c r="AK25" s="827"/>
      <c r="AL25" s="827"/>
      <c r="AM25" s="827">
        <f ca="1">'Intermediate Data'!CJ70</f>
        <v>25</v>
      </c>
      <c r="AN25" s="827"/>
      <c r="AO25" s="827"/>
      <c r="AP25" s="899" t="str">
        <f ca="1">IF('Intermediate Data'!CK70="","",'Intermediate Data'!CK70)</f>
        <v>Title 20 compliance</v>
      </c>
      <c r="AQ25" s="900"/>
      <c r="AR25" s="900"/>
      <c r="AS25" s="825">
        <f ca="1">IF(ISNUMBER(AM25),HYPERLINK("#"&amp;ADDRESS(MATCH(INDEX('DATA SOURCE #s'!$BO:BO,MATCH($J25,'DATA SOURCE #s'!$B:$B,0)),'SOURCE Info'!$A:$A,0),1,1,1,"SOURCE Info"),INDEX('DATA SOURCE #s'!$BO:BO,MATCH($J25,'DATA SOURCE #s'!$B:$B,0))),"")</f>
        <v>41501</v>
      </c>
      <c r="AT25" s="826"/>
      <c r="AU25" s="689"/>
      <c r="AV25" s="901" t="str">
        <f ca="1">'Intermediate Data'!CO70</f>
        <v>Not published</v>
      </c>
      <c r="AW25" s="901"/>
      <c r="AX25" s="901"/>
      <c r="AY25" s="901"/>
      <c r="AZ25" s="678"/>
      <c r="BA25" s="176" t="str">
        <f ca="1">IF(IFERROR(YEAR('Intermediate Data'!$CV70)&lt;2012,FALSE)=TRUE,"n","")</f>
        <v/>
      </c>
      <c r="BB25" s="178" t="str">
        <f ca="1">IF(IFERROR(YEAR('Intermediate Data'!$CV70)=YEAR(BB$10),FALSE)=TRUE,"n","")</f>
        <v/>
      </c>
      <c r="BC25" s="177" t="str">
        <f ca="1">IF(IFERROR(YEAR('Intermediate Data'!$CV70)=YEAR(BC$10),FALSE)=TRUE,"n","")</f>
        <v/>
      </c>
      <c r="BD25" s="534" t="str">
        <f ca="1">IF(IFERROR(YEAR('Intermediate Data'!$CV70)=YEAR(BD$10),FALSE)=TRUE,"n","")</f>
        <v/>
      </c>
      <c r="BE25" s="179" t="str">
        <f ca="1">IF(IFERROR(YEAR('Intermediate Data'!$CW70)=YEAR(BE$10),FALSE)=TRUE,"n","")</f>
        <v/>
      </c>
      <c r="BF25" s="179" t="str">
        <f ca="1">IF(IFERROR(YEAR('Intermediate Data'!$CW70)=YEAR(BF$10),FALSE)=TRUE,"n","")</f>
        <v>n</v>
      </c>
      <c r="BG25" s="179" t="str">
        <f ca="1">IF(IFERROR(YEAR('Intermediate Data'!$CW70)=YEAR(BG$10),FALSE)=TRUE,"n","")</f>
        <v/>
      </c>
      <c r="BH25" s="179" t="str">
        <f ca="1">IF(IFERROR(YEAR('Intermediate Data'!$CW70)=YEAR(BH$10),FALSE)=TRUE,"n","")</f>
        <v/>
      </c>
      <c r="BI25" s="179" t="str">
        <f ca="1">IF(IFERROR(YEAR('Intermediate Data'!$CW70)=YEAR(BI$10),FALSE)=TRUE,"n","")</f>
        <v/>
      </c>
      <c r="BJ25" s="179" t="str">
        <f ca="1">IF(IFERROR(YEAR('Intermediate Data'!$CW70)=YEAR(BJ$10),FALSE)=TRUE,"n","")</f>
        <v/>
      </c>
      <c r="BK25" s="179" t="str">
        <f ca="1">IF(IFERROR(YEAR('Intermediate Data'!$CW70)=YEAR(BK$10),FALSE)=TRUE,"n","")</f>
        <v/>
      </c>
      <c r="BL25" s="833">
        <f ca="1">IFERROR(HYPERLINK("#"&amp;ADDRESS(MATCH(INDEX('DATA SOURCE #s'!$DS:$DS,MATCH($J25,'DATA SOURCE #s'!$B:$B,0)),'SOURCE Info'!$A:$A,0),1,1,1,"SOURCE Info"),INDEX('DATA SOURCE #s'!$DS:$DS,MATCH($J25,'DATA SOURCE #s'!$B:$B,0))),"")</f>
        <v>61500</v>
      </c>
      <c r="BM25" s="834"/>
      <c r="BN25" s="23"/>
      <c r="BO25" s="978" t="str">
        <f ca="1">'Intermediate Data'!CY70</f>
        <v/>
      </c>
      <c r="BP25" s="978"/>
      <c r="BQ25" s="978"/>
      <c r="BR25" s="979" t="str">
        <f ca="1">'Intermediate Data'!CZ70</f>
        <v/>
      </c>
      <c r="BS25" s="979"/>
      <c r="BT25" s="979"/>
      <c r="BU25" s="978">
        <f ca="1">'Intermediate Data'!DA70</f>
        <v>35.58</v>
      </c>
      <c r="BV25" s="978"/>
      <c r="BW25" s="978"/>
      <c r="BX25" s="979">
        <f ca="1">'Intermediate Data'!DB70</f>
        <v>0.15429999999999999</v>
      </c>
      <c r="BY25" s="979"/>
      <c r="BZ25" s="979"/>
      <c r="CA25" s="88" t="str">
        <f ca="1">'Intermediate Data'!CF70</f>
        <v>Network equipment</v>
      </c>
      <c r="CB25"/>
      <c r="CC25"/>
      <c r="CF25"/>
      <c r="CG25"/>
      <c r="CH25"/>
    </row>
    <row r="26" spans="1:86" ht="15" customHeight="1" x14ac:dyDescent="0.25">
      <c r="A26" s="23"/>
      <c r="B26" s="102"/>
      <c r="C26" s="109" t="s">
        <v>9</v>
      </c>
      <c r="D26" s="23"/>
      <c r="E26" s="23"/>
      <c r="F26" s="23"/>
      <c r="G26" s="23"/>
      <c r="H26" s="675"/>
      <c r="I26" s="23"/>
      <c r="J26" s="118" t="str">
        <f ca="1">'Intermediate Data'!CF71</f>
        <v>Set top box</v>
      </c>
      <c r="K26" s="30"/>
      <c r="L26" s="30"/>
      <c r="M26" s="30"/>
      <c r="N26" s="30"/>
      <c r="O26" s="30"/>
      <c r="P26" s="30"/>
      <c r="Q26" s="832" t="str">
        <f ca="1">'Intermediate Data'!CN71</f>
        <v/>
      </c>
      <c r="R26" s="832"/>
      <c r="S26" s="832"/>
      <c r="T26" s="832"/>
      <c r="U26" s="679"/>
      <c r="V26" s="824" t="str">
        <f ca="1">'Intermediate Data'!CL71</f>
        <v/>
      </c>
      <c r="W26" s="824"/>
      <c r="X26" s="824"/>
      <c r="Y26" s="219" t="str">
        <f ca="1">'Intermediate Data'!CM71</f>
        <v/>
      </c>
      <c r="Z26" s="678"/>
      <c r="AA26" s="831">
        <f ca="1">'Intermediate Data'!CG71</f>
        <v>138</v>
      </c>
      <c r="AB26" s="831"/>
      <c r="AC26" s="831"/>
      <c r="AD26" s="194"/>
      <c r="AE26" s="831" t="str">
        <f ca="1">'Intermediate Data'!CH71</f>
        <v/>
      </c>
      <c r="AF26" s="831"/>
      <c r="AG26" s="831"/>
      <c r="AH26" s="825" t="str">
        <f ca="1">IF(ISNUMBER(AE26),HYPERLINK("#"&amp;ADDRESS(MATCH(INDEX('DATA SOURCE #s'!BK:$BK,MATCH($J26,'DATA SOURCE #s'!$B:$B,0)),'SOURCE Info'!$A:$A,0),1,1,1,"SOURCE Info"),INDEX('DATA SOURCE #s'!BK:$BK,MATCH($J26,'DATA SOURCE #s'!$B:$B,0))),"")</f>
        <v/>
      </c>
      <c r="AI26" s="826"/>
      <c r="AJ26" s="827">
        <f ca="1">'Intermediate Data'!CI71</f>
        <v>115</v>
      </c>
      <c r="AK26" s="827"/>
      <c r="AL26" s="827"/>
      <c r="AM26" s="827">
        <f ca="1">'Intermediate Data'!CJ71</f>
        <v>92</v>
      </c>
      <c r="AN26" s="827"/>
      <c r="AO26" s="827"/>
      <c r="AP26" s="899" t="str">
        <f ca="1">IF('Intermediate Data'!CK71="","",'Intermediate Data'!CK71)</f>
        <v>Efficient components</v>
      </c>
      <c r="AQ26" s="900"/>
      <c r="AR26" s="900"/>
      <c r="AS26" s="825">
        <f ca="1">IF(ISNUMBER(AM26),HYPERLINK("#"&amp;ADDRESS(MATCH(INDEX('DATA SOURCE #s'!$BO:BO,MATCH($J26,'DATA SOURCE #s'!$B:$B,0)),'SOURCE Info'!$A:$A,0),1,1,1,"SOURCE Info"),INDEX('DATA SOURCE #s'!$BO:BO,MATCH($J26,'DATA SOURCE #s'!$B:$B,0))),"")</f>
        <v>41301</v>
      </c>
      <c r="AT26" s="826"/>
      <c r="AU26" s="689"/>
      <c r="AV26" s="901">
        <f ca="1">'Intermediate Data'!CO71</f>
        <v>0.89</v>
      </c>
      <c r="AW26" s="901"/>
      <c r="AX26" s="901"/>
      <c r="AY26" s="901"/>
      <c r="AZ26" s="678"/>
      <c r="BA26" s="176" t="str">
        <f ca="1">IF(IFERROR(YEAR('Intermediate Data'!$CV71)&lt;2012,FALSE)=TRUE,"n","")</f>
        <v/>
      </c>
      <c r="BB26" s="178" t="str">
        <f ca="1">IF(IFERROR(YEAR('Intermediate Data'!$CV71)=YEAR(BB$10),FALSE)=TRUE,"n","")</f>
        <v/>
      </c>
      <c r="BC26" s="177" t="str">
        <f ca="1">IF(IFERROR(YEAR('Intermediate Data'!$CV71)=YEAR(BC$10),FALSE)=TRUE,"n","")</f>
        <v/>
      </c>
      <c r="BD26" s="534" t="str">
        <f ca="1">IF(IFERROR(YEAR('Intermediate Data'!$CV71)=YEAR(BD$10),FALSE)=TRUE,"n","")</f>
        <v/>
      </c>
      <c r="BE26" s="179" t="str">
        <f ca="1">IF(IFERROR(YEAR('Intermediate Data'!$CW71)=YEAR(BE$10),FALSE)=TRUE,"n","")</f>
        <v/>
      </c>
      <c r="BF26" s="179" t="str">
        <f ca="1">IF(IFERROR(YEAR('Intermediate Data'!$CW71)=YEAR(BF$10),FALSE)=TRUE,"n","")</f>
        <v>n</v>
      </c>
      <c r="BG26" s="179" t="str">
        <f ca="1">IF(IFERROR(YEAR('Intermediate Data'!$CW71)=YEAR(BG$10),FALSE)=TRUE,"n","")</f>
        <v/>
      </c>
      <c r="BH26" s="179" t="str">
        <f ca="1">IF(IFERROR(YEAR('Intermediate Data'!$CW71)=YEAR(BH$10),FALSE)=TRUE,"n","")</f>
        <v/>
      </c>
      <c r="BI26" s="179" t="str">
        <f ca="1">IF(IFERROR(YEAR('Intermediate Data'!$CW71)=YEAR(BI$10),FALSE)=TRUE,"n","")</f>
        <v/>
      </c>
      <c r="BJ26" s="179" t="str">
        <f ca="1">IF(IFERROR(YEAR('Intermediate Data'!$CW71)=YEAR(BJ$10),FALSE)=TRUE,"n","")</f>
        <v/>
      </c>
      <c r="BK26" s="179" t="str">
        <f ca="1">IF(IFERROR(YEAR('Intermediate Data'!$CW71)=YEAR(BK$10),FALSE)=TRUE,"n","")</f>
        <v/>
      </c>
      <c r="BL26" s="833">
        <f ca="1">IFERROR(HYPERLINK("#"&amp;ADDRESS(MATCH(INDEX('DATA SOURCE #s'!$DS:$DS,MATCH($J26,'DATA SOURCE #s'!$B:$B,0)),'SOURCE Info'!$A:$A,0),1,1,1,"SOURCE Info"),INDEX('DATA SOURCE #s'!$DS:$DS,MATCH($J26,'DATA SOURCE #s'!$B:$B,0))),"")</f>
        <v>61300</v>
      </c>
      <c r="BM26" s="834"/>
      <c r="BN26" s="23"/>
      <c r="BO26" s="978" t="str">
        <f ca="1">'Intermediate Data'!CY71</f>
        <v/>
      </c>
      <c r="BP26" s="978"/>
      <c r="BQ26" s="978"/>
      <c r="BR26" s="979" t="str">
        <f ca="1">'Intermediate Data'!CZ71</f>
        <v/>
      </c>
      <c r="BS26" s="979"/>
      <c r="BT26" s="979"/>
      <c r="BU26" s="978">
        <f ca="1">'Intermediate Data'!DA71</f>
        <v>37.26</v>
      </c>
      <c r="BV26" s="978"/>
      <c r="BW26" s="978"/>
      <c r="BX26" s="979">
        <f ca="1">'Intermediate Data'!DB71</f>
        <v>0.15429999999999999</v>
      </c>
      <c r="BY26" s="979"/>
      <c r="BZ26" s="979"/>
      <c r="CA26" s="88" t="str">
        <f ca="1">'Intermediate Data'!CF71</f>
        <v>Set top box</v>
      </c>
      <c r="CB26"/>
      <c r="CC26"/>
      <c r="CF26"/>
      <c r="CG26"/>
      <c r="CH26"/>
    </row>
    <row r="27" spans="1:86" ht="15" customHeight="1" x14ac:dyDescent="0.25">
      <c r="A27" s="23"/>
      <c r="B27" s="102"/>
      <c r="C27" s="109" t="s">
        <v>85</v>
      </c>
      <c r="D27" s="23"/>
      <c r="E27" s="23"/>
      <c r="F27" s="23"/>
      <c r="G27" s="23"/>
      <c r="H27" s="675"/>
      <c r="I27" s="23"/>
      <c r="J27" s="118" t="str">
        <f ca="1">'Intermediate Data'!CF72</f>
        <v>Microwave oven</v>
      </c>
      <c r="K27" s="30"/>
      <c r="L27" s="30"/>
      <c r="M27" s="30"/>
      <c r="N27" s="30"/>
      <c r="O27" s="30"/>
      <c r="P27" s="30"/>
      <c r="Q27" s="832" t="str">
        <f ca="1">'Intermediate Data'!CN72</f>
        <v/>
      </c>
      <c r="R27" s="832"/>
      <c r="S27" s="832"/>
      <c r="T27" s="832"/>
      <c r="U27" s="679"/>
      <c r="V27" s="824" t="str">
        <f ca="1">'Intermediate Data'!CL72</f>
        <v/>
      </c>
      <c r="W27" s="824"/>
      <c r="X27" s="824"/>
      <c r="Y27" s="219" t="str">
        <f ca="1">'Intermediate Data'!CM72</f>
        <v/>
      </c>
      <c r="Z27" s="678"/>
      <c r="AA27" s="831">
        <f ca="1">'Intermediate Data'!CG72</f>
        <v>72</v>
      </c>
      <c r="AB27" s="831"/>
      <c r="AC27" s="831"/>
      <c r="AD27" s="194"/>
      <c r="AE27" s="831" t="str">
        <f ca="1">'Intermediate Data'!CH72</f>
        <v/>
      </c>
      <c r="AF27" s="831"/>
      <c r="AG27" s="831"/>
      <c r="AH27" s="825" t="str">
        <f ca="1">IF(ISNUMBER(AE27),HYPERLINK("#"&amp;ADDRESS(MATCH(INDEX('DATA SOURCE #s'!BK:$BK,MATCH($J27,'DATA SOURCE #s'!$B:$B,0)),'SOURCE Info'!$A:$A,0),1,1,1,"SOURCE Info"),INDEX('DATA SOURCE #s'!BK:$BK,MATCH($J27,'DATA SOURCE #s'!$B:$B,0))),"")</f>
        <v/>
      </c>
      <c r="AI27" s="826"/>
      <c r="AJ27" s="827" t="str">
        <f ca="1">'Intermediate Data'!CI72</f>
        <v>No spec</v>
      </c>
      <c r="AK27" s="827"/>
      <c r="AL27" s="827"/>
      <c r="AM27" s="827">
        <f ca="1">'Intermediate Data'!CJ72</f>
        <v>34.900000000000006</v>
      </c>
      <c r="AN27" s="827"/>
      <c r="AO27" s="827"/>
      <c r="AP27" s="899" t="str">
        <f ca="1">IF('Intermediate Data'!CK72="","",'Intermediate Data'!CK72)</f>
        <v>Max Tech</v>
      </c>
      <c r="AQ27" s="900"/>
      <c r="AR27" s="900"/>
      <c r="AS27" s="825">
        <f ca="1">IF(ISNUMBER(AM27),HYPERLINK("#"&amp;ADDRESS(MATCH(INDEX('DATA SOURCE #s'!$BO:BO,MATCH($J27,'DATA SOURCE #s'!$B:$B,0)),'SOURCE Info'!$A:$A,0),1,1,1,"SOURCE Info"),INDEX('DATA SOURCE #s'!$BO:BO,MATCH($J27,'DATA SOURCE #s'!$B:$B,0))),"")</f>
        <v>40801</v>
      </c>
      <c r="AT27" s="826"/>
      <c r="AU27" s="689"/>
      <c r="AV27" s="901" t="str">
        <f ca="1">'Intermediate Data'!CO72</f>
        <v>No spec</v>
      </c>
      <c r="AW27" s="901"/>
      <c r="AX27" s="901"/>
      <c r="AY27" s="901"/>
      <c r="AZ27" s="678"/>
      <c r="BA27" s="176" t="str">
        <f ca="1">IF(IFERROR(YEAR('Intermediate Data'!$CV72)&lt;2012,FALSE)=TRUE,"n","")</f>
        <v/>
      </c>
      <c r="BB27" s="178" t="str">
        <f ca="1">IF(IFERROR(YEAR('Intermediate Data'!$CV72)=YEAR(BB$10),FALSE)=TRUE,"n","")</f>
        <v/>
      </c>
      <c r="BC27" s="177" t="str">
        <f ca="1">IF(IFERROR(YEAR('Intermediate Data'!$CV72)=YEAR(BC$10),FALSE)=TRUE,"n","")</f>
        <v/>
      </c>
      <c r="BD27" s="534" t="str">
        <f ca="1">IF(IFERROR(YEAR('Intermediate Data'!$CV72)=YEAR(BD$10),FALSE)=TRUE,"n","")</f>
        <v/>
      </c>
      <c r="BE27" s="179" t="str">
        <f ca="1">IF(IFERROR(YEAR('Intermediate Data'!$CW72)=YEAR(BE$10),FALSE)=TRUE,"n","")</f>
        <v/>
      </c>
      <c r="BF27" s="179" t="str">
        <f ca="1">IF(IFERROR(YEAR('Intermediate Data'!$CW72)=YEAR(BF$10),FALSE)=TRUE,"n","")</f>
        <v/>
      </c>
      <c r="BG27" s="179" t="str">
        <f ca="1">IF(IFERROR(YEAR('Intermediate Data'!$CW72)=YEAR(BG$10),FALSE)=TRUE,"n","")</f>
        <v/>
      </c>
      <c r="BH27" s="179" t="str">
        <f ca="1">IF(IFERROR(YEAR('Intermediate Data'!$CW72)=YEAR(BH$10),FALSE)=TRUE,"n","")</f>
        <v/>
      </c>
      <c r="BI27" s="179" t="str">
        <f ca="1">IF(IFERROR(YEAR('Intermediate Data'!$CW72)=YEAR(BI$10),FALSE)=TRUE,"n","")</f>
        <v/>
      </c>
      <c r="BJ27" s="179" t="str">
        <f ca="1">IF(IFERROR(YEAR('Intermediate Data'!$CW72)=YEAR(BJ$10),FALSE)=TRUE,"n","")</f>
        <v/>
      </c>
      <c r="BK27" s="179" t="str">
        <f ca="1">IF(IFERROR(YEAR('Intermediate Data'!$CW72)=YEAR(BK$10),FALSE)=TRUE,"n","")</f>
        <v/>
      </c>
      <c r="BL27" s="833">
        <f ca="1">IFERROR(HYPERLINK("#"&amp;ADDRESS(MATCH(INDEX('DATA SOURCE #s'!$DS:$DS,MATCH($J27,'DATA SOURCE #s'!$B:$B,0)),'SOURCE Info'!$A:$A,0),1,1,1,"SOURCE Info"),INDEX('DATA SOURCE #s'!$DS:$DS,MATCH($J27,'DATA SOURCE #s'!$B:$B,0))),"")</f>
        <v>60800</v>
      </c>
      <c r="BM27" s="834"/>
      <c r="BN27" s="23"/>
      <c r="BO27" s="978" t="str">
        <f ca="1">'Intermediate Data'!CY72</f>
        <v/>
      </c>
      <c r="BP27" s="978"/>
      <c r="BQ27" s="978"/>
      <c r="BR27" s="979" t="str">
        <f ca="1">'Intermediate Data'!CZ72</f>
        <v/>
      </c>
      <c r="BS27" s="979"/>
      <c r="BT27" s="979"/>
      <c r="BU27" s="978" t="str">
        <f ca="1">'Intermediate Data'!DA72</f>
        <v/>
      </c>
      <c r="BV27" s="978"/>
      <c r="BW27" s="978"/>
      <c r="BX27" s="979" t="str">
        <f ca="1">'Intermediate Data'!DB72</f>
        <v/>
      </c>
      <c r="BY27" s="979"/>
      <c r="BZ27" s="979"/>
      <c r="CA27" s="88" t="str">
        <f ca="1">'Intermediate Data'!CF72</f>
        <v>Microwave oven</v>
      </c>
      <c r="CB27"/>
      <c r="CC27"/>
      <c r="CF27"/>
      <c r="CG27"/>
      <c r="CH27"/>
    </row>
    <row r="28" spans="1:86" ht="15" customHeight="1" x14ac:dyDescent="0.25">
      <c r="A28" s="23"/>
      <c r="B28" s="102"/>
      <c r="C28" s="109" t="s">
        <v>702</v>
      </c>
      <c r="D28" s="23"/>
      <c r="E28" s="23"/>
      <c r="F28" s="23"/>
      <c r="G28" s="23"/>
      <c r="H28" s="675"/>
      <c r="I28" s="23"/>
      <c r="J28" s="118" t="str">
        <f ca="1">'Intermediate Data'!CF73</f>
        <v>Clothes dryer - Gas</v>
      </c>
      <c r="K28" s="30"/>
      <c r="L28" s="30"/>
      <c r="M28" s="30"/>
      <c r="N28" s="30"/>
      <c r="O28" s="30"/>
      <c r="P28" s="30"/>
      <c r="Q28" s="832" t="str">
        <f ca="1">'Intermediate Data'!CN73</f>
        <v/>
      </c>
      <c r="R28" s="832"/>
      <c r="S28" s="832"/>
      <c r="T28" s="832"/>
      <c r="U28" s="679"/>
      <c r="V28" s="824" t="str">
        <f ca="1">'Intermediate Data'!CL73</f>
        <v/>
      </c>
      <c r="W28" s="824"/>
      <c r="X28" s="824"/>
      <c r="Y28" s="219" t="str">
        <f ca="1">'Intermediate Data'!CM73</f>
        <v/>
      </c>
      <c r="Z28" s="678"/>
      <c r="AA28" s="831" t="str">
        <f ca="1">'Intermediate Data'!CG73</f>
        <v/>
      </c>
      <c r="AB28" s="831"/>
      <c r="AC28" s="831"/>
      <c r="AD28" s="625"/>
      <c r="AE28" s="831" t="str">
        <f ca="1">'Intermediate Data'!CH73</f>
        <v/>
      </c>
      <c r="AF28" s="831"/>
      <c r="AG28" s="831"/>
      <c r="AH28" s="825" t="str">
        <f ca="1">IF(ISNUMBER(AE28),HYPERLINK("#"&amp;ADDRESS(MATCH(INDEX('DATA SOURCE #s'!BK:$BK,MATCH($J28,'DATA SOURCE #s'!$B:$B,0)),'SOURCE Info'!$A:$A,0),1,1,1,"SOURCE Info"),INDEX('DATA SOURCE #s'!BK:$BK,MATCH($J28,'DATA SOURCE #s'!$B:$B,0))),"")</f>
        <v/>
      </c>
      <c r="AI28" s="826"/>
      <c r="AJ28" s="827">
        <f ca="1">'Intermediate Data'!CI73</f>
        <v>30</v>
      </c>
      <c r="AK28" s="827"/>
      <c r="AL28" s="827"/>
      <c r="AM28" s="827" t="str">
        <f ca="1">'Intermediate Data'!CJ73</f>
        <v/>
      </c>
      <c r="AN28" s="827"/>
      <c r="AO28" s="827"/>
      <c r="AP28" s="899" t="str">
        <f ca="1">IF('Intermediate Data'!CK73="","",'Intermediate Data'!CK73)</f>
        <v/>
      </c>
      <c r="AQ28" s="900"/>
      <c r="AR28" s="900"/>
      <c r="AS28" s="825" t="str">
        <f ca="1">IF(ISNUMBER(AM28),HYPERLINK("#"&amp;ADDRESS(MATCH(INDEX('DATA SOURCE #s'!$BO:BO,MATCH($J28,'DATA SOURCE #s'!$B:$B,0)),'SOURCE Info'!$A:$A,0),1,1,1,"SOURCE Info"),INDEX('DATA SOURCE #s'!$BO:BO,MATCH($J28,'DATA SOURCE #s'!$B:$B,0))),"")</f>
        <v/>
      </c>
      <c r="AT28" s="826"/>
      <c r="AU28" s="689"/>
      <c r="AV28" s="901" t="str">
        <f ca="1">'Intermediate Data'!CO73</f>
        <v>No spec</v>
      </c>
      <c r="AW28" s="901"/>
      <c r="AX28" s="901"/>
      <c r="AY28" s="901"/>
      <c r="AZ28" s="678"/>
      <c r="BA28" s="176" t="str">
        <f ca="1">IF(IFERROR(YEAR('Intermediate Data'!$CV73)&lt;2012,FALSE)=TRUE,"n","")</f>
        <v/>
      </c>
      <c r="BB28" s="178" t="str">
        <f ca="1">IF(IFERROR(YEAR('Intermediate Data'!$CV73)=YEAR(BB$10),FALSE)=TRUE,"n","")</f>
        <v/>
      </c>
      <c r="BC28" s="177" t="str">
        <f ca="1">IF(IFERROR(YEAR('Intermediate Data'!$CV73)=YEAR(BC$10),FALSE)=TRUE,"n","")</f>
        <v/>
      </c>
      <c r="BD28" s="534" t="str">
        <f ca="1">IF(IFERROR(YEAR('Intermediate Data'!$CV73)=YEAR(BD$10),FALSE)=TRUE,"n","")</f>
        <v/>
      </c>
      <c r="BE28" s="179" t="str">
        <f ca="1">IF(IFERROR(YEAR('Intermediate Data'!$CW73)=YEAR(BE$10),FALSE)=TRUE,"n","")</f>
        <v/>
      </c>
      <c r="BF28" s="179" t="str">
        <f ca="1">IF(IFERROR(YEAR('Intermediate Data'!$CW73)=YEAR(BF$10),FALSE)=TRUE,"n","")</f>
        <v/>
      </c>
      <c r="BG28" s="179" t="str">
        <f ca="1">IF(IFERROR(YEAR('Intermediate Data'!$CW73)=YEAR(BG$10),FALSE)=TRUE,"n","")</f>
        <v/>
      </c>
      <c r="BH28" s="179" t="str">
        <f ca="1">IF(IFERROR(YEAR('Intermediate Data'!$CW73)=YEAR(BH$10),FALSE)=TRUE,"n","")</f>
        <v/>
      </c>
      <c r="BI28" s="179" t="str">
        <f ca="1">IF(IFERROR(YEAR('Intermediate Data'!$CW73)=YEAR(BI$10),FALSE)=TRUE,"n","")</f>
        <v/>
      </c>
      <c r="BJ28" s="179" t="str">
        <f ca="1">IF(IFERROR(YEAR('Intermediate Data'!$CW73)=YEAR(BJ$10),FALSE)=TRUE,"n","")</f>
        <v/>
      </c>
      <c r="BK28" s="179" t="str">
        <f ca="1">IF(IFERROR(YEAR('Intermediate Data'!$CW73)=YEAR(BK$10),FALSE)=TRUE,"n","")</f>
        <v/>
      </c>
      <c r="BL28" s="833">
        <f ca="1">IFERROR(HYPERLINK("#"&amp;ADDRESS(MATCH(INDEX('DATA SOURCE #s'!$DS:$DS,MATCH($J28,'DATA SOURCE #s'!$B:$B,0)),'SOURCE Info'!$A:$A,0),1,1,1,"SOURCE Info"),INDEX('DATA SOURCE #s'!$DS:$DS,MATCH($J28,'DATA SOURCE #s'!$B:$B,0))),"")</f>
        <v>60700</v>
      </c>
      <c r="BM28" s="834"/>
      <c r="BN28" s="23"/>
      <c r="BO28" s="978" t="str">
        <f ca="1">'Intermediate Data'!CY73</f>
        <v/>
      </c>
      <c r="BP28" s="978"/>
      <c r="BQ28" s="978"/>
      <c r="BR28" s="979" t="str">
        <f ca="1">'Intermediate Data'!CZ73</f>
        <v/>
      </c>
      <c r="BS28" s="979"/>
      <c r="BT28" s="979"/>
      <c r="BU28" s="978" t="str">
        <f ca="1">'Intermediate Data'!DA73</f>
        <v/>
      </c>
      <c r="BV28" s="978"/>
      <c r="BW28" s="978"/>
      <c r="BX28" s="979" t="str">
        <f ca="1">'Intermediate Data'!DB73</f>
        <v/>
      </c>
      <c r="BY28" s="979"/>
      <c r="BZ28" s="979"/>
      <c r="CA28" s="88" t="str">
        <f ca="1">'Intermediate Data'!CF73</f>
        <v>Clothes dryer - Gas</v>
      </c>
      <c r="CB28"/>
      <c r="CC28"/>
      <c r="CF28"/>
      <c r="CG28"/>
      <c r="CH28"/>
    </row>
    <row r="29" spans="1:86" ht="15" customHeight="1" x14ac:dyDescent="0.25">
      <c r="A29" s="23"/>
      <c r="B29" s="102"/>
      <c r="C29" s="109" t="s">
        <v>86</v>
      </c>
      <c r="D29" s="23"/>
      <c r="E29" s="23"/>
      <c r="F29" s="23"/>
      <c r="G29" s="23"/>
      <c r="H29" s="675"/>
      <c r="I29" s="23"/>
      <c r="J29" s="118" t="str">
        <f ca="1">'Intermediate Data'!CF74</f>
        <v>Refrigerator/freezer</v>
      </c>
      <c r="K29" s="30"/>
      <c r="L29" s="30"/>
      <c r="M29" s="30"/>
      <c r="N29" s="30"/>
      <c r="O29" s="30"/>
      <c r="P29" s="30"/>
      <c r="Q29" s="832">
        <f ca="1">'Intermediate Data'!CN74</f>
        <v>411382306.21284002</v>
      </c>
      <c r="R29" s="832"/>
      <c r="S29" s="832"/>
      <c r="T29" s="832"/>
      <c r="U29" s="679"/>
      <c r="V29" s="824">
        <f ca="1">'Intermediate Data'!CL74</f>
        <v>82.023784480871115</v>
      </c>
      <c r="W29" s="824"/>
      <c r="X29" s="824"/>
      <c r="Y29" s="219" t="str">
        <f ca="1">'Intermediate Data'!CM74</f>
        <v>ET</v>
      </c>
      <c r="Z29" s="678"/>
      <c r="AA29" s="831" t="str">
        <f ca="1">'Intermediate Data'!CG74</f>
        <v/>
      </c>
      <c r="AB29" s="831"/>
      <c r="AC29" s="831"/>
      <c r="AD29" s="625"/>
      <c r="AE29" s="831" t="str">
        <f ca="1">'Intermediate Data'!CH74</f>
        <v/>
      </c>
      <c r="AF29" s="831"/>
      <c r="AG29" s="831"/>
      <c r="AH29" s="825" t="str">
        <f ca="1">IF(ISNUMBER(AE29),HYPERLINK("#"&amp;ADDRESS(MATCH(INDEX('DATA SOURCE #s'!BK:$BK,MATCH($J29,'DATA SOURCE #s'!$B:$B,0)),'SOURCE Info'!$A:$A,0),1,1,1,"SOURCE Info"),INDEX('DATA SOURCE #s'!BK:$BK,MATCH($J29,'DATA SOURCE #s'!$B:$B,0))),"")</f>
        <v/>
      </c>
      <c r="AI29" s="826"/>
      <c r="AJ29" s="827">
        <f ca="1">'Intermediate Data'!CI74</f>
        <v>50</v>
      </c>
      <c r="AK29" s="827"/>
      <c r="AL29" s="827"/>
      <c r="AM29" s="827">
        <f ca="1">'Intermediate Data'!CJ74</f>
        <v>232</v>
      </c>
      <c r="AN29" s="827"/>
      <c r="AO29" s="827"/>
      <c r="AP29" s="899" t="str">
        <f ca="1">IF('Intermediate Data'!CK74="","",'Intermediate Data'!CK74)</f>
        <v>Max Tech</v>
      </c>
      <c r="AQ29" s="900"/>
      <c r="AR29" s="900"/>
      <c r="AS29" s="825">
        <f ca="1">IF(ISNUMBER(AM29),HYPERLINK("#"&amp;ADDRESS(MATCH(INDEX('DATA SOURCE #s'!$BO:BO,MATCH($J29,'DATA SOURCE #s'!$B:$B,0)),'SOURCE Info'!$A:$A,0),1,1,1,"SOURCE Info"),INDEX('DATA SOURCE #s'!$BO:BO,MATCH($J29,'DATA SOURCE #s'!$B:$B,0))),"")</f>
        <v>40501</v>
      </c>
      <c r="AT29" s="826"/>
      <c r="AU29" s="689"/>
      <c r="AV29" s="901">
        <f ca="1">'Intermediate Data'!CO74</f>
        <v>0.74</v>
      </c>
      <c r="AW29" s="901"/>
      <c r="AX29" s="901"/>
      <c r="AY29" s="901"/>
      <c r="AZ29" s="678"/>
      <c r="BA29" s="176" t="str">
        <f ca="1">IF(IFERROR(YEAR('Intermediate Data'!$CV74)&lt;2012,FALSE)=TRUE,"n","")</f>
        <v/>
      </c>
      <c r="BB29" s="178" t="str">
        <f ca="1">IF(IFERROR(YEAR('Intermediate Data'!$CV74)=YEAR(BB$10),FALSE)=TRUE,"n","")</f>
        <v/>
      </c>
      <c r="BC29" s="177" t="str">
        <f ca="1">IF(IFERROR(YEAR('Intermediate Data'!$CV74)=YEAR(BC$10),FALSE)=TRUE,"n","")</f>
        <v/>
      </c>
      <c r="BD29" s="534" t="str">
        <f ca="1">IF(IFERROR(YEAR('Intermediate Data'!$CV74)=YEAR(BD$10),FALSE)=TRUE,"n","")</f>
        <v/>
      </c>
      <c r="BE29" s="179" t="str">
        <f ca="1">IF(IFERROR(YEAR('Intermediate Data'!$CW74)=YEAR(BE$10),FALSE)=TRUE,"n","")</f>
        <v/>
      </c>
      <c r="BF29" s="179" t="str">
        <f ca="1">IF(IFERROR(YEAR('Intermediate Data'!$CW74)=YEAR(BF$10),FALSE)=TRUE,"n","")</f>
        <v/>
      </c>
      <c r="BG29" s="179" t="str">
        <f ca="1">IF(IFERROR(YEAR('Intermediate Data'!$CW74)=YEAR(BG$10),FALSE)=TRUE,"n","")</f>
        <v/>
      </c>
      <c r="BH29" s="179" t="str">
        <f ca="1">IF(IFERROR(YEAR('Intermediate Data'!$CW74)=YEAR(BH$10),FALSE)=TRUE,"n","")</f>
        <v/>
      </c>
      <c r="BI29" s="179" t="str">
        <f ca="1">IF(IFERROR(YEAR('Intermediate Data'!$CW74)=YEAR(BI$10),FALSE)=TRUE,"n","")</f>
        <v/>
      </c>
      <c r="BJ29" s="179" t="str">
        <f ca="1">IF(IFERROR(YEAR('Intermediate Data'!$CW74)=YEAR(BJ$10),FALSE)=TRUE,"n","")</f>
        <v/>
      </c>
      <c r="BK29" s="179" t="str">
        <f ca="1">IF(IFERROR(YEAR('Intermediate Data'!$CW74)=YEAR(BK$10),FALSE)=TRUE,"n","")</f>
        <v/>
      </c>
      <c r="BL29" s="833">
        <f ca="1">IFERROR(HYPERLINK("#"&amp;ADDRESS(MATCH(INDEX('DATA SOURCE #s'!$DS:$DS,MATCH($J29,'DATA SOURCE #s'!$B:$B,0)),'SOURCE Info'!$A:$A,0),1,1,1,"SOURCE Info"),INDEX('DATA SOURCE #s'!$DS:$DS,MATCH($J29,'DATA SOURCE #s'!$B:$B,0))),"")</f>
        <v>60500</v>
      </c>
      <c r="BM29" s="834"/>
      <c r="BN29" s="23"/>
      <c r="BO29" s="978" t="str">
        <f ca="1">'Intermediate Data'!CY74</f>
        <v/>
      </c>
      <c r="BP29" s="978"/>
      <c r="BQ29" s="978"/>
      <c r="BR29" s="979" t="str">
        <f ca="1">'Intermediate Data'!CZ74</f>
        <v/>
      </c>
      <c r="BS29" s="979"/>
      <c r="BT29" s="979"/>
      <c r="BU29" s="978" t="str">
        <f ca="1">'Intermediate Data'!DA74</f>
        <v/>
      </c>
      <c r="BV29" s="978"/>
      <c r="BW29" s="978"/>
      <c r="BX29" s="979" t="str">
        <f ca="1">'Intermediate Data'!DB74</f>
        <v/>
      </c>
      <c r="BY29" s="979"/>
      <c r="BZ29" s="979"/>
      <c r="CA29" s="88" t="str">
        <f ca="1">'Intermediate Data'!CF74</f>
        <v>Refrigerator/freezer</v>
      </c>
      <c r="CB29"/>
      <c r="CC29"/>
      <c r="CF29"/>
      <c r="CG29"/>
      <c r="CH29"/>
    </row>
    <row r="30" spans="1:86" ht="15" customHeight="1" thickBot="1" x14ac:dyDescent="0.3">
      <c r="A30" s="23"/>
      <c r="B30" s="103"/>
      <c r="C30" s="109" t="s">
        <v>88</v>
      </c>
      <c r="D30" s="23"/>
      <c r="E30" s="23"/>
      <c r="F30" s="23"/>
      <c r="G30" s="23"/>
      <c r="H30" s="675"/>
      <c r="I30" s="23"/>
      <c r="J30" s="118" t="str">
        <f ca="1">'Intermediate Data'!CF75</f>
        <v>Oven/Range - Electric</v>
      </c>
      <c r="K30" s="30"/>
      <c r="L30" s="30"/>
      <c r="M30" s="30"/>
      <c r="N30" s="30"/>
      <c r="O30" s="30"/>
      <c r="P30" s="30"/>
      <c r="Q30" s="832" t="str">
        <f ca="1">'Intermediate Data'!CN75</f>
        <v/>
      </c>
      <c r="R30" s="832"/>
      <c r="S30" s="832"/>
      <c r="T30" s="832"/>
      <c r="U30" s="679"/>
      <c r="V30" s="824" t="str">
        <f ca="1">'Intermediate Data'!CL75</f>
        <v/>
      </c>
      <c r="W30" s="824"/>
      <c r="X30" s="824"/>
      <c r="Y30" s="219" t="str">
        <f ca="1">'Intermediate Data'!CM75</f>
        <v/>
      </c>
      <c r="Z30" s="678"/>
      <c r="AA30" s="831" t="str">
        <f ca="1">'Intermediate Data'!CG75</f>
        <v/>
      </c>
      <c r="AB30" s="831"/>
      <c r="AC30" s="831"/>
      <c r="AD30" s="625"/>
      <c r="AE30" s="831" t="str">
        <f ca="1">'Intermediate Data'!CH75</f>
        <v/>
      </c>
      <c r="AF30" s="831"/>
      <c r="AG30" s="831"/>
      <c r="AH30" s="825" t="str">
        <f ca="1">IF(ISNUMBER(AE30),HYPERLINK("#"&amp;ADDRESS(MATCH(INDEX('DATA SOURCE #s'!BK:$BK,MATCH($J30,'DATA SOURCE #s'!$B:$B,0)),'SOURCE Info'!$A:$A,0),1,1,1,"SOURCE Info"),INDEX('DATA SOURCE #s'!BK:$BK,MATCH($J30,'DATA SOURCE #s'!$B:$B,0))),"")</f>
        <v/>
      </c>
      <c r="AI30" s="826"/>
      <c r="AJ30" s="827" t="str">
        <f ca="1">'Intermediate Data'!CI75</f>
        <v>No spec</v>
      </c>
      <c r="AK30" s="827"/>
      <c r="AL30" s="827"/>
      <c r="AM30" s="827">
        <f ca="1">'Intermediate Data'!CJ75</f>
        <v>126.50000000000003</v>
      </c>
      <c r="AN30" s="827"/>
      <c r="AO30" s="827"/>
      <c r="AP30" s="899" t="str">
        <f ca="1">IF('Intermediate Data'!CK75="","",'Intermediate Data'!CK75)</f>
        <v xml:space="preserve">Efficient components. </v>
      </c>
      <c r="AQ30" s="900"/>
      <c r="AR30" s="900"/>
      <c r="AS30" s="825">
        <f ca="1">IF(ISNUMBER(AM30),HYPERLINK("#"&amp;ADDRESS(MATCH(INDEX('DATA SOURCE #s'!$BO:BO,MATCH($J30,'DATA SOURCE #s'!$B:$B,0)),'SOURCE Info'!$A:$A,0),1,1,1,"SOURCE Info"),INDEX('DATA SOURCE #s'!$BO:BO,MATCH($J30,'DATA SOURCE #s'!$B:$B,0))),"")</f>
        <v>40201</v>
      </c>
      <c r="AT30" s="826"/>
      <c r="AU30" s="689"/>
      <c r="AV30" s="901" t="str">
        <f ca="1">'Intermediate Data'!CO75</f>
        <v>No spec</v>
      </c>
      <c r="AW30" s="901"/>
      <c r="AX30" s="901"/>
      <c r="AY30" s="901"/>
      <c r="AZ30" s="678"/>
      <c r="BA30" s="176" t="str">
        <f ca="1">IF(IFERROR(YEAR('Intermediate Data'!$CV75)&lt;2012,FALSE)=TRUE,"n","")</f>
        <v/>
      </c>
      <c r="BB30" s="178" t="str">
        <f ca="1">IF(IFERROR(YEAR('Intermediate Data'!$CV75)=YEAR(BB$10),FALSE)=TRUE,"n","")</f>
        <v/>
      </c>
      <c r="BC30" s="177" t="str">
        <f ca="1">IF(IFERROR(YEAR('Intermediate Data'!$CV75)=YEAR(BC$10),FALSE)=TRUE,"n","")</f>
        <v/>
      </c>
      <c r="BD30" s="534" t="str">
        <f ca="1">IF(IFERROR(YEAR('Intermediate Data'!$CV75)=YEAR(BD$10),FALSE)=TRUE,"n","")</f>
        <v/>
      </c>
      <c r="BE30" s="179" t="str">
        <f ca="1">IF(IFERROR(YEAR('Intermediate Data'!$CW75)=YEAR(BE$10),FALSE)=TRUE,"n","")</f>
        <v/>
      </c>
      <c r="BF30" s="179" t="str">
        <f ca="1">IF(IFERROR(YEAR('Intermediate Data'!$CW75)=YEAR(BF$10),FALSE)=TRUE,"n","")</f>
        <v/>
      </c>
      <c r="BG30" s="179" t="str">
        <f ca="1">IF(IFERROR(YEAR('Intermediate Data'!$CW75)=YEAR(BG$10),FALSE)=TRUE,"n","")</f>
        <v/>
      </c>
      <c r="BH30" s="179" t="str">
        <f ca="1">IF(IFERROR(YEAR('Intermediate Data'!$CW75)=YEAR(BH$10),FALSE)=TRUE,"n","")</f>
        <v/>
      </c>
      <c r="BI30" s="179" t="str">
        <f ca="1">IF(IFERROR(YEAR('Intermediate Data'!$CW75)=YEAR(BI$10),FALSE)=TRUE,"n","")</f>
        <v/>
      </c>
      <c r="BJ30" s="179" t="str">
        <f ca="1">IF(IFERROR(YEAR('Intermediate Data'!$CW75)=YEAR(BJ$10),FALSE)=TRUE,"n","")</f>
        <v/>
      </c>
      <c r="BK30" s="179" t="str">
        <f ca="1">IF(IFERROR(YEAR('Intermediate Data'!$CW75)=YEAR(BK$10),FALSE)=TRUE,"n","")</f>
        <v/>
      </c>
      <c r="BL30" s="833">
        <f ca="1">IFERROR(HYPERLINK("#"&amp;ADDRESS(MATCH(INDEX('DATA SOURCE #s'!$DS:$DS,MATCH($J30,'DATA SOURCE #s'!$B:$B,0)),'SOURCE Info'!$A:$A,0),1,1,1,"SOURCE Info"),INDEX('DATA SOURCE #s'!$DS:$DS,MATCH($J30,'DATA SOURCE #s'!$B:$B,0))),"")</f>
        <v>60200</v>
      </c>
      <c r="BM30" s="834"/>
      <c r="BN30" s="23"/>
      <c r="BO30" s="978" t="str">
        <f ca="1">'Intermediate Data'!CY75</f>
        <v/>
      </c>
      <c r="BP30" s="978"/>
      <c r="BQ30" s="978"/>
      <c r="BR30" s="979" t="str">
        <f ca="1">'Intermediate Data'!CZ75</f>
        <v/>
      </c>
      <c r="BS30" s="979"/>
      <c r="BT30" s="979"/>
      <c r="BU30" s="978" t="str">
        <f ca="1">'Intermediate Data'!DA75</f>
        <v/>
      </c>
      <c r="BV30" s="978"/>
      <c r="BW30" s="978"/>
      <c r="BX30" s="979" t="str">
        <f ca="1">'Intermediate Data'!DB75</f>
        <v/>
      </c>
      <c r="BY30" s="979"/>
      <c r="BZ30" s="979"/>
      <c r="CA30" s="88" t="str">
        <f ca="1">'Intermediate Data'!CF75</f>
        <v>Oven/Range - Electric</v>
      </c>
      <c r="CB30"/>
      <c r="CC30"/>
      <c r="CF30"/>
      <c r="CG30"/>
      <c r="CH30"/>
    </row>
    <row r="31" spans="1:86" ht="15" customHeight="1" x14ac:dyDescent="0.25">
      <c r="A31" s="23"/>
      <c r="B31" s="118"/>
      <c r="C31" s="30"/>
      <c r="D31" s="30"/>
      <c r="E31" s="30"/>
      <c r="F31" s="30"/>
      <c r="G31" s="30"/>
      <c r="H31" s="30"/>
      <c r="I31" s="159"/>
      <c r="J31" s="159"/>
      <c r="K31" s="159"/>
      <c r="L31" s="159"/>
      <c r="M31" s="159"/>
      <c r="N31" s="159"/>
      <c r="O31" s="159"/>
      <c r="P31" s="159"/>
      <c r="Q31" s="159"/>
      <c r="R31" s="31"/>
      <c r="S31" s="218"/>
      <c r="T31" s="218"/>
      <c r="U31" s="218"/>
      <c r="V31" s="218"/>
      <c r="W31" s="824"/>
      <c r="X31" s="824"/>
      <c r="Y31" s="824"/>
      <c r="Z31" s="218"/>
      <c r="AA31" s="218"/>
      <c r="AB31" s="803"/>
      <c r="AC31" s="803"/>
      <c r="AD31" s="803"/>
      <c r="AE31" s="205"/>
      <c r="AF31" s="205"/>
      <c r="AG31" s="803"/>
      <c r="AH31" s="803"/>
      <c r="AI31" s="803"/>
      <c r="AJ31" s="954"/>
      <c r="AK31" s="954"/>
      <c r="AL31" s="954"/>
      <c r="AM31" s="219"/>
      <c r="AN31" s="219"/>
      <c r="AO31" s="219"/>
      <c r="AP31" s="219"/>
      <c r="AQ31" s="206"/>
      <c r="AR31" s="24"/>
      <c r="AS31" s="24"/>
      <c r="AT31" s="24"/>
      <c r="AU31" s="24"/>
      <c r="AV31" s="24"/>
      <c r="AW31" s="24" t="str">
        <f ca="1">IF(IFERROR(YEAR('Intermediate Data'!$CW76)=YEAR(BE$10),FALSE)=TRUE,"n","")</f>
        <v/>
      </c>
      <c r="AX31" s="24" t="str">
        <f ca="1">IF(IFERROR(YEAR('Intermediate Data'!$CW76)=YEAR(BF$10),FALSE)=TRUE,"n","")</f>
        <v/>
      </c>
      <c r="AY31" s="24" t="str">
        <f ca="1">IF(IFERROR(YEAR('Intermediate Data'!$CW76)=YEAR(BG$10),FALSE)=TRUE,"n","")</f>
        <v/>
      </c>
      <c r="AZ31" s="24" t="str">
        <f ca="1">IF(IFERROR(YEAR('Intermediate Data'!$CW76)=YEAR(BH$10),FALSE)=TRUE,"n","")</f>
        <v/>
      </c>
      <c r="BA31" s="24" t="str">
        <f ca="1">IF(IFERROR(YEAR('Intermediate Data'!$CW76)=YEAR(BI$10),FALSE)=TRUE,"n","")</f>
        <v/>
      </c>
      <c r="BB31" s="24" t="str">
        <f ca="1">IF(IFERROR(YEAR('Intermediate Data'!$CW76)=YEAR(BJ$10),FALSE)=TRUE,"n","")</f>
        <v/>
      </c>
      <c r="BC31" s="24" t="str">
        <f ca="1">IF(IFERROR(YEAR('Intermediate Data'!$CW76)=YEAR(BK$10),FALSE)=TRUE,"n","")</f>
        <v/>
      </c>
      <c r="BD31" s="23"/>
      <c r="BE31" s="23"/>
      <c r="BF31" s="23"/>
      <c r="BG31" s="23"/>
      <c r="BH31" s="23"/>
      <c r="BI31" s="30"/>
      <c r="BJ31" s="23"/>
      <c r="BK31" s="23"/>
      <c r="BL31" s="23"/>
      <c r="BM31" s="159"/>
      <c r="BN31" s="23"/>
      <c r="BQ31"/>
      <c r="BR31"/>
      <c r="BS31"/>
      <c r="BT31"/>
      <c r="BU31"/>
      <c r="BV31"/>
      <c r="BW31"/>
      <c r="BX31"/>
      <c r="BY31"/>
      <c r="BZ31"/>
      <c r="CA31"/>
      <c r="CB31"/>
      <c r="CC31"/>
      <c r="CD31" s="633"/>
      <c r="CE31" s="633"/>
      <c r="CG31"/>
      <c r="CH31"/>
    </row>
    <row r="32" spans="1:86" ht="21" customHeight="1" x14ac:dyDescent="0.25">
      <c r="A32" s="23"/>
      <c r="B32" s="139" t="s">
        <v>187</v>
      </c>
      <c r="C32" s="140"/>
      <c r="D32" s="140"/>
      <c r="E32" s="141"/>
      <c r="F32" s="141"/>
      <c r="G32" s="141"/>
      <c r="H32" s="141"/>
      <c r="I32" s="37"/>
      <c r="J32" s="141"/>
      <c r="K32" s="152" t="s">
        <v>664</v>
      </c>
      <c r="L32" s="225"/>
      <c r="M32" s="225"/>
      <c r="N32" s="225"/>
      <c r="O32" s="226"/>
      <c r="P32" s="482" t="str">
        <f>IFERROR(INDEX(T1ProductListAll,'Intermediate Data'!BE47),'Intermediate Data'!E3)</f>
        <v>Television</v>
      </c>
      <c r="Q32" s="482"/>
      <c r="R32" s="482"/>
      <c r="S32" s="482"/>
      <c r="T32" s="482"/>
      <c r="U32" s="482"/>
      <c r="V32" s="482"/>
      <c r="W32" s="482"/>
      <c r="X32" s="482"/>
      <c r="Y32" s="483" t="str">
        <f>INDEX(T1ProductListAllFuel,'Intermediate Data'!BE47)</f>
        <v>Electric</v>
      </c>
      <c r="Z32" s="147"/>
      <c r="AA32" s="228" t="s">
        <v>787</v>
      </c>
      <c r="AB32" s="229"/>
      <c r="AC32" s="229"/>
      <c r="AD32" s="229"/>
      <c r="AE32" s="230"/>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670"/>
      <c r="BB32" s="670"/>
      <c r="BC32" s="671"/>
      <c r="BD32" s="672"/>
      <c r="BE32" s="672"/>
      <c r="BF32" s="673"/>
      <c r="BG32" s="710" t="s">
        <v>886</v>
      </c>
      <c r="BH32" s="673"/>
      <c r="BI32" s="673"/>
      <c r="BJ32" s="670"/>
      <c r="BK32" s="670"/>
      <c r="BL32" s="280" t="str">
        <f>HYPERLINK("#"&amp;ADDRESS(MATCH(50000,'SOURCE Info'!$A:$A,0),1,1,1,"SOURCE Info"),"Source")</f>
        <v>Source</v>
      </c>
      <c r="BM32" s="227"/>
      <c r="BN32" s="147"/>
      <c r="BO32" s="147"/>
      <c r="BP32" s="147"/>
      <c r="BQ32"/>
      <c r="BR32"/>
      <c r="BS32"/>
      <c r="BT32"/>
      <c r="BU32"/>
      <c r="BV32"/>
      <c r="BW32"/>
      <c r="BX32"/>
      <c r="BY32"/>
      <c r="BZ32"/>
      <c r="CA32"/>
      <c r="CB32"/>
      <c r="CC32"/>
    </row>
    <row r="33" spans="1:106" ht="15" customHeight="1" x14ac:dyDescent="0.25">
      <c r="A33" s="23"/>
      <c r="B33" s="275" t="s">
        <v>683</v>
      </c>
      <c r="C33" s="24"/>
      <c r="D33" s="24"/>
      <c r="E33" s="24"/>
      <c r="F33" s="24"/>
      <c r="G33" s="484" t="str">
        <f>IF(INDEX(DATA!C:C,MATCH($P$32,DATA!$B:$B,0))="","",INDEX(DATA!C:C,MATCH($P$32,DATA!$B:$B,0)))</f>
        <v/>
      </c>
      <c r="H33" s="138"/>
      <c r="I33" s="138"/>
      <c r="J33" s="138"/>
      <c r="K33" s="138"/>
      <c r="L33" s="138"/>
      <c r="M33" s="138"/>
      <c r="N33" s="138"/>
      <c r="O33" s="138"/>
      <c r="P33" s="138"/>
      <c r="Q33" s="138"/>
      <c r="R33" s="138"/>
      <c r="S33" s="138"/>
      <c r="T33" s="138"/>
      <c r="U33" s="138"/>
      <c r="V33" s="138"/>
      <c r="W33" s="138"/>
      <c r="X33" s="138"/>
      <c r="Y33" s="273"/>
      <c r="Z33" s="23"/>
      <c r="AA33" s="294"/>
      <c r="AB33" s="207"/>
      <c r="AC33" s="207"/>
      <c r="AD33" s="207"/>
      <c r="AE33" s="295"/>
      <c r="AF33" s="911" t="s">
        <v>779</v>
      </c>
      <c r="AG33" s="911"/>
      <c r="AH33" s="911"/>
      <c r="AI33" s="912"/>
      <c r="AJ33" s="905" t="s">
        <v>1081</v>
      </c>
      <c r="AK33" s="906"/>
      <c r="AL33" s="906"/>
      <c r="AM33" s="906"/>
      <c r="AN33" s="906"/>
      <c r="AO33" s="907"/>
      <c r="AP33" s="908" t="s">
        <v>452</v>
      </c>
      <c r="AQ33" s="909"/>
      <c r="AR33" s="909"/>
      <c r="AS33" s="909"/>
      <c r="AT33" s="909"/>
      <c r="AU33" s="910"/>
      <c r="AV33" s="905" t="s">
        <v>1082</v>
      </c>
      <c r="AW33" s="906"/>
      <c r="AX33" s="906"/>
      <c r="AY33" s="906"/>
      <c r="AZ33" s="906"/>
      <c r="BA33" s="907"/>
      <c r="BB33" s="905" t="s">
        <v>453</v>
      </c>
      <c r="BC33" s="906"/>
      <c r="BD33" s="906"/>
      <c r="BE33" s="906"/>
      <c r="BF33" s="906"/>
      <c r="BG33" s="906"/>
      <c r="BH33" s="906"/>
      <c r="BI33" s="906"/>
      <c r="BJ33" s="906"/>
      <c r="BK33" s="906"/>
      <c r="BL33" s="907"/>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Q33" s="145"/>
      <c r="DB33" s="23"/>
    </row>
    <row r="34" spans="1:106" ht="15" customHeight="1" x14ac:dyDescent="0.25">
      <c r="A34" s="23"/>
      <c r="B34" s="274"/>
      <c r="C34" s="120"/>
      <c r="D34" s="120"/>
      <c r="E34" s="120"/>
      <c r="F34" s="120"/>
      <c r="G34" s="977"/>
      <c r="H34" s="977"/>
      <c r="I34" s="120"/>
      <c r="J34" s="121"/>
      <c r="K34" s="332"/>
      <c r="L34" s="121"/>
      <c r="M34" s="115"/>
      <c r="N34" s="24"/>
      <c r="O34" s="24"/>
      <c r="P34" s="24"/>
      <c r="Q34" s="962"/>
      <c r="R34" s="962"/>
      <c r="S34" s="962"/>
      <c r="T34" s="962"/>
      <c r="U34" s="962"/>
      <c r="V34" s="24"/>
      <c r="W34" s="24"/>
      <c r="X34" s="24"/>
      <c r="Y34" s="273"/>
      <c r="Z34" s="120"/>
      <c r="AA34" s="296"/>
      <c r="AB34" s="52"/>
      <c r="AC34" s="52"/>
      <c r="AD34" s="52"/>
      <c r="AE34" s="295"/>
      <c r="AF34" s="913"/>
      <c r="AG34" s="913"/>
      <c r="AH34" s="913"/>
      <c r="AI34" s="914"/>
      <c r="AJ34" s="908"/>
      <c r="AK34" s="909"/>
      <c r="AL34" s="909"/>
      <c r="AM34" s="909"/>
      <c r="AN34" s="909"/>
      <c r="AO34" s="910"/>
      <c r="AP34" s="908"/>
      <c r="AQ34" s="909"/>
      <c r="AR34" s="909"/>
      <c r="AS34" s="909"/>
      <c r="AT34" s="909"/>
      <c r="AU34" s="910"/>
      <c r="AV34" s="908"/>
      <c r="AW34" s="909"/>
      <c r="AX34" s="909"/>
      <c r="AY34" s="909"/>
      <c r="AZ34" s="909"/>
      <c r="BA34" s="910"/>
      <c r="BB34" s="908"/>
      <c r="BC34" s="909"/>
      <c r="BD34" s="909"/>
      <c r="BE34" s="909"/>
      <c r="BF34" s="909"/>
      <c r="BG34" s="909"/>
      <c r="BH34" s="909"/>
      <c r="BI34" s="909"/>
      <c r="BJ34" s="909"/>
      <c r="BK34" s="909"/>
      <c r="BL34" s="910"/>
      <c r="BM34" s="120"/>
      <c r="BN34" s="120"/>
      <c r="BO34" s="120"/>
      <c r="BP34" s="120"/>
      <c r="BQ34" s="120"/>
      <c r="BR34" s="120"/>
      <c r="BS34" s="120"/>
      <c r="BT34" s="120"/>
      <c r="BU34" s="120"/>
      <c r="BV34" s="120"/>
      <c r="BW34" s="120"/>
      <c r="BX34" s="120"/>
      <c r="BY34" s="120"/>
      <c r="BZ34" s="120"/>
      <c r="CA34" s="120"/>
      <c r="CB34" s="120"/>
      <c r="CC34" s="120"/>
      <c r="CD34" s="120"/>
      <c r="CE34" s="120"/>
      <c r="CF34" s="120"/>
      <c r="CG34" s="120"/>
      <c r="CH34" s="120"/>
      <c r="CI34" s="23"/>
      <c r="CJ34" s="23"/>
      <c r="CQ34" s="145"/>
      <c r="DB34" s="23"/>
    </row>
    <row r="35" spans="1:106" ht="15.75" customHeight="1" x14ac:dyDescent="0.25">
      <c r="A35" s="23"/>
      <c r="B35" s="317" t="s">
        <v>615</v>
      </c>
      <c r="C35" s="204"/>
      <c r="D35" s="204"/>
      <c r="E35" s="204"/>
      <c r="F35" s="204"/>
      <c r="G35" s="976"/>
      <c r="H35" s="976"/>
      <c r="I35" s="318"/>
      <c r="J35" s="319"/>
      <c r="K35" s="339" t="s">
        <v>0</v>
      </c>
      <c r="L35" s="136"/>
      <c r="M35" s="536" t="str">
        <f>'Intermediate Data'!AY50</f>
        <v>All IOUs</v>
      </c>
      <c r="N35" s="340"/>
      <c r="O35" s="204"/>
      <c r="P35" s="349" t="s">
        <v>785</v>
      </c>
      <c r="Q35" s="346" t="s">
        <v>809</v>
      </c>
      <c r="R35" s="347" t="s">
        <v>394</v>
      </c>
      <c r="S35" s="346" t="s">
        <v>584</v>
      </c>
      <c r="T35" s="347" t="s">
        <v>395</v>
      </c>
      <c r="U35" s="348" t="s">
        <v>396</v>
      </c>
      <c r="V35" s="323"/>
      <c r="W35" s="330" t="s">
        <v>0</v>
      </c>
      <c r="X35" s="24"/>
      <c r="Y35" s="273"/>
      <c r="Z35" s="24"/>
      <c r="AA35" s="297"/>
      <c r="AB35" s="52"/>
      <c r="AC35" s="52"/>
      <c r="AD35" s="52"/>
      <c r="AE35" s="295"/>
      <c r="AF35" s="915"/>
      <c r="AG35" s="915"/>
      <c r="AH35" s="915"/>
      <c r="AI35" s="916"/>
      <c r="AJ35" s="948"/>
      <c r="AK35" s="949"/>
      <c r="AL35" s="949"/>
      <c r="AM35" s="949"/>
      <c r="AN35" s="949"/>
      <c r="AO35" s="950"/>
      <c r="AP35" s="298" t="s">
        <v>451</v>
      </c>
      <c r="AQ35" s="299"/>
      <c r="AR35" s="299"/>
      <c r="AS35" s="300"/>
      <c r="AT35" s="300"/>
      <c r="AU35" s="301" t="s">
        <v>413</v>
      </c>
      <c r="AV35" s="302" t="s">
        <v>679</v>
      </c>
      <c r="AW35" s="303"/>
      <c r="AX35" s="303"/>
      <c r="AY35" s="303"/>
      <c r="AZ35" s="303"/>
      <c r="BA35" s="301" t="s">
        <v>680</v>
      </c>
      <c r="BB35" s="298" t="s">
        <v>451</v>
      </c>
      <c r="BC35" s="303"/>
      <c r="BD35" s="304"/>
      <c r="BE35" s="304"/>
      <c r="BF35" s="304"/>
      <c r="BG35" s="304"/>
      <c r="BH35" s="304"/>
      <c r="BI35" s="305"/>
      <c r="BJ35" s="304"/>
      <c r="BK35" s="304"/>
      <c r="BL35" s="306" t="s">
        <v>413</v>
      </c>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Q35" s="145"/>
      <c r="DB35" s="23"/>
    </row>
    <row r="36" spans="1:106" ht="15" customHeight="1" x14ac:dyDescent="0.25">
      <c r="A36" s="106"/>
      <c r="B36" s="277" t="s">
        <v>652</v>
      </c>
      <c r="C36" s="120"/>
      <c r="D36" s="120"/>
      <c r="E36" s="120"/>
      <c r="F36" s="961">
        <f>IF(INDEX(DATA!BI:BI,MATCH($P$32,DATA!$B:$B,0))="","",IF(INDEX(DATA!BI:BI,MATCH($P$32,DATA!$B:$B,0))=-98,"Not collected",IF(INDEX(DATA!BI:BI,MATCH($P$32,DATA!$B:$B,0))=-99,"N/A",INDEX(DATA!BI:BI,MATCH($P$32,DATA!$B:$B,0)))))</f>
        <v>230</v>
      </c>
      <c r="G36" s="961"/>
      <c r="H36" s="961"/>
      <c r="I36" s="281" t="str">
        <f>IF(ISNUMBER(F36),IF($Y$32="Electric","kWh","Therms"),"")</f>
        <v>kWh</v>
      </c>
      <c r="J36" s="282"/>
      <c r="K36" s="283">
        <f>IFERROR(IF(LEN(F36)&gt;0,HYPERLINK("#"&amp;ADDRESS(MATCH(INDEX('DATA SOURCE #s'!$BI:$BI,MATCH('Device View'!$P$32,'DATA SOURCE #s'!$B:$B,0)),'SOURCE Info'!$A:$A,0),1,1,1,"SOURCE Info"),INDEX('DATA SOURCE #s'!$BI:$BI,MATCH('Device View'!$P$32,'DATA SOURCE #s'!$B:$B,0))),""),"")</f>
        <v>30000</v>
      </c>
      <c r="L36" s="121"/>
      <c r="M36" s="120" t="s">
        <v>4</v>
      </c>
      <c r="N36" s="120"/>
      <c r="O36" s="120"/>
      <c r="P36" s="120"/>
      <c r="Q36" s="341" t="str">
        <f ca="1">IF(INDEX(OFFSET(DATA!H:H,0,'Intermediate Data'!$AX$50*5),MATCH($P$32,DATA!$B:$B,0))&lt;0,"N/A",INDEX(OFFSET(DATA!H:H,0,'Intermediate Data'!$AX$50*5),MATCH($P$32,DATA!$B:$B,0)))</f>
        <v>N/A</v>
      </c>
      <c r="R36" s="342">
        <f ca="1">IF(INDEX(OFFSET(DATA!I:I,0,'Intermediate Data'!$AX$50*5),MATCH($P$32,DATA!$B:$B,0))&lt;0,"N/A",INDEX(OFFSET(DATA!I:I,0,'Intermediate Data'!$AX$50*5),MATCH($P$32,DATA!$B:$B,0)))</f>
        <v>0.94825099025602044</v>
      </c>
      <c r="S36" s="341" t="str">
        <f ca="1">IF(INDEX(OFFSET(DATA!J:J,0,'Intermediate Data'!$AX$50*5),MATCH($P$32,DATA!$B:$B,0))&lt;0,"N/A",INDEX(OFFSET(DATA!J:J,0,'Intermediate Data'!$AX$50*5),MATCH($P$32,DATA!$B:$B,0)))</f>
        <v>N/A</v>
      </c>
      <c r="T36" s="343">
        <f ca="1">IF(INDEX(OFFSET(DATA!K:K,0,'Intermediate Data'!$AX$50*5),MATCH($P$32,DATA!$B:$B,0))&lt;0,"N/A",INDEX(OFFSET(DATA!K:K,0,'Intermediate Data'!$AX$50*5),MATCH($P$32,DATA!$B:$B,0)))</f>
        <v>0.96754869853464853</v>
      </c>
      <c r="U36" s="344">
        <f ca="1">IF(INDEX(OFFSET(DATA!L:L,0,'Intermediate Data'!$AX$50*5),MATCH($P$32,DATA!$B:$B,0))&lt;0,"N/A",INDEX(OFFSET(DATA!L:L,0,'Intermediate Data'!$AX$50*5),MATCH($P$32,DATA!$B:$B,0)))</f>
        <v>0.98699999999999999</v>
      </c>
      <c r="V36" s="973" t="str">
        <f>HYPERLINK("#"&amp;ADDRESS(MATCH(10001,'SOURCE Info'!$A:$A,0),1,1,1,"SOURCE Info"),"RASS/ CLASS")</f>
        <v>RASS/ CLASS</v>
      </c>
      <c r="W36" s="974"/>
      <c r="X36" s="24"/>
      <c r="Y36" s="273"/>
      <c r="Z36" s="23"/>
      <c r="AA36" s="836" t="s">
        <v>385</v>
      </c>
      <c r="AB36" s="951" t="str">
        <f>'Intermediate Data'!C212</f>
        <v>Clothes washer</v>
      </c>
      <c r="AC36" s="951"/>
      <c r="AD36" s="951"/>
      <c r="AE36" s="951"/>
      <c r="AF36" s="951"/>
      <c r="AG36" s="841">
        <f>INDEX('Price Point Data'!P:P,MATCH($AB36,'Price Point Data'!$A:$A,0))</f>
        <v>0.93103448275862066</v>
      </c>
      <c r="AH36" s="841"/>
      <c r="AI36" s="841"/>
      <c r="AJ36" s="892" t="str">
        <f>INDEX('Price Point Data'!O:O,MATCH($AB36,'Price Point Data'!$A:$A,0))</f>
        <v>Under $500 to $1500</v>
      </c>
      <c r="AK36" s="893"/>
      <c r="AL36" s="893"/>
      <c r="AM36" s="893"/>
      <c r="AN36" s="893"/>
      <c r="AO36" s="894"/>
      <c r="AP36" s="917" t="str">
        <f>INDEX('Price Point Data'!I:I,MATCH($AB36,'Price Point Data'!$A:$A,0))</f>
        <v>Under $500</v>
      </c>
      <c r="AQ36" s="918"/>
      <c r="AR36" s="918"/>
      <c r="AS36" s="918"/>
      <c r="AT36" s="895">
        <f>IF(AP36="No constraint","",INDEX('Price Point Data'!J:J,MATCH($AB36,'Price Point Data'!$A:$A,0)))</f>
        <v>0.25</v>
      </c>
      <c r="AU36" s="896"/>
      <c r="AV36" s="817">
        <v>1.1499999999999999</v>
      </c>
      <c r="AW36" s="817"/>
      <c r="AX36" s="817"/>
      <c r="AY36" s="817"/>
      <c r="AZ36" s="817"/>
      <c r="BA36" s="817"/>
      <c r="BB36" s="938" t="str">
        <f>INDEX('Price Point Data'!L:L,MATCH($AB36,'Price Point Data'!$A:$A,0))</f>
        <v>No constraint</v>
      </c>
      <c r="BC36" s="939"/>
      <c r="BD36" s="939"/>
      <c r="BE36" s="939"/>
      <c r="BF36" s="939"/>
      <c r="BG36" s="939"/>
      <c r="BH36" s="939"/>
      <c r="BI36" s="939"/>
      <c r="BJ36" s="932" t="str">
        <f>IF(BB36="No constraint","",INDEX('Price Point Data'!M:M,MATCH($AB36,'Price Point Data'!$A:$A,0)))</f>
        <v/>
      </c>
      <c r="BK36" s="932"/>
      <c r="BL36" s="93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Q36" s="145"/>
      <c r="DB36" s="23"/>
    </row>
    <row r="37" spans="1:106" ht="15" customHeight="1" x14ac:dyDescent="0.25">
      <c r="A37" s="106"/>
      <c r="B37" s="971" t="str">
        <f>IF(INDEX(DATA!$BJ:$BJ,MATCH($P$32,DATA!$B:$B,0))="","","Device definition: "&amp;INDEX(DATA!$BJ:$BJ,MATCH($P$32,DATA!$B:$B,0)))</f>
        <v/>
      </c>
      <c r="C37" s="972"/>
      <c r="D37" s="972"/>
      <c r="E37" s="972"/>
      <c r="F37" s="972"/>
      <c r="G37" s="972"/>
      <c r="H37" s="972"/>
      <c r="I37" s="972"/>
      <c r="J37" s="972"/>
      <c r="K37" s="972"/>
      <c r="L37" s="24"/>
      <c r="M37" s="120" t="s">
        <v>5</v>
      </c>
      <c r="N37" s="120"/>
      <c r="O37" s="120"/>
      <c r="P37" s="120"/>
      <c r="Q37" s="345" t="str">
        <f ca="1">IF(INDEX(OFFSET(DATA!AG:AG,0,'Intermediate Data'!$AX$50*5),MATCH($P$32,DATA!$B:$B,0))&lt;0,"N/A",INDEX(OFFSET(DATA!AG:AG,0,'Intermediate Data'!$AX$50*5),MATCH($P$32,DATA!$B:$B,0)))</f>
        <v>N/A</v>
      </c>
      <c r="R37" s="333">
        <f ca="1">IF(INDEX(OFFSET(DATA!AH:AH,0,'Intermediate Data'!$AX$50*5),MATCH($P$32,DATA!$B:$B,0))&lt;0,"N/A",INDEX(OFFSET(DATA!AH:AH,0,'Intermediate Data'!$AX$50*5),MATCH($P$32,DATA!$B:$B,0)))</f>
        <v>1.9806353930334133</v>
      </c>
      <c r="S37" s="345" t="str">
        <f ca="1">IF(INDEX(OFFSET(DATA!AI:AI,0,'Intermediate Data'!$AX$50*5),MATCH($P$32,DATA!$B:$B,0))&lt;0,"N/A",INDEX(OFFSET(DATA!AI:AI,0,'Intermediate Data'!$AX$50*5),MATCH($P$32,DATA!$B:$B,0)))</f>
        <v>N/A</v>
      </c>
      <c r="T37" s="333">
        <f ca="1">IF(INDEX(OFFSET(DATA!AJ:AJ,0,'Intermediate Data'!$AX$50*5),MATCH($P$32,DATA!$B:$B,0))&lt;0,"N/A",INDEX(OFFSET(DATA!AJ:AJ,0,'Intermediate Data'!$AX$50*5),MATCH($P$32,DATA!$B:$B,0)))</f>
        <v>2.3271024065605226</v>
      </c>
      <c r="U37" s="345">
        <f ca="1">IF(INDEX(OFFSET(DATA!AK:AK,0,'Intermediate Data'!$AX$50*5),MATCH($P$32,DATA!$B:$B,0))&lt;0,"N/A",INDEX(OFFSET(DATA!AK:AK,0,'Intermediate Data'!$AX$50*5),MATCH($P$32,DATA!$B:$B,0)))</f>
        <v>2.4670000000000001</v>
      </c>
      <c r="V37" s="975"/>
      <c r="W37" s="975"/>
      <c r="X37" s="24"/>
      <c r="Y37" s="273"/>
      <c r="Z37" s="23"/>
      <c r="AA37" s="837"/>
      <c r="AB37" s="844"/>
      <c r="AC37" s="844"/>
      <c r="AD37" s="844"/>
      <c r="AE37" s="844"/>
      <c r="AF37" s="844"/>
      <c r="AG37" s="842"/>
      <c r="AH37" s="842"/>
      <c r="AI37" s="842"/>
      <c r="AJ37" s="878"/>
      <c r="AK37" s="879"/>
      <c r="AL37" s="879"/>
      <c r="AM37" s="879"/>
      <c r="AN37" s="879"/>
      <c r="AO37" s="880"/>
      <c r="AP37" s="874"/>
      <c r="AQ37" s="875"/>
      <c r="AR37" s="875"/>
      <c r="AS37" s="875"/>
      <c r="AT37" s="897"/>
      <c r="AU37" s="898"/>
      <c r="AV37" s="830"/>
      <c r="AW37" s="830"/>
      <c r="AX37" s="830"/>
      <c r="AY37" s="830"/>
      <c r="AZ37" s="830"/>
      <c r="BA37" s="830"/>
      <c r="BB37" s="870"/>
      <c r="BC37" s="871"/>
      <c r="BD37" s="871"/>
      <c r="BE37" s="871"/>
      <c r="BF37" s="871"/>
      <c r="BG37" s="871"/>
      <c r="BH37" s="871"/>
      <c r="BI37" s="871"/>
      <c r="BJ37" s="934"/>
      <c r="BK37" s="934"/>
      <c r="BL37" s="935"/>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Q37" s="145"/>
      <c r="DB37" s="23"/>
    </row>
    <row r="38" spans="1:106" ht="15" customHeight="1" x14ac:dyDescent="0.25">
      <c r="A38" s="106"/>
      <c r="B38" s="971"/>
      <c r="C38" s="972"/>
      <c r="D38" s="972"/>
      <c r="E38" s="972"/>
      <c r="F38" s="972"/>
      <c r="G38" s="972"/>
      <c r="H38" s="972"/>
      <c r="I38" s="972"/>
      <c r="J38" s="972"/>
      <c r="K38" s="972"/>
      <c r="L38" s="121"/>
      <c r="M38" s="120" t="s">
        <v>782</v>
      </c>
      <c r="N38" s="24"/>
      <c r="O38" s="24"/>
      <c r="P38" s="24"/>
      <c r="Q38" s="24"/>
      <c r="R38" s="24"/>
      <c r="S38" s="24"/>
      <c r="T38" s="24"/>
      <c r="U38" s="334">
        <f>IF(INDEX(DATA!BH:BH,MATCH($P$32,DATA!$B:$B,0))&lt;0,"N/A",INDEX(DATA!BH:BH,MATCH($P$32,DATA!$B:$B,0)))</f>
        <v>0.84</v>
      </c>
      <c r="V38" s="963">
        <f>IFERROR(IF(LEN(U38)&gt;0,HYPERLINK("#"&amp;ADDRESS(MATCH(INDEX('DATA SOURCE #s'!$BH:$BH,MATCH('Device View'!$P$32,'DATA SOURCE #s'!$B:$B,0)),'SOURCE Info'!$A:$A,0),1,1,1,"SOURCE Info"),INDEX('DATA SOURCE #s'!$BH:$BH,MATCH('Device View'!$P$32,'DATA SOURCE #s'!$B:$B,0))),""),"")</f>
        <v>20001</v>
      </c>
      <c r="W38" s="963"/>
      <c r="X38" s="24"/>
      <c r="Y38" s="273"/>
      <c r="Z38" s="23"/>
      <c r="AA38" s="837"/>
      <c r="AB38" s="844" t="str">
        <f>'Intermediate Data'!C213</f>
        <v>Refrigerator/freezer</v>
      </c>
      <c r="AC38" s="844"/>
      <c r="AD38" s="844"/>
      <c r="AE38" s="844"/>
      <c r="AF38" s="844"/>
      <c r="AG38" s="842">
        <f>INDEX('Price Point Data'!P:P,MATCH($AB38,'Price Point Data'!$A:$A,0))</f>
        <v>0.8300561797752809</v>
      </c>
      <c r="AH38" s="842"/>
      <c r="AI38" s="842"/>
      <c r="AJ38" s="878" t="str">
        <f>INDEX('Price Point Data'!O:O,MATCH($AB38,'Price Point Data'!$A:$A,0))</f>
        <v>Under $400 to $2500 or more</v>
      </c>
      <c r="AK38" s="879"/>
      <c r="AL38" s="879"/>
      <c r="AM38" s="879"/>
      <c r="AN38" s="879"/>
      <c r="AO38" s="880"/>
      <c r="AP38" s="874" t="str">
        <f>INDEX('Price Point Data'!I:I,MATCH($AB38,'Price Point Data'!$A:$A,0))</f>
        <v>Under $600</v>
      </c>
      <c r="AQ38" s="875"/>
      <c r="AR38" s="875"/>
      <c r="AS38" s="875"/>
      <c r="AT38" s="819">
        <f>IF(AP38="No constraint","",INDEX('Price Point Data'!J:J,MATCH($AB38,'Price Point Data'!$A:$A,0)))</f>
        <v>0.3577981651376147</v>
      </c>
      <c r="AU38" s="820"/>
      <c r="AV38" s="830">
        <v>1</v>
      </c>
      <c r="AW38" s="830"/>
      <c r="AX38" s="830"/>
      <c r="AY38" s="830"/>
      <c r="AZ38" s="830"/>
      <c r="BA38" s="830"/>
      <c r="BB38" s="870" t="str">
        <f>INDEX('Price Point Data'!L:L,MATCH($AB38,'Price Point Data'!$A:$A,0))</f>
        <v>No constraint</v>
      </c>
      <c r="BC38" s="871"/>
      <c r="BD38" s="871"/>
      <c r="BE38" s="871"/>
      <c r="BF38" s="871"/>
      <c r="BG38" s="871"/>
      <c r="BH38" s="871"/>
      <c r="BI38" s="871"/>
      <c r="BJ38" s="897" t="str">
        <f>IF(BB38="No constraint","",INDEX('Price Point Data'!M:M,MATCH($AB38,'Price Point Data'!$A:$A,0)))</f>
        <v/>
      </c>
      <c r="BK38" s="897"/>
      <c r="BL38" s="929"/>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Q38" s="145"/>
      <c r="DB38" s="23"/>
    </row>
    <row r="39" spans="1:106" x14ac:dyDescent="0.25">
      <c r="A39" s="106"/>
      <c r="B39" s="317" t="s">
        <v>1055</v>
      </c>
      <c r="C39" s="320"/>
      <c r="D39" s="320"/>
      <c r="E39" s="320"/>
      <c r="F39" s="320"/>
      <c r="G39" s="204"/>
      <c r="H39" s="204"/>
      <c r="I39" s="320"/>
      <c r="J39" s="321"/>
      <c r="K39" s="339" t="s">
        <v>0</v>
      </c>
      <c r="L39" s="121"/>
      <c r="N39" s="120"/>
      <c r="O39" s="120"/>
      <c r="P39" s="120"/>
      <c r="Q39" s="276"/>
      <c r="R39" s="120"/>
      <c r="S39" s="24"/>
      <c r="T39" s="133"/>
      <c r="U39" s="331"/>
      <c r="V39" s="858"/>
      <c r="W39" s="858"/>
      <c r="X39" s="24"/>
      <c r="Y39" s="273"/>
      <c r="Z39" s="23"/>
      <c r="AA39" s="837"/>
      <c r="AB39" s="844"/>
      <c r="AC39" s="844"/>
      <c r="AD39" s="844"/>
      <c r="AE39" s="844"/>
      <c r="AF39" s="844"/>
      <c r="AG39" s="842"/>
      <c r="AH39" s="842"/>
      <c r="AI39" s="842"/>
      <c r="AJ39" s="878"/>
      <c r="AK39" s="879"/>
      <c r="AL39" s="879"/>
      <c r="AM39" s="879"/>
      <c r="AN39" s="879"/>
      <c r="AO39" s="880"/>
      <c r="AP39" s="874"/>
      <c r="AQ39" s="875"/>
      <c r="AR39" s="875"/>
      <c r="AS39" s="875"/>
      <c r="AT39" s="821"/>
      <c r="AU39" s="822"/>
      <c r="AV39" s="830"/>
      <c r="AW39" s="830"/>
      <c r="AX39" s="830"/>
      <c r="AY39" s="830"/>
      <c r="AZ39" s="830"/>
      <c r="BA39" s="830"/>
      <c r="BB39" s="870"/>
      <c r="BC39" s="871"/>
      <c r="BD39" s="871"/>
      <c r="BE39" s="871"/>
      <c r="BF39" s="871"/>
      <c r="BG39" s="871"/>
      <c r="BH39" s="871"/>
      <c r="BI39" s="871"/>
      <c r="BJ39" s="897"/>
      <c r="BK39" s="897"/>
      <c r="BL39" s="929"/>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Q39" s="145"/>
      <c r="DB39" s="23"/>
    </row>
    <row r="40" spans="1:106" ht="15" customHeight="1" x14ac:dyDescent="0.25">
      <c r="A40" s="106"/>
      <c r="B40" s="277" t="s">
        <v>588</v>
      </c>
      <c r="C40" s="288"/>
      <c r="D40" s="289"/>
      <c r="E40" s="120"/>
      <c r="F40" s="281"/>
      <c r="G40" s="961" t="str">
        <f>IF(INDEX(DATA!BK:BK,MATCH($P$32,DATA!$B:$B,0))="","",IF(INDEX(DATA!BK:BK,MATCH($P$32,DATA!$B:$B,0))=-98,"Unknown",IF(INDEX(DATA!BK:BK,MATCH($P$32,DATA!$B:$B,0))=-99,"N/A",TEXT(INDEX(DATA!BK:BK,MATCH($P$32,DATA!$B:$B,0)),"##"))))</f>
        <v>166</v>
      </c>
      <c r="H40" s="961"/>
      <c r="I40" s="281" t="str">
        <f>IF(LEN(G40)&gt;0,IF($Y$32="Electric","kWh","Therms"),"")</f>
        <v>kWh</v>
      </c>
      <c r="J40" s="282"/>
      <c r="K40" s="283">
        <f>IF(LEN(G40)&gt;0,HYPERLINK("#"&amp;ADDRESS(MATCH(INDEX('DATA SOURCE #s'!$BK:$BK,MATCH('Device View'!$P$32,'DATA SOURCE #s'!$B:$B,0)),'SOURCE Info'!$A:$A,0),1,1,1,"SOURCE Info"),INDEX('DATA SOURCE #s'!$BK:$BK,MATCH('Device View'!$P$32,'DATA SOURCE #s'!$B:$B,0))),"")</f>
        <v>41402</v>
      </c>
      <c r="L40" s="121"/>
      <c r="M40" s="319" t="s">
        <v>1068</v>
      </c>
      <c r="N40" s="324"/>
      <c r="O40" s="319"/>
      <c r="P40" s="319"/>
      <c r="Q40" s="325"/>
      <c r="R40" s="204"/>
      <c r="S40" s="204"/>
      <c r="T40" s="204"/>
      <c r="U40" s="325"/>
      <c r="V40" s="964">
        <f>HYPERLINK("#"&amp;ADDRESS(MATCH(50000,'SOURCE Info'!$A:$A,0),1,1,1,"SOURCE Info"),50000)</f>
        <v>50000</v>
      </c>
      <c r="W40" s="964"/>
      <c r="X40" s="24"/>
      <c r="Y40" s="273"/>
      <c r="Z40" s="23"/>
      <c r="AA40" s="837"/>
      <c r="AB40" s="945" t="str">
        <f>'Intermediate Data'!C214</f>
        <v>Stand-alone freezer</v>
      </c>
      <c r="AC40" s="946"/>
      <c r="AD40" s="946"/>
      <c r="AE40" s="946"/>
      <c r="AF40" s="946"/>
      <c r="AG40" s="942">
        <f>INDEX('Price Point Data'!P:P,MATCH($AB40,'Price Point Data'!$A:$A,0))</f>
        <v>0.56716417910447758</v>
      </c>
      <c r="AH40" s="942"/>
      <c r="AI40" s="943"/>
      <c r="AJ40" s="902" t="str">
        <f>INDEX('Price Point Data'!O:O,MATCH($AB40,'Price Point Data'!$A:$A,0))</f>
        <v>Under $300 to $900 or more</v>
      </c>
      <c r="AK40" s="903"/>
      <c r="AL40" s="903"/>
      <c r="AM40" s="903"/>
      <c r="AN40" s="903"/>
      <c r="AO40" s="904"/>
      <c r="AP40" s="919" t="str">
        <f>INDEX('Price Point Data'!I:I,MATCH($AB40,'Price Point Data'!$A:$A,0))</f>
        <v>Under $500</v>
      </c>
      <c r="AQ40" s="920"/>
      <c r="AR40" s="920"/>
      <c r="AS40" s="920"/>
      <c r="AT40" s="819">
        <f>IF(AP40="No constraint","",INDEX('Price Point Data'!J:J,MATCH($AB40,'Price Point Data'!$A:$A,0)))</f>
        <v>0.32142857142857145</v>
      </c>
      <c r="AU40" s="820"/>
      <c r="AV40" s="813">
        <v>2</v>
      </c>
      <c r="AW40" s="814"/>
      <c r="AX40" s="814"/>
      <c r="AY40" s="814"/>
      <c r="AZ40" s="814"/>
      <c r="BA40" s="815"/>
      <c r="BB40" s="940" t="str">
        <f>INDEX('Price Point Data'!L:L,MATCH($AB40,'Price Point Data'!$A:$A,0))</f>
        <v>No constraint</v>
      </c>
      <c r="BC40" s="941"/>
      <c r="BD40" s="941"/>
      <c r="BE40" s="941"/>
      <c r="BF40" s="941"/>
      <c r="BG40" s="941"/>
      <c r="BH40" s="941"/>
      <c r="BI40" s="941"/>
      <c r="BJ40" s="819" t="str">
        <f>IF(BB40="No constraint","",INDEX('Price Point Data'!M:M,MATCH($AB40,'Price Point Data'!$A:$A,0)))</f>
        <v/>
      </c>
      <c r="BK40" s="819"/>
      <c r="BL40" s="936"/>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Q40" s="145"/>
      <c r="DB40" s="23"/>
    </row>
    <row r="41" spans="1:106" ht="15" customHeight="1" x14ac:dyDescent="0.25">
      <c r="A41" s="106"/>
      <c r="B41" s="277" t="s">
        <v>614</v>
      </c>
      <c r="C41" s="290"/>
      <c r="D41" s="291"/>
      <c r="E41" s="120"/>
      <c r="F41" s="284"/>
      <c r="G41" s="924" t="str">
        <f>IF(INDEX(DATA!BM:BM,MATCH($P$32,DATA!$B:$B,0))="","",IF(INDEX(DATA!BM:BM,MATCH($P$32,DATA!$B:$B,0))=-98,"Unknown",IF(INDEX(DATA!BM:BM,MATCH($P$32,DATA!$B:$B,0))=-99,"",TEXT(INDEX(DATA!BM:BM,MATCH($P$32,DATA!$B:$B,0)),"##"))))</f>
        <v>35</v>
      </c>
      <c r="H41" s="924"/>
      <c r="I41" s="284" t="str">
        <f>IF(LEN(G41)&gt;0,IF($Y$32="Electric","kWh","Therms"),"")</f>
        <v>kWh</v>
      </c>
      <c r="J41" s="285"/>
      <c r="K41" s="286">
        <f>IF(LEN(G41)&gt;0,HYPERLINK("#"&amp;ADDRESS(MATCH(INDEX('DATA SOURCE #s'!$BM:$BM,MATCH('Device View'!$P$32,'DATA SOURCE #s'!$B:$B,0)),'SOURCE Info'!$A:$A,0),1,1,1,"SOURCE Info"),INDEX('DATA SOURCE #s'!$BM:$BM,MATCH('Device View'!$P$32,'DATA SOURCE #s'!$B:$B,0))),"")</f>
        <v>40001</v>
      </c>
      <c r="L41" s="121"/>
      <c r="M41" s="134"/>
      <c r="N41" s="136"/>
      <c r="P41" s="24"/>
      <c r="Q41" s="136" t="s">
        <v>239</v>
      </c>
      <c r="R41" s="24"/>
      <c r="S41" s="24"/>
      <c r="V41" s="925" t="s">
        <v>412</v>
      </c>
      <c r="W41" s="925"/>
      <c r="X41" s="925" t="s">
        <v>413</v>
      </c>
      <c r="Y41" s="926"/>
      <c r="Z41" s="23"/>
      <c r="AA41" s="837"/>
      <c r="AB41" s="947"/>
      <c r="AC41" s="847"/>
      <c r="AD41" s="847"/>
      <c r="AE41" s="847"/>
      <c r="AF41" s="847"/>
      <c r="AG41" s="841"/>
      <c r="AH41" s="841"/>
      <c r="AI41" s="944"/>
      <c r="AJ41" s="884"/>
      <c r="AK41" s="885"/>
      <c r="AL41" s="885"/>
      <c r="AM41" s="885"/>
      <c r="AN41" s="885"/>
      <c r="AO41" s="886"/>
      <c r="AP41" s="917"/>
      <c r="AQ41" s="918"/>
      <c r="AR41" s="918"/>
      <c r="AS41" s="918"/>
      <c r="AT41" s="821"/>
      <c r="AU41" s="822"/>
      <c r="AV41" s="816"/>
      <c r="AW41" s="817"/>
      <c r="AX41" s="817"/>
      <c r="AY41" s="817"/>
      <c r="AZ41" s="817"/>
      <c r="BA41" s="818"/>
      <c r="BB41" s="868"/>
      <c r="BC41" s="869"/>
      <c r="BD41" s="869"/>
      <c r="BE41" s="869"/>
      <c r="BF41" s="869"/>
      <c r="BG41" s="869"/>
      <c r="BH41" s="869"/>
      <c r="BI41" s="869"/>
      <c r="BJ41" s="821"/>
      <c r="BK41" s="821"/>
      <c r="BL41" s="937"/>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Q41" s="145"/>
      <c r="DB41" s="23"/>
    </row>
    <row r="42" spans="1:106" ht="15" customHeight="1" x14ac:dyDescent="0.25">
      <c r="A42" s="106"/>
      <c r="B42" s="277" t="s">
        <v>1</v>
      </c>
      <c r="C42" s="290"/>
      <c r="D42" s="291"/>
      <c r="E42" s="120"/>
      <c r="F42" s="284"/>
      <c r="G42" s="924" t="str">
        <f>IF(INDEX(DATA!BO:BO,MATCH($P$32,DATA!$B:$B,0))="","",IF(INDEX(DATA!BO:BO,MATCH($P$32,DATA!$B:$B,0))=-98,"Unknown",IF(INDEX(DATA!BO:BO,MATCH($P$32,DATA!$B:$B,0))=-99,"N/A",TEXT(INDEX(DATA!BO:BO,MATCH($P$32,DATA!$B:$B,0)),"##"))))</f>
        <v/>
      </c>
      <c r="H42" s="924"/>
      <c r="I42" s="284" t="str">
        <f>IF(LEN(G42)&gt;0,IF($Y$32="Electric","kWh","Therms"),"")</f>
        <v/>
      </c>
      <c r="J42" s="287"/>
      <c r="K42" s="286" t="str">
        <f>IF(LEN(G42)&gt;0,HYPERLINK("#"&amp;ADDRESS(MATCH(INDEX('DATA SOURCE #s'!$BO:$BO,MATCH('Device View'!$P$32,'DATA SOURCE #s'!$B:$B,0)),'SOURCE Info'!$A:$A,0),1,1,1,"SOURCE Info"),INDEX('DATA SOURCE #s'!$BO:$BO,MATCH('Device View'!$P$32,'DATA SOURCE #s'!$B:$B,0))),"")</f>
        <v/>
      </c>
      <c r="L42" s="121"/>
      <c r="M42" s="702"/>
      <c r="N42" s="703"/>
      <c r="O42" s="703" t="s">
        <v>1072</v>
      </c>
      <c r="P42" s="704"/>
      <c r="Q42" s="823" t="str">
        <f>IFERROR(INDEX('Price Point Data'!O:O,MATCH($P$32,'Price Point Data'!$A:$A,0)),"")</f>
        <v>Under $200 to $3000 or more</v>
      </c>
      <c r="R42" s="823"/>
      <c r="S42" s="823"/>
      <c r="T42" s="823"/>
      <c r="U42" s="823"/>
      <c r="V42" s="965">
        <f>IFERROR(IF(Q42="","",INDEX('Price Point Data'!Q:Q,MATCH($P$32,'Price Point Data'!$A:$A,0))),"")</f>
        <v>297</v>
      </c>
      <c r="W42" s="965"/>
      <c r="X42" s="966">
        <f>IFERROR(IF(Q42="","",INDEX('Price Point Data'!P:P,MATCH($P$32,'Price Point Data'!$A:$A,0))),"")</f>
        <v>0.57585139318885448</v>
      </c>
      <c r="Y42" s="967"/>
      <c r="Z42" s="23"/>
      <c r="AA42" s="837"/>
      <c r="AB42" s="844" t="str">
        <f>'Intermediate Data'!C215</f>
        <v>Hot water heater - Electric</v>
      </c>
      <c r="AC42" s="844"/>
      <c r="AD42" s="844"/>
      <c r="AE42" s="844"/>
      <c r="AF42" s="844"/>
      <c r="AG42" s="842">
        <f>INDEX('Price Point Data'!P:P,MATCH($AB42,'Price Point Data'!$A:$A,0))</f>
        <v>5.2631578947368418E-2</v>
      </c>
      <c r="AH42" s="842"/>
      <c r="AI42" s="842"/>
      <c r="AJ42" s="878" t="str">
        <f>INDEX('Price Point Data'!O:O,MATCH($AB42,'Price Point Data'!$A:$A,0))</f>
        <v>Under $300 to $700 or more</v>
      </c>
      <c r="AK42" s="879"/>
      <c r="AL42" s="879"/>
      <c r="AM42" s="879"/>
      <c r="AN42" s="879"/>
      <c r="AO42" s="880"/>
      <c r="AP42" s="874" t="str">
        <f>INDEX('Price Point Data'!I:I,MATCH($AB42,'Price Point Data'!$A:$A,0))</f>
        <v>Under $700</v>
      </c>
      <c r="AQ42" s="875"/>
      <c r="AR42" s="875"/>
      <c r="AS42" s="875"/>
      <c r="AT42" s="819">
        <f>IF(AP42="No constraint","",INDEX('Price Point Data'!J:J,MATCH($AB42,'Price Point Data'!$A:$A,0)))</f>
        <v>0</v>
      </c>
      <c r="AU42" s="820"/>
      <c r="AV42" s="830">
        <v>3.5</v>
      </c>
      <c r="AW42" s="830"/>
      <c r="AX42" s="830"/>
      <c r="AY42" s="830"/>
      <c r="AZ42" s="830"/>
      <c r="BA42" s="830"/>
      <c r="BB42" s="870" t="str">
        <f>INDEX('Price Point Data'!L:L,MATCH($AB42,'Price Point Data'!$A:$A,0))</f>
        <v>No constraint</v>
      </c>
      <c r="BC42" s="871"/>
      <c r="BD42" s="871"/>
      <c r="BE42" s="871"/>
      <c r="BF42" s="871"/>
      <c r="BG42" s="871"/>
      <c r="BH42" s="871"/>
      <c r="BI42" s="871"/>
      <c r="BJ42" s="897" t="str">
        <f>IF(BB42="No constraint","",INDEX('Price Point Data'!M:M,MATCH($AB42,'Price Point Data'!$A:$A,0)))</f>
        <v/>
      </c>
      <c r="BK42" s="897"/>
      <c r="BL42" s="929"/>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Q42" s="145"/>
      <c r="DB42" s="23"/>
    </row>
    <row r="43" spans="1:106" ht="18.75" customHeight="1" x14ac:dyDescent="0.25">
      <c r="A43" s="106"/>
      <c r="B43" s="277" t="s">
        <v>778</v>
      </c>
      <c r="C43" s="292"/>
      <c r="D43" s="293"/>
      <c r="E43" s="120"/>
      <c r="F43" s="284"/>
      <c r="G43" s="970" t="str">
        <f>IF(INDEX(DATA!BQ:BQ,MATCH($P$32,DATA!$B:$B,0))="","",IF(INDEX(DATA!BQ:BQ,MATCH($P$32,DATA!$B:$B,0))=-98,"Unknown",IF(INDEX(DATA!BQ:BQ,MATCH($P$32,DATA!$B:$B,0))=-99,"N/A",INDEX(DATA!BQ:BQ,MATCH($P$32,DATA!$B:$B,0)))))</f>
        <v/>
      </c>
      <c r="H43" s="970"/>
      <c r="I43" s="970"/>
      <c r="J43" s="970"/>
      <c r="K43" s="970"/>
      <c r="L43" s="234"/>
      <c r="M43" s="812" t="s">
        <v>1071</v>
      </c>
      <c r="N43" s="812"/>
      <c r="O43" s="812"/>
      <c r="P43" s="700" t="s">
        <v>1069</v>
      </c>
      <c r="Q43" s="823" t="str">
        <f>IFERROR(INDEX('Price Point Data'!I:I,MATCH($P$32,'Price Point Data'!$A:$A,0)),"")</f>
        <v>No constraint</v>
      </c>
      <c r="R43" s="823"/>
      <c r="S43" s="823"/>
      <c r="T43" s="823"/>
      <c r="U43" s="823"/>
      <c r="V43" s="924" t="str">
        <f>IFERROR(IF(Q43="None","",INDEX('Price Point Data'!K:K,MATCH($P$32,'Price Point Data'!$A:$A,0))),"")</f>
        <v>N/A</v>
      </c>
      <c r="W43" s="924"/>
      <c r="X43" s="859" t="str">
        <f>IFERROR(IF(Q43="None","",INDEX('Price Point Data'!J:J,MATCH($P$32,'Price Point Data'!$A:$A,0))),"")</f>
        <v>N/A</v>
      </c>
      <c r="Y43" s="860"/>
      <c r="Z43" s="23"/>
      <c r="AA43" s="837"/>
      <c r="AB43" s="844"/>
      <c r="AC43" s="844"/>
      <c r="AD43" s="844"/>
      <c r="AE43" s="844"/>
      <c r="AF43" s="844"/>
      <c r="AG43" s="842"/>
      <c r="AH43" s="842"/>
      <c r="AI43" s="842"/>
      <c r="AJ43" s="878"/>
      <c r="AK43" s="879"/>
      <c r="AL43" s="879"/>
      <c r="AM43" s="879"/>
      <c r="AN43" s="879"/>
      <c r="AO43" s="880"/>
      <c r="AP43" s="874"/>
      <c r="AQ43" s="875"/>
      <c r="AR43" s="875"/>
      <c r="AS43" s="875"/>
      <c r="AT43" s="821"/>
      <c r="AU43" s="822"/>
      <c r="AV43" s="830"/>
      <c r="AW43" s="830"/>
      <c r="AX43" s="830"/>
      <c r="AY43" s="830"/>
      <c r="AZ43" s="830"/>
      <c r="BA43" s="830"/>
      <c r="BB43" s="870"/>
      <c r="BC43" s="871"/>
      <c r="BD43" s="871"/>
      <c r="BE43" s="871"/>
      <c r="BF43" s="871"/>
      <c r="BG43" s="871"/>
      <c r="BH43" s="871"/>
      <c r="BI43" s="871"/>
      <c r="BJ43" s="897"/>
      <c r="BK43" s="897"/>
      <c r="BL43" s="929"/>
      <c r="BM43" s="24"/>
      <c r="BN43" s="24"/>
      <c r="BO43" s="24"/>
      <c r="BP43" s="24"/>
      <c r="BQ43" s="24"/>
      <c r="BR43" s="24"/>
      <c r="BS43" s="24"/>
      <c r="BT43" s="24"/>
      <c r="BU43" s="24"/>
      <c r="BV43" s="24"/>
      <c r="BW43" s="24"/>
      <c r="BX43" s="24"/>
      <c r="BY43" s="24"/>
      <c r="BZ43" s="24"/>
      <c r="CA43" s="24"/>
      <c r="CB43" s="24"/>
      <c r="CC43" s="24"/>
      <c r="CD43" s="24"/>
      <c r="CE43" s="24"/>
      <c r="CF43" s="24"/>
      <c r="CG43" s="24"/>
      <c r="CH43" s="24"/>
      <c r="CI43" s="23"/>
      <c r="CJ43" s="23"/>
      <c r="CQ43" s="145"/>
      <c r="DB43" s="23"/>
    </row>
    <row r="44" spans="1:106" ht="18" customHeight="1" x14ac:dyDescent="0.25">
      <c r="A44" s="106"/>
      <c r="B44" s="968" t="str">
        <f>"Notes: "&amp;IF(INDEX(DATA!BR:BR,MATCH($P$32,DATA!$B:$B,0))="","",IF(INDEX(DATA!BR:BR,MATCH($P$32,DATA!$B:$B,0))=-98,"Unknown",IF(INDEX(DATA!BR:BR,MATCH($P$32,DATA!$B:$B,0))=-99,"N/A",INDEX(DATA!BR:BR,MATCH($P$32,DATA!$B:$B,0)))))</f>
        <v>Notes: Assumed annual run hours of 1,882 (5.16 hours/day * 365 days); ENERGY STAR average over all sizes</v>
      </c>
      <c r="C44" s="969"/>
      <c r="D44" s="969"/>
      <c r="E44" s="969"/>
      <c r="F44" s="969"/>
      <c r="G44" s="969"/>
      <c r="H44" s="969"/>
      <c r="I44" s="969"/>
      <c r="J44" s="969"/>
      <c r="K44" s="969"/>
      <c r="L44" s="234"/>
      <c r="M44" s="812"/>
      <c r="N44" s="812"/>
      <c r="O44" s="812"/>
      <c r="P44" s="701" t="s">
        <v>1070</v>
      </c>
      <c r="Q44" s="823" t="str">
        <f>IFERROR(INDEX('Price Point Data'!L:L,MATCH($P$32,'Price Point Data'!$A:$A,0)),"")</f>
        <v>$2500 or more</v>
      </c>
      <c r="R44" s="823"/>
      <c r="S44" s="823"/>
      <c r="T44" s="823"/>
      <c r="U44" s="823"/>
      <c r="V44" s="924">
        <f>IFERROR(IF(Q44="None","",INDEX('Price Point Data'!N:N,MATCH($P$32,'Price Point Data'!$A:$A,0))),"")</f>
        <v>41</v>
      </c>
      <c r="W44" s="924"/>
      <c r="X44" s="859">
        <f>IFERROR(IF(Q44="None","",INDEX('Price Point Data'!M:M,MATCH($P$32,'Price Point Data'!$A:$A,0))),"")</f>
        <v>0.24390243902439024</v>
      </c>
      <c r="Y44" s="860"/>
      <c r="Z44" s="24"/>
      <c r="AA44" s="837"/>
      <c r="AB44" s="945" t="str">
        <f>'Intermediate Data'!C216</f>
        <v>Hot water heater - Gas</v>
      </c>
      <c r="AC44" s="946"/>
      <c r="AD44" s="946"/>
      <c r="AE44" s="946"/>
      <c r="AF44" s="946"/>
      <c r="AG44" s="942">
        <f>INDEX('Price Point Data'!P:P,MATCH($AB44,'Price Point Data'!$A:$A,0))</f>
        <v>0.2</v>
      </c>
      <c r="AH44" s="942"/>
      <c r="AI44" s="943"/>
      <c r="AJ44" s="902" t="str">
        <f>INDEX('Price Point Data'!O:O,MATCH($AB44,'Price Point Data'!$A:$A,0))</f>
        <v>Under $400 to $1000 or more</v>
      </c>
      <c r="AK44" s="903"/>
      <c r="AL44" s="903"/>
      <c r="AM44" s="903"/>
      <c r="AN44" s="903"/>
      <c r="AO44" s="904"/>
      <c r="AP44" s="919" t="str">
        <f>INDEX('Price Point Data'!I:I,MATCH($AB44,'Price Point Data'!$A:$A,0))</f>
        <v>Under $600</v>
      </c>
      <c r="AQ44" s="920"/>
      <c r="AR44" s="920"/>
      <c r="AS44" s="920"/>
      <c r="AT44" s="819">
        <f>IF(AP44="No constraint","",INDEX('Price Point Data'!J:J,MATCH($AB44,'Price Point Data'!$A:$A,0)))</f>
        <v>0</v>
      </c>
      <c r="AU44" s="820"/>
      <c r="AV44" s="813">
        <v>3</v>
      </c>
      <c r="AW44" s="814"/>
      <c r="AX44" s="814"/>
      <c r="AY44" s="814"/>
      <c r="AZ44" s="814"/>
      <c r="BA44" s="815"/>
      <c r="BB44" s="919" t="str">
        <f>INDEX('Price Point Data'!L:L,MATCH($AB44,'Price Point Data'!$A:$A,0))</f>
        <v>$1000 or more</v>
      </c>
      <c r="BC44" s="920"/>
      <c r="BD44" s="920"/>
      <c r="BE44" s="920"/>
      <c r="BF44" s="920"/>
      <c r="BG44" s="920"/>
      <c r="BH44" s="920"/>
      <c r="BI44" s="920"/>
      <c r="BJ44" s="819">
        <f>IF(BB44="No constraint","",INDEX('Price Point Data'!M:M,MATCH($AB44,'Price Point Data'!$A:$A,0)))</f>
        <v>0</v>
      </c>
      <c r="BK44" s="819"/>
      <c r="BL44" s="936"/>
      <c r="BM44" s="24"/>
      <c r="BN44" s="24"/>
      <c r="BO44" s="24"/>
      <c r="BP44" s="24"/>
      <c r="BQ44" s="24"/>
      <c r="BR44" s="24"/>
      <c r="BS44" s="24"/>
      <c r="BT44" s="24"/>
      <c r="BU44" s="24"/>
      <c r="BV44" s="24"/>
      <c r="BW44" s="24"/>
      <c r="BX44" s="24"/>
      <c r="BY44" s="24"/>
      <c r="BZ44" s="24"/>
      <c r="CA44" s="24"/>
      <c r="CB44" s="24"/>
      <c r="CC44" s="24"/>
      <c r="CD44" s="24"/>
      <c r="CE44" s="24"/>
      <c r="CF44" s="24"/>
      <c r="CG44" s="24"/>
      <c r="CH44" s="24"/>
      <c r="CI44" s="23"/>
      <c r="CJ44" s="23"/>
      <c r="CQ44" s="146"/>
      <c r="DB44" s="23"/>
    </row>
    <row r="45" spans="1:106" ht="15" customHeight="1" x14ac:dyDescent="0.25">
      <c r="A45" s="23"/>
      <c r="B45" s="968"/>
      <c r="C45" s="969"/>
      <c r="D45" s="969"/>
      <c r="E45" s="969"/>
      <c r="F45" s="969"/>
      <c r="G45" s="969"/>
      <c r="H45" s="969"/>
      <c r="I45" s="969"/>
      <c r="J45" s="969"/>
      <c r="K45" s="969"/>
      <c r="L45" s="234"/>
      <c r="M45" s="828" t="str">
        <f>"Notes: "&amp;IF(INDEX(DATA!DR:DR,MATCH($P$32,DATA!$B:$B,0))="","",IF(INDEX(DATA!DR:DR,MATCH($P$32,DATA!$B:$B,0))=-98,"Unknown",IF(INDEX(DATA!DR:DR,MATCH($P$32,DATA!$B:$B,0))=-99,"N/A",INDEX(DATA!DR:DR,MATCH($P$32,DATA!$B:$B,0)))))</f>
        <v xml:space="preserve">Notes: </v>
      </c>
      <c r="N45" s="828"/>
      <c r="O45" s="828"/>
      <c r="P45" s="828"/>
      <c r="Q45" s="828"/>
      <c r="R45" s="828"/>
      <c r="S45" s="828"/>
      <c r="T45" s="828"/>
      <c r="U45" s="828"/>
      <c r="V45" s="828"/>
      <c r="W45" s="828"/>
      <c r="X45" s="828"/>
      <c r="Y45" s="829"/>
      <c r="Z45" s="24"/>
      <c r="AA45" s="837"/>
      <c r="AB45" s="947"/>
      <c r="AC45" s="847"/>
      <c r="AD45" s="847"/>
      <c r="AE45" s="847"/>
      <c r="AF45" s="847"/>
      <c r="AG45" s="841"/>
      <c r="AH45" s="841"/>
      <c r="AI45" s="944"/>
      <c r="AJ45" s="884"/>
      <c r="AK45" s="885"/>
      <c r="AL45" s="885"/>
      <c r="AM45" s="885"/>
      <c r="AN45" s="885"/>
      <c r="AO45" s="886"/>
      <c r="AP45" s="917"/>
      <c r="AQ45" s="918"/>
      <c r="AR45" s="918"/>
      <c r="AS45" s="918"/>
      <c r="AT45" s="821"/>
      <c r="AU45" s="822"/>
      <c r="AV45" s="816"/>
      <c r="AW45" s="817"/>
      <c r="AX45" s="817"/>
      <c r="AY45" s="817"/>
      <c r="AZ45" s="817"/>
      <c r="BA45" s="818"/>
      <c r="BB45" s="917"/>
      <c r="BC45" s="918"/>
      <c r="BD45" s="918"/>
      <c r="BE45" s="918"/>
      <c r="BF45" s="918"/>
      <c r="BG45" s="918"/>
      <c r="BH45" s="918"/>
      <c r="BI45" s="918"/>
      <c r="BJ45" s="821"/>
      <c r="BK45" s="821"/>
      <c r="BL45" s="937"/>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23"/>
      <c r="CJ45" s="23"/>
      <c r="CK45" s="23"/>
      <c r="CL45" s="23"/>
      <c r="CM45" s="23"/>
      <c r="CN45" s="23"/>
      <c r="CO45" s="24"/>
      <c r="CP45" s="23"/>
      <c r="CQ45" s="23"/>
      <c r="CR45" s="23"/>
      <c r="CS45" s="23"/>
      <c r="CT45" s="23"/>
      <c r="CU45" s="23"/>
      <c r="CV45" s="23"/>
      <c r="CW45" s="23"/>
      <c r="CX45" s="23"/>
      <c r="CY45" s="23"/>
      <c r="CZ45" s="23"/>
      <c r="DA45" s="23"/>
      <c r="DB45" s="23"/>
    </row>
    <row r="46" spans="1:106" ht="15" customHeight="1" x14ac:dyDescent="0.25">
      <c r="A46" s="23"/>
      <c r="B46" s="968"/>
      <c r="C46" s="969"/>
      <c r="D46" s="969"/>
      <c r="E46" s="969"/>
      <c r="F46" s="969"/>
      <c r="G46" s="969"/>
      <c r="H46" s="969"/>
      <c r="I46" s="969"/>
      <c r="J46" s="969"/>
      <c r="K46" s="969"/>
      <c r="L46" s="234"/>
      <c r="M46" s="828"/>
      <c r="N46" s="828"/>
      <c r="O46" s="828"/>
      <c r="P46" s="828"/>
      <c r="Q46" s="828"/>
      <c r="R46" s="828"/>
      <c r="S46" s="828"/>
      <c r="T46" s="828"/>
      <c r="U46" s="828"/>
      <c r="V46" s="828"/>
      <c r="W46" s="828"/>
      <c r="X46" s="828"/>
      <c r="Y46" s="829"/>
      <c r="Z46" s="120"/>
      <c r="AA46" s="837"/>
      <c r="AB46" s="888" t="str">
        <f>'Intermediate Data'!C217</f>
        <v>Pool Pump</v>
      </c>
      <c r="AC46" s="889"/>
      <c r="AD46" s="889"/>
      <c r="AE46" s="889"/>
      <c r="AF46" s="889"/>
      <c r="AG46" s="842">
        <f>INDEX('Price Point Data'!P:P,MATCH($AB46,'Price Point Data'!$A:$A,0))</f>
        <v>0.36363636363636365</v>
      </c>
      <c r="AH46" s="842"/>
      <c r="AI46" s="842"/>
      <c r="AJ46" s="878" t="str">
        <f>INDEX('Price Point Data'!O:O,MATCH($AB46,'Price Point Data'!$A:$A,0))</f>
        <v>Under $800 to $800 or more</v>
      </c>
      <c r="AK46" s="879"/>
      <c r="AL46" s="879"/>
      <c r="AM46" s="879"/>
      <c r="AN46" s="879"/>
      <c r="AO46" s="880"/>
      <c r="AP46" s="874" t="str">
        <f>INDEX('Price Point Data'!I:I,MATCH($AB46,'Price Point Data'!$A:$A,0))</f>
        <v>Under $800</v>
      </c>
      <c r="AQ46" s="875"/>
      <c r="AR46" s="875"/>
      <c r="AS46" s="875"/>
      <c r="AT46" s="819">
        <f>IF(AP46="No constraint","",INDEX('Price Point Data'!J:J,MATCH($AB46,'Price Point Data'!$A:$A,0)))</f>
        <v>0.15384615384615385</v>
      </c>
      <c r="AU46" s="820"/>
      <c r="AV46" s="955">
        <v>2.5</v>
      </c>
      <c r="AW46" s="955"/>
      <c r="AX46" s="955"/>
      <c r="AY46" s="955"/>
      <c r="AZ46" s="955"/>
      <c r="BA46" s="955"/>
      <c r="BB46" s="870" t="str">
        <f>INDEX('Price Point Data'!L:L,MATCH($AB46,'Price Point Data'!$A:$A,0))</f>
        <v>No constraint</v>
      </c>
      <c r="BC46" s="871"/>
      <c r="BD46" s="871"/>
      <c r="BE46" s="871"/>
      <c r="BF46" s="871"/>
      <c r="BG46" s="871"/>
      <c r="BH46" s="871"/>
      <c r="BI46" s="871"/>
      <c r="BJ46" s="897" t="str">
        <f>IF(BB46="No constraint","",INDEX('Price Point Data'!M:M,MATCH($AB46,'Price Point Data'!$A:$A,0)))</f>
        <v/>
      </c>
      <c r="BK46" s="897"/>
      <c r="BL46" s="929"/>
      <c r="BM46" s="24"/>
      <c r="BN46" s="24"/>
      <c r="BO46" s="24"/>
      <c r="BP46" s="24"/>
      <c r="BQ46" s="24"/>
      <c r="BR46" s="24"/>
      <c r="BS46" s="24"/>
      <c r="BT46" s="24"/>
      <c r="BU46" s="24"/>
      <c r="BV46" s="24"/>
      <c r="BW46" s="24"/>
      <c r="BX46" s="24"/>
      <c r="BY46" s="24"/>
      <c r="BZ46" s="24"/>
      <c r="CA46" s="24"/>
      <c r="CB46" s="24"/>
      <c r="CC46" s="24"/>
      <c r="CD46" s="24"/>
      <c r="CE46" s="24"/>
      <c r="CF46" s="24"/>
      <c r="CG46" s="24"/>
      <c r="CH46" s="24"/>
      <c r="CI46" s="23"/>
      <c r="CJ46" s="23"/>
      <c r="CK46" s="23"/>
      <c r="CL46" s="23"/>
      <c r="CM46" s="23"/>
      <c r="CN46" s="23"/>
      <c r="CO46" s="23"/>
      <c r="CP46" s="23"/>
      <c r="CQ46" s="23"/>
      <c r="CR46" s="23"/>
      <c r="CS46" s="23"/>
      <c r="CT46" s="23"/>
      <c r="CU46" s="23"/>
      <c r="CV46" s="23"/>
      <c r="CW46" s="23"/>
      <c r="CX46" s="23"/>
      <c r="CY46" s="23"/>
      <c r="CZ46" s="23"/>
      <c r="DA46" s="23"/>
      <c r="DB46" s="23"/>
    </row>
    <row r="47" spans="1:106" x14ac:dyDescent="0.25">
      <c r="A47" s="23"/>
      <c r="B47" s="275"/>
      <c r="C47" s="120"/>
      <c r="D47" s="24"/>
      <c r="E47" s="208"/>
      <c r="F47" s="208"/>
      <c r="G47" s="208"/>
      <c r="H47" s="208"/>
      <c r="I47" s="208"/>
      <c r="J47" s="208"/>
      <c r="K47" s="208"/>
      <c r="L47" s="208"/>
      <c r="M47" s="23"/>
      <c r="N47" s="23"/>
      <c r="O47" s="23"/>
      <c r="P47" s="23"/>
      <c r="Q47" s="23"/>
      <c r="R47" s="23"/>
      <c r="S47" s="23"/>
      <c r="T47" s="23"/>
      <c r="U47" s="23"/>
      <c r="V47" s="23"/>
      <c r="W47" s="23"/>
      <c r="X47" s="24"/>
      <c r="Y47" s="273"/>
      <c r="Z47" s="24"/>
      <c r="AA47" s="838"/>
      <c r="AB47" s="890"/>
      <c r="AC47" s="891"/>
      <c r="AD47" s="891"/>
      <c r="AE47" s="891"/>
      <c r="AF47" s="891"/>
      <c r="AG47" s="887"/>
      <c r="AH47" s="887"/>
      <c r="AI47" s="887"/>
      <c r="AJ47" s="881"/>
      <c r="AK47" s="882"/>
      <c r="AL47" s="882"/>
      <c r="AM47" s="882"/>
      <c r="AN47" s="882"/>
      <c r="AO47" s="883"/>
      <c r="AP47" s="876"/>
      <c r="AQ47" s="877"/>
      <c r="AR47" s="877"/>
      <c r="AS47" s="877"/>
      <c r="AT47" s="864"/>
      <c r="AU47" s="865"/>
      <c r="AV47" s="956"/>
      <c r="AW47" s="956"/>
      <c r="AX47" s="956"/>
      <c r="AY47" s="956"/>
      <c r="AZ47" s="956"/>
      <c r="BA47" s="956"/>
      <c r="BB47" s="872"/>
      <c r="BC47" s="873"/>
      <c r="BD47" s="873"/>
      <c r="BE47" s="873"/>
      <c r="BF47" s="873"/>
      <c r="BG47" s="873"/>
      <c r="BH47" s="873"/>
      <c r="BI47" s="873"/>
      <c r="BJ47" s="930"/>
      <c r="BK47" s="930"/>
      <c r="BL47" s="931"/>
      <c r="BM47" s="24"/>
      <c r="BN47" s="24"/>
      <c r="BO47" s="24"/>
      <c r="BP47" s="24"/>
      <c r="BQ47" s="24"/>
      <c r="BR47" s="24"/>
      <c r="BS47" s="24"/>
      <c r="BT47" s="24"/>
      <c r="BU47" s="24"/>
      <c r="BV47" s="24"/>
      <c r="BW47" s="24"/>
      <c r="BX47" s="24"/>
      <c r="BY47" s="24"/>
      <c r="BZ47" s="24"/>
      <c r="CA47" s="24"/>
      <c r="CB47" s="24"/>
      <c r="CC47" s="24"/>
      <c r="CD47" s="24"/>
      <c r="CE47" s="24"/>
      <c r="CF47" s="24"/>
      <c r="CG47" s="24"/>
      <c r="CH47" s="24"/>
      <c r="CI47" s="23"/>
      <c r="CJ47" s="23"/>
      <c r="CK47" s="23"/>
      <c r="CL47" s="23"/>
      <c r="CM47" s="23"/>
      <c r="CN47" s="23"/>
      <c r="CO47" s="23"/>
      <c r="CP47" s="23"/>
      <c r="CQ47" s="23"/>
      <c r="CR47" s="23"/>
      <c r="CS47" s="23"/>
      <c r="CT47" s="23"/>
      <c r="CU47" s="23"/>
      <c r="CV47" s="23"/>
      <c r="CW47" s="23"/>
      <c r="CX47" s="23"/>
      <c r="CY47" s="23"/>
      <c r="CZ47" s="23"/>
      <c r="DA47" s="23"/>
      <c r="DB47" s="23"/>
    </row>
    <row r="48" spans="1:106" ht="15" customHeight="1" x14ac:dyDescent="0.25">
      <c r="A48" s="23"/>
      <c r="B48" s="335"/>
      <c r="C48" s="336"/>
      <c r="D48" s="323" t="s">
        <v>783</v>
      </c>
      <c r="E48" s="326"/>
      <c r="F48" s="326"/>
      <c r="G48" s="326"/>
      <c r="H48" s="326"/>
      <c r="I48" s="326"/>
      <c r="J48" s="326"/>
      <c r="K48" s="326"/>
      <c r="L48" s="326"/>
      <c r="M48" s="204"/>
      <c r="N48" s="204"/>
      <c r="O48" s="204"/>
      <c r="P48" s="204"/>
      <c r="Q48" s="204"/>
      <c r="R48" s="204"/>
      <c r="S48" s="204"/>
      <c r="T48" s="204"/>
      <c r="U48" s="204"/>
      <c r="V48" s="204"/>
      <c r="W48" s="327" t="s">
        <v>688</v>
      </c>
      <c r="X48" s="328"/>
      <c r="Y48" s="329" t="s">
        <v>0</v>
      </c>
      <c r="Z48" s="24"/>
      <c r="AA48" s="836" t="s">
        <v>79</v>
      </c>
      <c r="AB48" s="847" t="str">
        <f>'Intermediate Data'!C218</f>
        <v>Desktop (non-portable computer)</v>
      </c>
      <c r="AC48" s="847"/>
      <c r="AD48" s="847"/>
      <c r="AE48" s="847"/>
      <c r="AF48" s="847"/>
      <c r="AG48" s="841">
        <f>INDEX('Price Point Data'!P:P,MATCH($AB48,'Price Point Data'!$A:$A,0))</f>
        <v>0.21782178217821782</v>
      </c>
      <c r="AH48" s="841"/>
      <c r="AI48" s="841"/>
      <c r="AJ48" s="884" t="str">
        <f>INDEX('Price Point Data'!O:O,MATCH($AB48,'Price Point Data'!$A:$A,0))</f>
        <v>Under $250 to $1000 or more</v>
      </c>
      <c r="AK48" s="885"/>
      <c r="AL48" s="885"/>
      <c r="AM48" s="885"/>
      <c r="AN48" s="885"/>
      <c r="AO48" s="886"/>
      <c r="AP48" s="868" t="str">
        <f>INDEX('Price Point Data'!I:I,MATCH($AB48,'Price Point Data'!$A:$A,0))</f>
        <v>No constraint</v>
      </c>
      <c r="AQ48" s="869"/>
      <c r="AR48" s="869"/>
      <c r="AS48" s="869"/>
      <c r="AT48" s="866" t="str">
        <f>IF(AP48="No constraint","",INDEX('Price Point Data'!J:J,MATCH($AB48,'Price Point Data'!$A:$A,0)))</f>
        <v/>
      </c>
      <c r="AU48" s="867"/>
      <c r="AV48" s="957">
        <v>0.75</v>
      </c>
      <c r="AW48" s="957"/>
      <c r="AX48" s="957"/>
      <c r="AY48" s="957"/>
      <c r="AZ48" s="957"/>
      <c r="BA48" s="957"/>
      <c r="BB48" s="917" t="str">
        <f>INDEX('Price Point Data'!L:L,MATCH($AB48,'Price Point Data'!$A:$A,0))</f>
        <v>$1000 or more</v>
      </c>
      <c r="BC48" s="918"/>
      <c r="BD48" s="918"/>
      <c r="BE48" s="918"/>
      <c r="BF48" s="918"/>
      <c r="BG48" s="918"/>
      <c r="BH48" s="918"/>
      <c r="BI48" s="918"/>
      <c r="BJ48" s="821">
        <f>IF(BB48="No constraint","",INDEX('Price Point Data'!M:M,MATCH($AB48,'Price Point Data'!$A:$A,0)))</f>
        <v>0</v>
      </c>
      <c r="BK48" s="821"/>
      <c r="BL48" s="937"/>
      <c r="BM48" s="24"/>
      <c r="BN48" s="24"/>
      <c r="BO48" s="24"/>
      <c r="BP48" s="24"/>
      <c r="BQ48" s="24"/>
      <c r="BR48" s="24"/>
      <c r="BS48" s="24"/>
      <c r="BT48" s="24"/>
      <c r="BU48" s="24"/>
      <c r="BV48" s="24"/>
      <c r="BW48" s="24"/>
      <c r="BX48" s="24"/>
      <c r="BY48" s="24"/>
      <c r="BZ48" s="24"/>
      <c r="CA48" s="24"/>
      <c r="CB48" s="24"/>
      <c r="CC48" s="24"/>
      <c r="CD48" s="24"/>
      <c r="CE48" s="24"/>
      <c r="CF48" s="24"/>
      <c r="CG48" s="24"/>
      <c r="CH48" s="24"/>
      <c r="CI48" s="23"/>
      <c r="CJ48" s="23"/>
      <c r="CK48" s="23"/>
      <c r="CL48" s="23"/>
      <c r="CM48" s="23"/>
      <c r="CN48" s="23"/>
      <c r="CO48" s="23"/>
      <c r="CP48" s="23"/>
      <c r="CQ48" s="23"/>
      <c r="CR48" s="23"/>
      <c r="CS48" s="23"/>
      <c r="CT48" s="23"/>
      <c r="CU48" s="23"/>
      <c r="CV48" s="23"/>
      <c r="CW48" s="23"/>
      <c r="CX48" s="23"/>
      <c r="CY48" s="23"/>
      <c r="CZ48" s="23"/>
      <c r="DA48" s="23"/>
      <c r="DB48" s="23"/>
    </row>
    <row r="49" spans="1:106" x14ac:dyDescent="0.25">
      <c r="A49" s="23"/>
      <c r="B49" s="272"/>
      <c r="C49" s="137" t="s">
        <v>213</v>
      </c>
      <c r="D49" s="307" t="str">
        <f>IF(INDEX(DATA!DT:DT,MATCH($P$32,DATA!$B:$B,0))="","",INDEX(DATA!DT:DT,MATCH($P$32,DATA!$B:$B,0)))</f>
        <v>N/A</v>
      </c>
      <c r="E49" s="308"/>
      <c r="F49" s="308"/>
      <c r="G49" s="308"/>
      <c r="H49" s="308"/>
      <c r="I49" s="308"/>
      <c r="J49" s="308"/>
      <c r="K49" s="308"/>
      <c r="L49" s="308"/>
      <c r="M49" s="309"/>
      <c r="N49" s="309"/>
      <c r="O49" s="309"/>
      <c r="P49" s="309"/>
      <c r="Q49" s="309"/>
      <c r="R49" s="309"/>
      <c r="S49" s="309"/>
      <c r="T49" s="309"/>
      <c r="U49" s="309"/>
      <c r="V49" s="839" t="str">
        <f>IF(D49="N/A","",INDEX(DATA!DS:DS,MATCH($P$32,DATA!$B:$B,0)))</f>
        <v/>
      </c>
      <c r="W49" s="839"/>
      <c r="X49" s="848" t="str">
        <f>IF(LEN(V49)&gt;0,HYPERLINK("#"&amp;ADDRESS(MATCH(INDEX('DATA SOURCE #s'!$DU:$DU,MATCH('Device View'!$P$32,'DATA SOURCE #s'!$B:$B,0)),'SOURCE Info'!$A:$A,0),1,1,1,"SOURCE Info"),INDEX('DATA SOURCE #s'!$DU:$DU,MATCH('Device View'!$P$32,'DATA SOURCE #s'!$B:$B,0))),"")</f>
        <v/>
      </c>
      <c r="Y49" s="849"/>
      <c r="Z49" s="24"/>
      <c r="AA49" s="837"/>
      <c r="AB49" s="844"/>
      <c r="AC49" s="844"/>
      <c r="AD49" s="844"/>
      <c r="AE49" s="844"/>
      <c r="AF49" s="844"/>
      <c r="AG49" s="842"/>
      <c r="AH49" s="842"/>
      <c r="AI49" s="842"/>
      <c r="AJ49" s="878"/>
      <c r="AK49" s="879"/>
      <c r="AL49" s="879"/>
      <c r="AM49" s="879"/>
      <c r="AN49" s="879"/>
      <c r="AO49" s="880"/>
      <c r="AP49" s="870"/>
      <c r="AQ49" s="871"/>
      <c r="AR49" s="871"/>
      <c r="AS49" s="871"/>
      <c r="AT49" s="821"/>
      <c r="AU49" s="822"/>
      <c r="AV49" s="958"/>
      <c r="AW49" s="958"/>
      <c r="AX49" s="958"/>
      <c r="AY49" s="958"/>
      <c r="AZ49" s="958"/>
      <c r="BA49" s="958"/>
      <c r="BB49" s="874"/>
      <c r="BC49" s="875"/>
      <c r="BD49" s="875"/>
      <c r="BE49" s="875"/>
      <c r="BF49" s="875"/>
      <c r="BG49" s="875"/>
      <c r="BH49" s="875"/>
      <c r="BI49" s="875"/>
      <c r="BJ49" s="897"/>
      <c r="BK49" s="897"/>
      <c r="BL49" s="929"/>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row>
    <row r="50" spans="1:106" ht="15" customHeight="1" x14ac:dyDescent="0.25">
      <c r="A50" s="23"/>
      <c r="B50" s="272"/>
      <c r="C50" s="137" t="s">
        <v>214</v>
      </c>
      <c r="D50" s="310" t="str">
        <f>IF(INDEX(DATA!ED:ED,MATCH($P$32,DATA!$B:$B,0))="","",INDEX(DATA!ED:ED,MATCH($P$32,DATA!$B:$B,0)))</f>
        <v>Title 20 Section 1605.3(v)2: Televisions</v>
      </c>
      <c r="E50" s="311"/>
      <c r="F50" s="311"/>
      <c r="G50" s="311"/>
      <c r="H50" s="311"/>
      <c r="I50" s="311"/>
      <c r="J50" s="311"/>
      <c r="K50" s="311"/>
      <c r="L50" s="311"/>
      <c r="M50" s="311"/>
      <c r="N50" s="311"/>
      <c r="O50" s="311"/>
      <c r="P50" s="311"/>
      <c r="Q50" s="311"/>
      <c r="R50" s="311"/>
      <c r="S50" s="311"/>
      <c r="T50" s="311"/>
      <c r="U50" s="311"/>
      <c r="V50" s="840">
        <f>IF(D50="N/A","",INDEX(DATA!EC:EC,MATCH($P$32,DATA!$B:$B,0)))</f>
        <v>41275</v>
      </c>
      <c r="W50" s="840"/>
      <c r="X50" s="850">
        <f>IF(LEN(V50)&gt;0,HYPERLINK("#"&amp;ADDRESS(MATCH(INDEX('DATA SOURCE #s'!$EE:$EE,MATCH('Device View'!$P$32,'DATA SOURCE #s'!$B:$B,0)),'SOURCE Info'!$A:$A,0),1,1,1,"SOURCE Info"),INDEX('DATA SOURCE #s'!$EE:$EE,MATCH('Device View'!$P$32,'DATA SOURCE #s'!$B:$B,0))),"")</f>
        <v>60104</v>
      </c>
      <c r="Y50" s="851"/>
      <c r="Z50" s="23"/>
      <c r="AA50" s="837"/>
      <c r="AB50" s="844" t="str">
        <f>'Intermediate Data'!C219</f>
        <v>Display</v>
      </c>
      <c r="AC50" s="844"/>
      <c r="AD50" s="844"/>
      <c r="AE50" s="844"/>
      <c r="AF50" s="844"/>
      <c r="AG50" s="842">
        <f>INDEX('Price Point Data'!P:P,MATCH($AB50,'Price Point Data'!$A:$A,0))</f>
        <v>0.49816849816849818</v>
      </c>
      <c r="AH50" s="842"/>
      <c r="AI50" s="842"/>
      <c r="AJ50" s="878" t="str">
        <f>INDEX('Price Point Data'!O:O,MATCH($AB50,'Price Point Data'!$A:$A,0))</f>
        <v>$50 to $750 or more</v>
      </c>
      <c r="AK50" s="879"/>
      <c r="AL50" s="879"/>
      <c r="AM50" s="879"/>
      <c r="AN50" s="879"/>
      <c r="AO50" s="880"/>
      <c r="AP50" s="870" t="str">
        <f>INDEX('Price Point Data'!I:I,MATCH($AB50,'Price Point Data'!$A:$A,0))</f>
        <v>No constraint</v>
      </c>
      <c r="AQ50" s="871"/>
      <c r="AR50" s="871"/>
      <c r="AS50" s="871"/>
      <c r="AT50" s="819" t="str">
        <f>IF(AP50="No constraint","",INDEX('Price Point Data'!J:J,MATCH($AB50,'Price Point Data'!$A:$A,0)))</f>
        <v/>
      </c>
      <c r="AU50" s="820"/>
      <c r="AV50" s="959"/>
      <c r="AW50" s="959"/>
      <c r="AX50" s="959"/>
      <c r="AY50" s="959"/>
      <c r="AZ50" s="959"/>
      <c r="BA50" s="959"/>
      <c r="BB50" s="870" t="str">
        <f>INDEX('Price Point Data'!L:L,MATCH($AB50,'Price Point Data'!$A:$A,0))</f>
        <v>No constraint</v>
      </c>
      <c r="BC50" s="871"/>
      <c r="BD50" s="871"/>
      <c r="BE50" s="871"/>
      <c r="BF50" s="871"/>
      <c r="BG50" s="871"/>
      <c r="BH50" s="871"/>
      <c r="BI50" s="871"/>
      <c r="BJ50" s="897" t="str">
        <f>IF(BB50="No constraint","",INDEX('Price Point Data'!M:M,MATCH($AB50,'Price Point Data'!$A:$A,0)))</f>
        <v/>
      </c>
      <c r="BK50" s="897"/>
      <c r="BL50" s="929"/>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row>
    <row r="51" spans="1:106" x14ac:dyDescent="0.25">
      <c r="A51" s="23"/>
      <c r="B51" s="272"/>
      <c r="C51" s="137" t="s">
        <v>215</v>
      </c>
      <c r="D51" s="312" t="str">
        <f>IF(INDEX(DATA!DY:DY,MATCH($P$32,DATA!$B:$B,0))="","",INDEX(DATA!DY:DY,MATCH($P$32,DATA!$B:$B,0)))</f>
        <v>Television Program Requirements Version 6.1</v>
      </c>
      <c r="E51" s="313"/>
      <c r="F51" s="313"/>
      <c r="G51" s="313"/>
      <c r="H51" s="313"/>
      <c r="I51" s="313"/>
      <c r="J51" s="313"/>
      <c r="K51" s="313"/>
      <c r="L51" s="313"/>
      <c r="M51" s="313"/>
      <c r="N51" s="313"/>
      <c r="O51" s="313"/>
      <c r="P51" s="313"/>
      <c r="Q51" s="313"/>
      <c r="R51" s="313"/>
      <c r="S51" s="313"/>
      <c r="T51" s="313"/>
      <c r="U51" s="313"/>
      <c r="V51" s="861">
        <f>IF(D51="N/A","",INDEX(DATA!DX:DX,MATCH($P$32,DATA!$B:$B,0)))</f>
        <v>41426</v>
      </c>
      <c r="W51" s="861"/>
      <c r="X51" s="852">
        <f>IF(LEN(V51)&gt;0,HYPERLINK("#"&amp;ADDRESS(MATCH(INDEX('DATA SOURCE #s'!$DZ:$DZ,MATCH('Device View'!$P$32,'DATA SOURCE #s'!$B:$B,0)),'SOURCE Info'!$A:$A,0),1,1,1,"SOURCE Info"),INDEX('DATA SOURCE #s'!$DZ:$DZ,MATCH('Device View'!$P$32,'DATA SOURCE #s'!$B:$B,0))),"")</f>
        <v>61401</v>
      </c>
      <c r="Y51" s="853"/>
      <c r="Z51" s="23"/>
      <c r="AA51" s="837"/>
      <c r="AB51" s="844"/>
      <c r="AC51" s="844"/>
      <c r="AD51" s="844"/>
      <c r="AE51" s="844"/>
      <c r="AF51" s="844"/>
      <c r="AG51" s="842"/>
      <c r="AH51" s="842"/>
      <c r="AI51" s="842"/>
      <c r="AJ51" s="878"/>
      <c r="AK51" s="879"/>
      <c r="AL51" s="879"/>
      <c r="AM51" s="879"/>
      <c r="AN51" s="879"/>
      <c r="AO51" s="880"/>
      <c r="AP51" s="870"/>
      <c r="AQ51" s="871"/>
      <c r="AR51" s="871"/>
      <c r="AS51" s="871"/>
      <c r="AT51" s="821"/>
      <c r="AU51" s="822"/>
      <c r="AV51" s="959"/>
      <c r="AW51" s="959"/>
      <c r="AX51" s="959"/>
      <c r="AY51" s="959"/>
      <c r="AZ51" s="959"/>
      <c r="BA51" s="959"/>
      <c r="BB51" s="870"/>
      <c r="BC51" s="871"/>
      <c r="BD51" s="871"/>
      <c r="BE51" s="871"/>
      <c r="BF51" s="871"/>
      <c r="BG51" s="871"/>
      <c r="BH51" s="871"/>
      <c r="BI51" s="871"/>
      <c r="BJ51" s="897"/>
      <c r="BK51" s="897"/>
      <c r="BL51" s="929"/>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row>
    <row r="52" spans="1:106" ht="15" customHeight="1" x14ac:dyDescent="0.25">
      <c r="A52" s="23"/>
      <c r="B52" s="272"/>
      <c r="C52" s="135"/>
      <c r="D52" s="323" t="s">
        <v>784</v>
      </c>
      <c r="E52" s="204"/>
      <c r="F52" s="204"/>
      <c r="G52" s="204"/>
      <c r="H52" s="204"/>
      <c r="I52" s="204"/>
      <c r="J52" s="204"/>
      <c r="K52" s="204"/>
      <c r="L52" s="204"/>
      <c r="M52" s="204"/>
      <c r="N52" s="204"/>
      <c r="O52" s="204"/>
      <c r="P52" s="204"/>
      <c r="Q52" s="204"/>
      <c r="R52" s="204"/>
      <c r="S52" s="204"/>
      <c r="T52" s="204"/>
      <c r="U52" s="204"/>
      <c r="V52" s="337"/>
      <c r="W52" s="338" t="s">
        <v>781</v>
      </c>
      <c r="X52" s="320"/>
      <c r="Y52" s="329" t="s">
        <v>0</v>
      </c>
      <c r="Z52" s="23"/>
      <c r="AA52" s="837"/>
      <c r="AB52" s="844" t="str">
        <f>'Intermediate Data'!C220</f>
        <v>Notebook (portable computer)</v>
      </c>
      <c r="AC52" s="844"/>
      <c r="AD52" s="844"/>
      <c r="AE52" s="844"/>
      <c r="AF52" s="844"/>
      <c r="AG52" s="842">
        <f>INDEX('Price Point Data'!P:P,MATCH($AB52,'Price Point Data'!$A:$A,0))</f>
        <v>0.43620178041543028</v>
      </c>
      <c r="AH52" s="842"/>
      <c r="AI52" s="842"/>
      <c r="AJ52" s="878" t="str">
        <f>INDEX('Price Point Data'!O:O,MATCH($AB52,'Price Point Data'!$A:$A,0))</f>
        <v>Under $250 to $1999</v>
      </c>
      <c r="AK52" s="879"/>
      <c r="AL52" s="879"/>
      <c r="AM52" s="879"/>
      <c r="AN52" s="879"/>
      <c r="AO52" s="880"/>
      <c r="AP52" s="870" t="str">
        <f>INDEX('Price Point Data'!I:I,MATCH($AB52,'Price Point Data'!$A:$A,0))</f>
        <v>No constraint</v>
      </c>
      <c r="AQ52" s="871"/>
      <c r="AR52" s="871"/>
      <c r="AS52" s="871"/>
      <c r="AT52" s="819" t="str">
        <f>IF(AP52="No constraint","",INDEX('Price Point Data'!J:J,MATCH($AB52,'Price Point Data'!$A:$A,0)))</f>
        <v/>
      </c>
      <c r="AU52" s="820"/>
      <c r="AV52" s="958">
        <v>0.65</v>
      </c>
      <c r="AW52" s="958"/>
      <c r="AX52" s="958"/>
      <c r="AY52" s="958"/>
      <c r="AZ52" s="958"/>
      <c r="BA52" s="958"/>
      <c r="BB52" s="874" t="str">
        <f>INDEX('Price Point Data'!L:L,MATCH($AB52,'Price Point Data'!$A:$A,0))</f>
        <v>$1500 - $1999</v>
      </c>
      <c r="BC52" s="875"/>
      <c r="BD52" s="875"/>
      <c r="BE52" s="875"/>
      <c r="BF52" s="875"/>
      <c r="BG52" s="875"/>
      <c r="BH52" s="875"/>
      <c r="BI52" s="875"/>
      <c r="BJ52" s="897">
        <f>IF(BB52="No constraint","",INDEX('Price Point Data'!M:M,MATCH($AB52,'Price Point Data'!$A:$A,0)))</f>
        <v>0.19230769230769232</v>
      </c>
      <c r="BK52" s="897"/>
      <c r="BL52" s="929"/>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row>
    <row r="53" spans="1:106" x14ac:dyDescent="0.25">
      <c r="A53" s="23"/>
      <c r="B53" s="272"/>
      <c r="C53" s="137" t="s">
        <v>213</v>
      </c>
      <c r="D53" s="281" t="str">
        <f>IF(INDEX(DATA!DW:DW,MATCH($P$32,DATA!$B:$B,0))="","",INDEX(DATA!DW:DW,MATCH($P$32,DATA!$B:$B,0)))</f>
        <v>N/A</v>
      </c>
      <c r="E53" s="314"/>
      <c r="F53" s="314"/>
      <c r="G53" s="314"/>
      <c r="H53" s="314"/>
      <c r="I53" s="314"/>
      <c r="J53" s="314"/>
      <c r="K53" s="314"/>
      <c r="L53" s="314"/>
      <c r="M53" s="314"/>
      <c r="N53" s="314"/>
      <c r="O53" s="314"/>
      <c r="P53" s="314"/>
      <c r="Q53" s="314"/>
      <c r="R53" s="314"/>
      <c r="S53" s="314"/>
      <c r="T53" s="314"/>
      <c r="U53" s="314"/>
      <c r="V53" s="862" t="str">
        <f>IF(D53="N/A","",INDEX(DATA!DV:DV,MATCH($P$32,DATA!$B:$B,0)))</f>
        <v/>
      </c>
      <c r="W53" s="862"/>
      <c r="X53" s="854" t="str">
        <f>IF(LEN(V53)&gt;0,HYPERLINK("#"&amp;ADDRESS(MATCH(INDEX('DATA SOURCE #s'!$DW:$DW,MATCH('Device View'!$P$32,'DATA SOURCE #s'!$B:$B,0)),'SOURCE Info'!$A:$A,0),1,1,1,"SOURCE Info"),INDEX('DATA SOURCE #s'!$DW:$DW,MATCH('Device View'!$P$32,'DATA SOURCE #s'!$B:$B,0))),"")</f>
        <v/>
      </c>
      <c r="Y53" s="855"/>
      <c r="Z53" s="23"/>
      <c r="AA53" s="837"/>
      <c r="AB53" s="844"/>
      <c r="AC53" s="844"/>
      <c r="AD53" s="844"/>
      <c r="AE53" s="844"/>
      <c r="AF53" s="844"/>
      <c r="AG53" s="842"/>
      <c r="AH53" s="842"/>
      <c r="AI53" s="842"/>
      <c r="AJ53" s="878"/>
      <c r="AK53" s="879"/>
      <c r="AL53" s="879"/>
      <c r="AM53" s="879"/>
      <c r="AN53" s="879"/>
      <c r="AO53" s="880"/>
      <c r="AP53" s="870"/>
      <c r="AQ53" s="871"/>
      <c r="AR53" s="871"/>
      <c r="AS53" s="871"/>
      <c r="AT53" s="821"/>
      <c r="AU53" s="822"/>
      <c r="AV53" s="958"/>
      <c r="AW53" s="958"/>
      <c r="AX53" s="958"/>
      <c r="AY53" s="958"/>
      <c r="AZ53" s="958"/>
      <c r="BA53" s="958"/>
      <c r="BB53" s="874"/>
      <c r="BC53" s="875"/>
      <c r="BD53" s="875"/>
      <c r="BE53" s="875"/>
      <c r="BF53" s="875"/>
      <c r="BG53" s="875"/>
      <c r="BH53" s="875"/>
      <c r="BI53" s="875"/>
      <c r="BJ53" s="897"/>
      <c r="BK53" s="897"/>
      <c r="BL53" s="929"/>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row>
    <row r="54" spans="1:106" ht="15" customHeight="1" x14ac:dyDescent="0.25">
      <c r="A54" s="23"/>
      <c r="B54" s="272"/>
      <c r="C54" s="137" t="s">
        <v>214</v>
      </c>
      <c r="D54" s="284" t="str">
        <f>IF(INDEX(DATA!EG:EG,MATCH($P$32,DATA!$B:$B,0))="","",INDEX(DATA!EG:EG,MATCH($P$32,DATA!$B:$B,0)))</f>
        <v>N/A</v>
      </c>
      <c r="E54" s="285"/>
      <c r="F54" s="285"/>
      <c r="G54" s="285"/>
      <c r="H54" s="285"/>
      <c r="I54" s="285"/>
      <c r="J54" s="285"/>
      <c r="K54" s="285"/>
      <c r="L54" s="285"/>
      <c r="M54" s="285"/>
      <c r="N54" s="285"/>
      <c r="O54" s="285"/>
      <c r="P54" s="285"/>
      <c r="Q54" s="285"/>
      <c r="R54" s="285"/>
      <c r="S54" s="285"/>
      <c r="T54" s="285"/>
      <c r="U54" s="285"/>
      <c r="V54" s="863" t="str">
        <f>IF(D54="N/A","",INDEX(DATA!EF:EF,MATCH($P$32,DATA!$B:$B,0)))</f>
        <v/>
      </c>
      <c r="W54" s="863"/>
      <c r="X54" s="854" t="str">
        <f>IF(LEN(V54)&gt;0,HYPERLINK("#"&amp;ADDRESS(MATCH(INDEX('DATA SOURCE #s'!$EG:$EG,MATCH('Device View'!$P$32,'DATA SOURCE #s'!$B:$B,0)),'SOURCE Info'!$A:$A,0),1,1,1,"SOURCE Info"),INDEX('DATA SOURCE #s'!$EG:$EG,MATCH('Device View'!$P$32,'DATA SOURCE #s'!$B:$B,0))),"")</f>
        <v/>
      </c>
      <c r="Y54" s="855"/>
      <c r="Z54" s="23"/>
      <c r="AA54" s="837"/>
      <c r="AB54" s="843" t="str">
        <f>'Intermediate Data'!C221</f>
        <v>Television</v>
      </c>
      <c r="AC54" s="844"/>
      <c r="AD54" s="844"/>
      <c r="AE54" s="844"/>
      <c r="AF54" s="844"/>
      <c r="AG54" s="842">
        <f>INDEX('Price Point Data'!P:P,MATCH($AB54,'Price Point Data'!$A:$A,0))</f>
        <v>0.57585139318885448</v>
      </c>
      <c r="AH54" s="842"/>
      <c r="AI54" s="842"/>
      <c r="AJ54" s="878" t="str">
        <f>INDEX('Price Point Data'!O:O,MATCH($AB54,'Price Point Data'!$A:$A,0))</f>
        <v>Under $200 to $3000 or more</v>
      </c>
      <c r="AK54" s="879"/>
      <c r="AL54" s="879"/>
      <c r="AM54" s="879"/>
      <c r="AN54" s="879"/>
      <c r="AO54" s="880"/>
      <c r="AP54" s="870" t="str">
        <f>INDEX('Price Point Data'!I:I,MATCH($AB54,'Price Point Data'!$A:$A,0))</f>
        <v>No constraint</v>
      </c>
      <c r="AQ54" s="871"/>
      <c r="AR54" s="871"/>
      <c r="AS54" s="871"/>
      <c r="AT54" s="819" t="str">
        <f>IF(AP54="No constraint","",INDEX('Price Point Data'!J:J,MATCH($AB54,'Price Point Data'!$A:$A,0)))</f>
        <v/>
      </c>
      <c r="AU54" s="820"/>
      <c r="AV54" s="959">
        <v>0.75</v>
      </c>
      <c r="AW54" s="959"/>
      <c r="AX54" s="959"/>
      <c r="AY54" s="959"/>
      <c r="AZ54" s="959"/>
      <c r="BA54" s="959"/>
      <c r="BB54" s="874" t="str">
        <f>INDEX('Price Point Data'!L:L,MATCH($AB54,'Price Point Data'!$A:$A,0))</f>
        <v>$2500 or more</v>
      </c>
      <c r="BC54" s="875"/>
      <c r="BD54" s="875"/>
      <c r="BE54" s="875"/>
      <c r="BF54" s="875"/>
      <c r="BG54" s="875"/>
      <c r="BH54" s="875"/>
      <c r="BI54" s="875"/>
      <c r="BJ54" s="897">
        <f>IF(BB54="No constraint","",INDEX('Price Point Data'!M:M,MATCH($AB54,'Price Point Data'!$A:$A,0)))</f>
        <v>0.24390243902439024</v>
      </c>
      <c r="BK54" s="897"/>
      <c r="BL54" s="929"/>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row>
    <row r="55" spans="1:106" x14ac:dyDescent="0.25">
      <c r="A55" s="23"/>
      <c r="B55" s="278"/>
      <c r="C55" s="279" t="s">
        <v>215</v>
      </c>
      <c r="D55" s="315" t="str">
        <f>IF(INDEX(DATA!EB:EB,MATCH($P$32,DATA!$B:$B,0))="","",INDEX(DATA!EB:EB,MATCH($P$32,DATA!$B:$B,0)))</f>
        <v>Television Program Requirements Version 7.0</v>
      </c>
      <c r="E55" s="316"/>
      <c r="F55" s="316"/>
      <c r="G55" s="316"/>
      <c r="H55" s="316"/>
      <c r="I55" s="316"/>
      <c r="J55" s="316"/>
      <c r="K55" s="316"/>
      <c r="L55" s="316"/>
      <c r="M55" s="316"/>
      <c r="N55" s="316"/>
      <c r="O55" s="316"/>
      <c r="P55" s="316"/>
      <c r="Q55" s="316"/>
      <c r="R55" s="316"/>
      <c r="S55" s="316"/>
      <c r="T55" s="316"/>
      <c r="U55" s="316"/>
      <c r="V55" s="835">
        <f>IF(D55="N/A","",INDEX(DATA!EA:EA,MATCH($P$32,DATA!$B:$B,0)))</f>
        <v>42186</v>
      </c>
      <c r="W55" s="835"/>
      <c r="X55" s="856">
        <f>IF(LEN(V55)&gt;0,HYPERLINK("#"&amp;ADDRESS(MATCH(INDEX('DATA SOURCE #s'!$EC:$EC,MATCH('Device View'!$P$32,'DATA SOURCE #s'!$B:$B,0)),'SOURCE Info'!$A:$A,0),1,1,1,"SOURCE Info"),INDEX('DATA SOURCE #s'!$EC:$EC,MATCH('Device View'!$P$32,'DATA SOURCE #s'!$B:$B,0))),"")</f>
        <v>61402</v>
      </c>
      <c r="Y55" s="857"/>
      <c r="Z55" s="23"/>
      <c r="AA55" s="838"/>
      <c r="AB55" s="845"/>
      <c r="AC55" s="846"/>
      <c r="AD55" s="846"/>
      <c r="AE55" s="846"/>
      <c r="AF55" s="846"/>
      <c r="AG55" s="887"/>
      <c r="AH55" s="887"/>
      <c r="AI55" s="887"/>
      <c r="AJ55" s="881"/>
      <c r="AK55" s="882"/>
      <c r="AL55" s="882"/>
      <c r="AM55" s="882"/>
      <c r="AN55" s="882"/>
      <c r="AO55" s="883"/>
      <c r="AP55" s="872"/>
      <c r="AQ55" s="873"/>
      <c r="AR55" s="873"/>
      <c r="AS55" s="873"/>
      <c r="AT55" s="864"/>
      <c r="AU55" s="865"/>
      <c r="AV55" s="960"/>
      <c r="AW55" s="960"/>
      <c r="AX55" s="960"/>
      <c r="AY55" s="960"/>
      <c r="AZ55" s="960"/>
      <c r="BA55" s="960"/>
      <c r="BB55" s="876"/>
      <c r="BC55" s="877"/>
      <c r="BD55" s="877"/>
      <c r="BE55" s="877"/>
      <c r="BF55" s="877"/>
      <c r="BG55" s="877"/>
      <c r="BH55" s="877"/>
      <c r="BI55" s="877"/>
      <c r="BJ55" s="930"/>
      <c r="BK55" s="930"/>
      <c r="BL55" s="931"/>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row>
    <row r="56" spans="1:106"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row>
    <row r="57" spans="1:106" hidden="1"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row>
    <row r="58" spans="1:106" hidden="1"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row>
    <row r="59" spans="1:106" hidden="1" x14ac:dyDescent="0.25">
      <c r="A59" s="23"/>
      <c r="B59" s="23"/>
      <c r="C59" s="23"/>
      <c r="D59" s="23"/>
      <c r="E59" s="23"/>
      <c r="F59" s="23"/>
      <c r="G59" s="23" t="s">
        <v>777</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row>
    <row r="60" spans="1:106" hidden="1"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row>
    <row r="61" spans="1:106" hidden="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row>
    <row r="62" spans="1:106" hidden="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row>
    <row r="63" spans="1:106" hidden="1"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row>
    <row r="64" spans="1:106" hidden="1"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row>
    <row r="65" spans="1:93" hidden="1"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row>
    <row r="66" spans="1:93" hidden="1"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row>
    <row r="67" spans="1:93" hidden="1"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row>
    <row r="68" spans="1:93" hidden="1"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row>
    <row r="69" spans="1:93" hidden="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row>
    <row r="70" spans="1:93" hidden="1"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row>
  </sheetData>
  <sheetProtection algorithmName="SHA-512" hashValue="Pok48EO33AOG1KIF1VvTrE10SVqbQGoCbLDVGCi+quimb/RsffBJ7OR5ttpf/RTJwvOYpAm17AmIB65SNKHeMw==" saltValue="WJCHeSs8pW603ehhsaTziQ==" spinCount="100000" sheet="1" objects="1" scenarios="1"/>
  <mergeCells count="449">
    <mergeCell ref="X10:Y10"/>
    <mergeCell ref="BO5:BZ5"/>
    <mergeCell ref="Q5:Y5"/>
    <mergeCell ref="BA5:BM5"/>
    <mergeCell ref="AK10:AL10"/>
    <mergeCell ref="AJ9:AL9"/>
    <mergeCell ref="AA5:AY5"/>
    <mergeCell ref="AE8:AT8"/>
    <mergeCell ref="BO30:BQ30"/>
    <mergeCell ref="BR30:BT30"/>
    <mergeCell ref="BU30:BW30"/>
    <mergeCell ref="BX30:BZ30"/>
    <mergeCell ref="BO8:BT8"/>
    <mergeCell ref="BU8:BZ8"/>
    <mergeCell ref="BO9:BQ9"/>
    <mergeCell ref="BR9:BT9"/>
    <mergeCell ref="BU9:BW9"/>
    <mergeCell ref="BX9:BZ9"/>
    <mergeCell ref="BO27:BQ27"/>
    <mergeCell ref="BR27:BT27"/>
    <mergeCell ref="BU27:BW27"/>
    <mergeCell ref="BX27:BZ27"/>
    <mergeCell ref="BO28:BQ28"/>
    <mergeCell ref="BR28:BT28"/>
    <mergeCell ref="BO29:BQ29"/>
    <mergeCell ref="BR29:BT29"/>
    <mergeCell ref="BU29:BW29"/>
    <mergeCell ref="BX29:BZ29"/>
    <mergeCell ref="BO24:BQ24"/>
    <mergeCell ref="BR24:BT24"/>
    <mergeCell ref="BU24:BW24"/>
    <mergeCell ref="BX24:BZ24"/>
    <mergeCell ref="BO25:BQ25"/>
    <mergeCell ref="BR25:BT25"/>
    <mergeCell ref="BU25:BW25"/>
    <mergeCell ref="BX25:BZ25"/>
    <mergeCell ref="BO26:BQ26"/>
    <mergeCell ref="BR26:BT26"/>
    <mergeCell ref="BU26:BW26"/>
    <mergeCell ref="BX26:BZ26"/>
    <mergeCell ref="BO22:BQ22"/>
    <mergeCell ref="BR22:BT22"/>
    <mergeCell ref="BU22:BW22"/>
    <mergeCell ref="BX22:BZ22"/>
    <mergeCell ref="BO23:BQ23"/>
    <mergeCell ref="BR23:BT23"/>
    <mergeCell ref="BU23:BW23"/>
    <mergeCell ref="BX23:BZ23"/>
    <mergeCell ref="BX28:BZ28"/>
    <mergeCell ref="BU28:BW28"/>
    <mergeCell ref="BO19:BQ19"/>
    <mergeCell ref="BR19:BT19"/>
    <mergeCell ref="BU19:BW19"/>
    <mergeCell ref="BX19:BZ19"/>
    <mergeCell ref="BO20:BQ20"/>
    <mergeCell ref="BR20:BT20"/>
    <mergeCell ref="BU20:BW20"/>
    <mergeCell ref="BX20:BZ20"/>
    <mergeCell ref="BO21:BQ21"/>
    <mergeCell ref="BR21:BT21"/>
    <mergeCell ref="BU21:BW21"/>
    <mergeCell ref="BX21:BZ21"/>
    <mergeCell ref="BR16:BT16"/>
    <mergeCell ref="BU16:BW16"/>
    <mergeCell ref="BX16:BZ16"/>
    <mergeCell ref="BO17:BQ17"/>
    <mergeCell ref="BR17:BT17"/>
    <mergeCell ref="BU17:BW17"/>
    <mergeCell ref="BX17:BZ17"/>
    <mergeCell ref="BO18:BQ18"/>
    <mergeCell ref="BR18:BT18"/>
    <mergeCell ref="BU18:BW18"/>
    <mergeCell ref="BX18:BZ18"/>
    <mergeCell ref="Q29:T29"/>
    <mergeCell ref="Q30:T30"/>
    <mergeCell ref="BO11:BQ11"/>
    <mergeCell ref="BR11:BT11"/>
    <mergeCell ref="BU11:BW11"/>
    <mergeCell ref="BX11:BZ11"/>
    <mergeCell ref="BO12:BQ12"/>
    <mergeCell ref="BR12:BT12"/>
    <mergeCell ref="BU12:BW12"/>
    <mergeCell ref="BX12:BZ12"/>
    <mergeCell ref="BO13:BQ13"/>
    <mergeCell ref="BR13:BT13"/>
    <mergeCell ref="BU13:BW13"/>
    <mergeCell ref="BX13:BZ13"/>
    <mergeCell ref="BO14:BQ14"/>
    <mergeCell ref="BR14:BT14"/>
    <mergeCell ref="BU14:BW14"/>
    <mergeCell ref="BX14:BZ14"/>
    <mergeCell ref="BO15:BQ15"/>
    <mergeCell ref="BR15:BT15"/>
    <mergeCell ref="BU15:BW15"/>
    <mergeCell ref="Q18:T18"/>
    <mergeCell ref="BX15:BZ15"/>
    <mergeCell ref="BO16:BQ16"/>
    <mergeCell ref="Q19:T19"/>
    <mergeCell ref="Q20:T20"/>
    <mergeCell ref="Q21:T21"/>
    <mergeCell ref="Q22:T22"/>
    <mergeCell ref="Q23:T23"/>
    <mergeCell ref="Q24:T24"/>
    <mergeCell ref="Q25:T25"/>
    <mergeCell ref="Q26:T26"/>
    <mergeCell ref="AM28:AO28"/>
    <mergeCell ref="V27:X27"/>
    <mergeCell ref="V28:X28"/>
    <mergeCell ref="Q27:T27"/>
    <mergeCell ref="Q28:T28"/>
    <mergeCell ref="AM21:AO21"/>
    <mergeCell ref="AM19:AO19"/>
    <mergeCell ref="AM22:AO22"/>
    <mergeCell ref="AM20:AO20"/>
    <mergeCell ref="AM26:AO26"/>
    <mergeCell ref="AM27:AO27"/>
    <mergeCell ref="AA25:AC25"/>
    <mergeCell ref="AA26:AC26"/>
    <mergeCell ref="AA27:AC27"/>
    <mergeCell ref="AJ28:AL28"/>
    <mergeCell ref="AJ24:AL24"/>
    <mergeCell ref="AV46:BA47"/>
    <mergeCell ref="AV48:BA49"/>
    <mergeCell ref="AV50:BA51"/>
    <mergeCell ref="AV52:BA53"/>
    <mergeCell ref="AV54:BA55"/>
    <mergeCell ref="F36:H36"/>
    <mergeCell ref="Q34:U34"/>
    <mergeCell ref="V38:W38"/>
    <mergeCell ref="V40:W40"/>
    <mergeCell ref="V42:W42"/>
    <mergeCell ref="X42:Y42"/>
    <mergeCell ref="B44:K46"/>
    <mergeCell ref="G43:K43"/>
    <mergeCell ref="G42:H42"/>
    <mergeCell ref="V44:W44"/>
    <mergeCell ref="X43:Y43"/>
    <mergeCell ref="B37:K38"/>
    <mergeCell ref="V43:W43"/>
    <mergeCell ref="AB44:AF45"/>
    <mergeCell ref="AB42:AF43"/>
    <mergeCell ref="G40:H40"/>
    <mergeCell ref="V36:W37"/>
    <mergeCell ref="G35:H35"/>
    <mergeCell ref="G34:H34"/>
    <mergeCell ref="AE9:AI9"/>
    <mergeCell ref="AJ18:AL18"/>
    <mergeCell ref="AJ42:AO43"/>
    <mergeCell ref="AJ21:AL21"/>
    <mergeCell ref="AJ22:AL22"/>
    <mergeCell ref="AH16:AI16"/>
    <mergeCell ref="AJ14:AL14"/>
    <mergeCell ref="AP17:AR17"/>
    <mergeCell ref="AE25:AG25"/>
    <mergeCell ref="AE26:AG26"/>
    <mergeCell ref="AJ19:AL19"/>
    <mergeCell ref="AJ20:AL20"/>
    <mergeCell ref="AE28:AG28"/>
    <mergeCell ref="AH28:AI28"/>
    <mergeCell ref="AH23:AI23"/>
    <mergeCell ref="AH24:AI24"/>
    <mergeCell ref="AE19:AG19"/>
    <mergeCell ref="AP30:AR30"/>
    <mergeCell ref="AJ31:AL31"/>
    <mergeCell ref="AB38:AF39"/>
    <mergeCell ref="AE13:AG13"/>
    <mergeCell ref="AH12:AI12"/>
    <mergeCell ref="AJ11:AL11"/>
    <mergeCell ref="AA12:AC12"/>
    <mergeCell ref="AA13:AC13"/>
    <mergeCell ref="AA14:AC14"/>
    <mergeCell ref="AA15:AC15"/>
    <mergeCell ref="AA16:AC16"/>
    <mergeCell ref="AG40:AI41"/>
    <mergeCell ref="AP42:AS43"/>
    <mergeCell ref="AJ44:AO45"/>
    <mergeCell ref="AP44:AS45"/>
    <mergeCell ref="AG42:AI43"/>
    <mergeCell ref="AG44:AI45"/>
    <mergeCell ref="AH26:AI26"/>
    <mergeCell ref="AH17:AI17"/>
    <mergeCell ref="AB40:AF41"/>
    <mergeCell ref="AH25:AI25"/>
    <mergeCell ref="AH15:AI15"/>
    <mergeCell ref="AJ33:AO35"/>
    <mergeCell ref="AJ38:AO39"/>
    <mergeCell ref="AP28:AR28"/>
    <mergeCell ref="AJ29:AL29"/>
    <mergeCell ref="AM29:AO29"/>
    <mergeCell ref="AP29:AR29"/>
    <mergeCell ref="AB36:AF37"/>
    <mergeCell ref="AS30:AT30"/>
    <mergeCell ref="AP33:AU34"/>
    <mergeCell ref="BB52:BI53"/>
    <mergeCell ref="BB54:BI55"/>
    <mergeCell ref="BB33:BL34"/>
    <mergeCell ref="BJ52:BL53"/>
    <mergeCell ref="BJ54:BL55"/>
    <mergeCell ref="BJ36:BL37"/>
    <mergeCell ref="BJ38:BL39"/>
    <mergeCell ref="BJ40:BL41"/>
    <mergeCell ref="BJ42:BL43"/>
    <mergeCell ref="BJ44:BL45"/>
    <mergeCell ref="BJ46:BL47"/>
    <mergeCell ref="BJ48:BL49"/>
    <mergeCell ref="BJ50:BL51"/>
    <mergeCell ref="BB36:BI37"/>
    <mergeCell ref="BB38:BI39"/>
    <mergeCell ref="BB40:BI41"/>
    <mergeCell ref="BB42:BI43"/>
    <mergeCell ref="BB44:BI45"/>
    <mergeCell ref="BB46:BI47"/>
    <mergeCell ref="BB48:BI49"/>
    <mergeCell ref="BB50:BI51"/>
    <mergeCell ref="B1:K2"/>
    <mergeCell ref="AV14:AY14"/>
    <mergeCell ref="AV15:AY15"/>
    <mergeCell ref="AV16:AY16"/>
    <mergeCell ref="AV17:AY17"/>
    <mergeCell ref="AV18:AY18"/>
    <mergeCell ref="AM11:AO11"/>
    <mergeCell ref="AM12:AO12"/>
    <mergeCell ref="AM13:AO13"/>
    <mergeCell ref="AM14:AO14"/>
    <mergeCell ref="AM15:AO15"/>
    <mergeCell ref="AM16:AO16"/>
    <mergeCell ref="AM17:AO17"/>
    <mergeCell ref="AM18:AO18"/>
    <mergeCell ref="AM9:AR9"/>
    <mergeCell ref="AP11:AR11"/>
    <mergeCell ref="AP12:AR12"/>
    <mergeCell ref="AP13:AR13"/>
    <mergeCell ref="AJ15:AL15"/>
    <mergeCell ref="AJ16:AL16"/>
    <mergeCell ref="AJ17:AL17"/>
    <mergeCell ref="AA11:AC11"/>
    <mergeCell ref="AH13:AI13"/>
    <mergeCell ref="AH18:AI18"/>
    <mergeCell ref="W31:Y31"/>
    <mergeCell ref="AE20:AG20"/>
    <mergeCell ref="AE21:AG21"/>
    <mergeCell ref="AE22:AG22"/>
    <mergeCell ref="AH19:AI19"/>
    <mergeCell ref="AH20:AI20"/>
    <mergeCell ref="AH21:AI21"/>
    <mergeCell ref="AH27:AI27"/>
    <mergeCell ref="AE30:AG30"/>
    <mergeCell ref="AG31:AI31"/>
    <mergeCell ref="AE29:AG29"/>
    <mergeCell ref="AH29:AI29"/>
    <mergeCell ref="AA30:AC30"/>
    <mergeCell ref="AA28:AC28"/>
    <mergeCell ref="AB31:AD31"/>
    <mergeCell ref="AH22:AI22"/>
    <mergeCell ref="AE23:AG23"/>
    <mergeCell ref="AE24:AG24"/>
    <mergeCell ref="AA19:AC19"/>
    <mergeCell ref="AA20:AC20"/>
    <mergeCell ref="AA21:AC21"/>
    <mergeCell ref="AA22:AC22"/>
    <mergeCell ref="AA24:AC24"/>
    <mergeCell ref="G41:H41"/>
    <mergeCell ref="AA17:AC17"/>
    <mergeCell ref="AA18:AC18"/>
    <mergeCell ref="AE18:AG18"/>
    <mergeCell ref="V41:W41"/>
    <mergeCell ref="X41:Y41"/>
    <mergeCell ref="AA29:AC29"/>
    <mergeCell ref="AP14:AR14"/>
    <mergeCell ref="AE11:AG11"/>
    <mergeCell ref="AE12:AG12"/>
    <mergeCell ref="AH11:AI11"/>
    <mergeCell ref="AP23:AR23"/>
    <mergeCell ref="AP24:AR24"/>
    <mergeCell ref="AP25:AR25"/>
    <mergeCell ref="AP26:AR26"/>
    <mergeCell ref="AP27:AR27"/>
    <mergeCell ref="AP19:AR19"/>
    <mergeCell ref="AP21:AR21"/>
    <mergeCell ref="AP22:AR22"/>
    <mergeCell ref="AE14:AG14"/>
    <mergeCell ref="AE15:AG15"/>
    <mergeCell ref="AE16:AG16"/>
    <mergeCell ref="AE17:AG17"/>
    <mergeCell ref="AP15:AR15"/>
    <mergeCell ref="BA7:BB7"/>
    <mergeCell ref="AV12:AY12"/>
    <mergeCell ref="AV13:AY13"/>
    <mergeCell ref="AS13:AT13"/>
    <mergeCell ref="AS14:AT14"/>
    <mergeCell ref="AS15:AT15"/>
    <mergeCell ref="AS16:AT16"/>
    <mergeCell ref="AS17:AT17"/>
    <mergeCell ref="AV26:AY26"/>
    <mergeCell ref="AS19:AT19"/>
    <mergeCell ref="AS20:AT20"/>
    <mergeCell ref="AS21:AT21"/>
    <mergeCell ref="AS22:AT22"/>
    <mergeCell ref="AS23:AT23"/>
    <mergeCell ref="AS24:AT24"/>
    <mergeCell ref="AS25:AT25"/>
    <mergeCell ref="AV23:AY23"/>
    <mergeCell ref="AV24:AY24"/>
    <mergeCell ref="AV19:AY19"/>
    <mergeCell ref="AX10:AY10"/>
    <mergeCell ref="AV11:AY11"/>
    <mergeCell ref="AS11:AT11"/>
    <mergeCell ref="AV42:BA43"/>
    <mergeCell ref="AT42:AU43"/>
    <mergeCell ref="AV22:AY22"/>
    <mergeCell ref="AE27:AG27"/>
    <mergeCell ref="AV20:AY20"/>
    <mergeCell ref="AS18:AT18"/>
    <mergeCell ref="AS12:AT12"/>
    <mergeCell ref="AJ25:AL25"/>
    <mergeCell ref="AJ26:AL26"/>
    <mergeCell ref="AJ27:AL27"/>
    <mergeCell ref="AM23:AO23"/>
    <mergeCell ref="AM24:AO24"/>
    <mergeCell ref="AM25:AO25"/>
    <mergeCell ref="AV30:AY30"/>
    <mergeCell ref="AF33:AI35"/>
    <mergeCell ref="AT38:AU39"/>
    <mergeCell ref="AP36:AS37"/>
    <mergeCell ref="AP38:AS39"/>
    <mergeCell ref="AP40:AS41"/>
    <mergeCell ref="AS27:AT27"/>
    <mergeCell ref="AP16:AR16"/>
    <mergeCell ref="AH14:AI14"/>
    <mergeCell ref="AJ12:AL12"/>
    <mergeCell ref="AJ13:AL13"/>
    <mergeCell ref="AJ36:AO37"/>
    <mergeCell ref="AT40:AU41"/>
    <mergeCell ref="AT36:AU37"/>
    <mergeCell ref="AJ23:AL23"/>
    <mergeCell ref="AP18:AR18"/>
    <mergeCell ref="AP20:AR20"/>
    <mergeCell ref="AV25:AY25"/>
    <mergeCell ref="AV21:AY21"/>
    <mergeCell ref="AS26:AT26"/>
    <mergeCell ref="AV27:AY27"/>
    <mergeCell ref="AJ30:AL30"/>
    <mergeCell ref="AJ40:AO41"/>
    <mergeCell ref="AS28:AT28"/>
    <mergeCell ref="AV28:AY28"/>
    <mergeCell ref="AS29:AT29"/>
    <mergeCell ref="AV29:AY29"/>
    <mergeCell ref="AV33:BA34"/>
    <mergeCell ref="AJ54:AO55"/>
    <mergeCell ref="AJ46:AO47"/>
    <mergeCell ref="AJ48:AO49"/>
    <mergeCell ref="AJ50:AO51"/>
    <mergeCell ref="AJ52:AO53"/>
    <mergeCell ref="AG46:AI47"/>
    <mergeCell ref="AG52:AI53"/>
    <mergeCell ref="AG54:AI55"/>
    <mergeCell ref="AB46:AF47"/>
    <mergeCell ref="AT46:AU47"/>
    <mergeCell ref="AT48:AU49"/>
    <mergeCell ref="AT50:AU51"/>
    <mergeCell ref="AT52:AU53"/>
    <mergeCell ref="AT54:AU55"/>
    <mergeCell ref="AP48:AS49"/>
    <mergeCell ref="AP50:AS51"/>
    <mergeCell ref="AP52:AS53"/>
    <mergeCell ref="AP54:AS55"/>
    <mergeCell ref="AP46:AS47"/>
    <mergeCell ref="V55:W55"/>
    <mergeCell ref="AA36:AA47"/>
    <mergeCell ref="V49:W49"/>
    <mergeCell ref="V50:W50"/>
    <mergeCell ref="AG36:AI37"/>
    <mergeCell ref="AG38:AI39"/>
    <mergeCell ref="AB54:AF55"/>
    <mergeCell ref="AB52:AF53"/>
    <mergeCell ref="AB50:AF51"/>
    <mergeCell ref="AB48:AF49"/>
    <mergeCell ref="X49:Y49"/>
    <mergeCell ref="X50:Y50"/>
    <mergeCell ref="X51:Y51"/>
    <mergeCell ref="X53:Y53"/>
    <mergeCell ref="X54:Y54"/>
    <mergeCell ref="X55:Y55"/>
    <mergeCell ref="V39:W39"/>
    <mergeCell ref="X44:Y44"/>
    <mergeCell ref="AG48:AI49"/>
    <mergeCell ref="AG50:AI51"/>
    <mergeCell ref="V51:W51"/>
    <mergeCell ref="V53:W53"/>
    <mergeCell ref="V54:W54"/>
    <mergeCell ref="AA48:AA55"/>
    <mergeCell ref="BL11:BM11"/>
    <mergeCell ref="BL12:BM12"/>
    <mergeCell ref="BL13:BM13"/>
    <mergeCell ref="BL14:BM14"/>
    <mergeCell ref="BL15:BM15"/>
    <mergeCell ref="BL16:BM16"/>
    <mergeCell ref="BL17:BM17"/>
    <mergeCell ref="BL18:BM18"/>
    <mergeCell ref="BL19:BM19"/>
    <mergeCell ref="BL20:BM20"/>
    <mergeCell ref="BL21:BM21"/>
    <mergeCell ref="BL22:BM22"/>
    <mergeCell ref="BL23:BM23"/>
    <mergeCell ref="BL24:BM24"/>
    <mergeCell ref="BL25:BM25"/>
    <mergeCell ref="BL26:BM26"/>
    <mergeCell ref="BL27:BM27"/>
    <mergeCell ref="BL30:BM30"/>
    <mergeCell ref="BL28:BM28"/>
    <mergeCell ref="BL29:BM29"/>
    <mergeCell ref="Q11:T11"/>
    <mergeCell ref="Q12:T12"/>
    <mergeCell ref="Q13:T13"/>
    <mergeCell ref="Q14:T14"/>
    <mergeCell ref="Q15:T15"/>
    <mergeCell ref="Q16:T16"/>
    <mergeCell ref="Q17:T17"/>
    <mergeCell ref="V11:X11"/>
    <mergeCell ref="V12:X12"/>
    <mergeCell ref="V13:X13"/>
    <mergeCell ref="V14:X14"/>
    <mergeCell ref="V15:X15"/>
    <mergeCell ref="V16:X16"/>
    <mergeCell ref="V17:X17"/>
    <mergeCell ref="M43:O44"/>
    <mergeCell ref="AV44:BA45"/>
    <mergeCell ref="AT44:AU45"/>
    <mergeCell ref="Q42:U42"/>
    <mergeCell ref="Q43:U43"/>
    <mergeCell ref="Q44:U44"/>
    <mergeCell ref="V18:X18"/>
    <mergeCell ref="V19:X19"/>
    <mergeCell ref="V20:X20"/>
    <mergeCell ref="V21:X21"/>
    <mergeCell ref="V22:X22"/>
    <mergeCell ref="V23:X23"/>
    <mergeCell ref="V24:X24"/>
    <mergeCell ref="V25:X25"/>
    <mergeCell ref="V26:X26"/>
    <mergeCell ref="V30:X30"/>
    <mergeCell ref="AH30:AI30"/>
    <mergeCell ref="AM30:AO30"/>
    <mergeCell ref="V29:X29"/>
    <mergeCell ref="M45:Y46"/>
    <mergeCell ref="AV40:BA41"/>
    <mergeCell ref="AV36:BA37"/>
    <mergeCell ref="AV38:BA39"/>
    <mergeCell ref="AA23:AC23"/>
  </mergeCells>
  <conditionalFormatting sqref="AV36:AZ45 AV46">
    <cfRule type="dataBar" priority="104">
      <dataBar>
        <cfvo type="num" val="0"/>
        <cfvo type="num" val="5"/>
        <color theme="0" tint="-0.249977111117893"/>
      </dataBar>
      <extLst>
        <ext xmlns:x14="http://schemas.microsoft.com/office/spreadsheetml/2009/9/main" uri="{B025F937-C7B1-47D3-B67F-A62EFF666E3E}">
          <x14:id>{7A0DDB77-8B6C-418E-8FF0-FCE21C0B30A1}</x14:id>
        </ext>
      </extLst>
    </cfRule>
  </conditionalFormatting>
  <conditionalFormatting sqref="AV48:AZ55">
    <cfRule type="dataBar" priority="103">
      <dataBar>
        <cfvo type="num" val="0"/>
        <cfvo type="num" val="4"/>
        <color theme="0" tint="-0.249977111117893"/>
      </dataBar>
      <extLst>
        <ext xmlns:x14="http://schemas.microsoft.com/office/spreadsheetml/2009/9/main" uri="{B025F937-C7B1-47D3-B67F-A62EFF666E3E}">
          <x14:id>{ACA5BF12-DD8C-4ACC-BC73-093E363FD4BF}</x14:id>
        </ext>
      </extLst>
    </cfRule>
  </conditionalFormatting>
  <conditionalFormatting sqref="AV11:AY27">
    <cfRule type="dataBar" priority="101">
      <dataBar>
        <cfvo type="num" val="-0.35"/>
        <cfvo type="num" val="1"/>
        <color rgb="FF638EC6"/>
      </dataBar>
      <extLst>
        <ext xmlns:x14="http://schemas.microsoft.com/office/spreadsheetml/2009/9/main" uri="{B025F937-C7B1-47D3-B67F-A62EFF666E3E}">
          <x14:id>{DABAA578-6CE8-4A32-A37D-04F7F30412A8}</x14:id>
        </ext>
      </extLst>
    </cfRule>
  </conditionalFormatting>
  <conditionalFormatting sqref="AV28:AY28">
    <cfRule type="dataBar" priority="48">
      <dataBar>
        <cfvo type="num" val="-0.35"/>
        <cfvo type="num" val="1"/>
        <color rgb="FF638EC6"/>
      </dataBar>
      <extLst>
        <ext xmlns:x14="http://schemas.microsoft.com/office/spreadsheetml/2009/9/main" uri="{B025F937-C7B1-47D3-B67F-A62EFF666E3E}">
          <x14:id>{EA725EFE-11FE-4441-B297-81C553A46298}</x14:id>
        </ext>
      </extLst>
    </cfRule>
  </conditionalFormatting>
  <conditionalFormatting sqref="AV29:AY29">
    <cfRule type="dataBar" priority="36">
      <dataBar>
        <cfvo type="num" val="-0.35"/>
        <cfvo type="num" val="1"/>
        <color rgb="FF638EC6"/>
      </dataBar>
      <extLst>
        <ext xmlns:x14="http://schemas.microsoft.com/office/spreadsheetml/2009/9/main" uri="{B025F937-C7B1-47D3-B67F-A62EFF666E3E}">
          <x14:id>{387E62EB-AF99-469B-B290-0EC52C074025}</x14:id>
        </ext>
      </extLst>
    </cfRule>
  </conditionalFormatting>
  <conditionalFormatting sqref="AV30:AY30">
    <cfRule type="dataBar" priority="24">
      <dataBar>
        <cfvo type="num" val="-0.35"/>
        <cfvo type="num" val="1"/>
        <color rgb="FF638EC6"/>
      </dataBar>
      <extLst>
        <ext xmlns:x14="http://schemas.microsoft.com/office/spreadsheetml/2009/9/main" uri="{B025F937-C7B1-47D3-B67F-A62EFF666E3E}">
          <x14:id>{1FEBE20D-7388-4F47-8D3D-61061373B2A0}</x14:id>
        </ext>
      </extLst>
    </cfRule>
  </conditionalFormatting>
  <conditionalFormatting sqref="J11:CF30">
    <cfRule type="expression" dxfId="20" priority="398">
      <formula>AND(ISEVEN(ROW($AJ11)),NOT($J11=""))</formula>
    </cfRule>
  </conditionalFormatting>
  <conditionalFormatting sqref="BR11:BT30 BX11:BZ30">
    <cfRule type="dataBar" priority="9">
      <dataBar>
        <cfvo type="num" val="-0.5"/>
        <cfvo type="num" val="1"/>
        <color rgb="FF638EC6"/>
      </dataBar>
      <extLst>
        <ext xmlns:x14="http://schemas.microsoft.com/office/spreadsheetml/2009/9/main" uri="{B025F937-C7B1-47D3-B67F-A62EFF666E3E}">
          <x14:id>{C3FEA9DE-4633-4E8A-9D99-EFB80C7EFA80}</x14:id>
        </ext>
      </extLst>
    </cfRule>
  </conditionalFormatting>
  <conditionalFormatting sqref="B31:BE31">
    <cfRule type="expression" dxfId="19" priority="410">
      <formula>AND(ISEVEN(ROW($AB31)),NOT($B31=""))</formula>
    </cfRule>
  </conditionalFormatting>
  <conditionalFormatting sqref="C4:F4 J4">
    <cfRule type="expression" dxfId="18" priority="412">
      <formula>$K$3="Gas"</formula>
    </cfRule>
  </conditionalFormatting>
  <dataValidations disablePrompts="1" count="1">
    <dataValidation type="list" allowBlank="1" showInputMessage="1" showErrorMessage="1" sqref="N32">
      <formula1>T1ProductList</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Check Box 3">
              <controlPr defaultSize="0" autoFill="0" autoLine="0" autoPict="0">
                <anchor moveWithCells="1">
                  <from>
                    <xdr:col>1</xdr:col>
                    <xdr:colOff>28575</xdr:colOff>
                    <xdr:row>10</xdr:row>
                    <xdr:rowOff>0</xdr:rowOff>
                  </from>
                  <to>
                    <xdr:col>1</xdr:col>
                    <xdr:colOff>209550</xdr:colOff>
                    <xdr:row>11</xdr:row>
                    <xdr:rowOff>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1</xdr:col>
                    <xdr:colOff>28575</xdr:colOff>
                    <xdr:row>11</xdr:row>
                    <xdr:rowOff>0</xdr:rowOff>
                  </from>
                  <to>
                    <xdr:col>1</xdr:col>
                    <xdr:colOff>209550</xdr:colOff>
                    <xdr:row>12</xdr:row>
                    <xdr:rowOff>0</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1</xdr:col>
                    <xdr:colOff>28575</xdr:colOff>
                    <xdr:row>11</xdr:row>
                    <xdr:rowOff>171450</xdr:rowOff>
                  </from>
                  <to>
                    <xdr:col>1</xdr:col>
                    <xdr:colOff>209550</xdr:colOff>
                    <xdr:row>12</xdr:row>
                    <xdr:rowOff>171450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1</xdr:col>
                    <xdr:colOff>28575</xdr:colOff>
                    <xdr:row>12</xdr:row>
                    <xdr:rowOff>180975</xdr:rowOff>
                  </from>
                  <to>
                    <xdr:col>1</xdr:col>
                    <xdr:colOff>209550</xdr:colOff>
                    <xdr:row>13</xdr:row>
                    <xdr:rowOff>180975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1</xdr:col>
                    <xdr:colOff>28575</xdr:colOff>
                    <xdr:row>14</xdr:row>
                    <xdr:rowOff>0</xdr:rowOff>
                  </from>
                  <to>
                    <xdr:col>1</xdr:col>
                    <xdr:colOff>209550</xdr:colOff>
                    <xdr:row>15</xdr:row>
                    <xdr:rowOff>0</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1</xdr:col>
                    <xdr:colOff>28575</xdr:colOff>
                    <xdr:row>16</xdr:row>
                    <xdr:rowOff>9525</xdr:rowOff>
                  </from>
                  <to>
                    <xdr:col>1</xdr:col>
                    <xdr:colOff>209550</xdr:colOff>
                    <xdr:row>17</xdr:row>
                    <xdr:rowOff>9525</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1</xdr:col>
                    <xdr:colOff>28575</xdr:colOff>
                    <xdr:row>17</xdr:row>
                    <xdr:rowOff>0</xdr:rowOff>
                  </from>
                  <to>
                    <xdr:col>1</xdr:col>
                    <xdr:colOff>209550</xdr:colOff>
                    <xdr:row>18</xdr:row>
                    <xdr:rowOff>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28575</xdr:colOff>
                    <xdr:row>18</xdr:row>
                    <xdr:rowOff>0</xdr:rowOff>
                  </from>
                  <to>
                    <xdr:col>1</xdr:col>
                    <xdr:colOff>209550</xdr:colOff>
                    <xdr:row>18</xdr:row>
                    <xdr:rowOff>180975</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xdr:col>
                    <xdr:colOff>28575</xdr:colOff>
                    <xdr:row>19</xdr:row>
                    <xdr:rowOff>0</xdr:rowOff>
                  </from>
                  <to>
                    <xdr:col>1</xdr:col>
                    <xdr:colOff>209550</xdr:colOff>
                    <xdr:row>20</xdr:row>
                    <xdr:rowOff>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xdr:col>
                    <xdr:colOff>28575</xdr:colOff>
                    <xdr:row>15</xdr:row>
                    <xdr:rowOff>0</xdr:rowOff>
                  </from>
                  <to>
                    <xdr:col>1</xdr:col>
                    <xdr:colOff>209550</xdr:colOff>
                    <xdr:row>16</xdr:row>
                    <xdr:rowOff>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1</xdr:col>
                    <xdr:colOff>28575</xdr:colOff>
                    <xdr:row>20</xdr:row>
                    <xdr:rowOff>0</xdr:rowOff>
                  </from>
                  <to>
                    <xdr:col>1</xdr:col>
                    <xdr:colOff>209550</xdr:colOff>
                    <xdr:row>21</xdr:row>
                    <xdr:rowOff>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1</xdr:col>
                    <xdr:colOff>28575</xdr:colOff>
                    <xdr:row>21</xdr:row>
                    <xdr:rowOff>9525</xdr:rowOff>
                  </from>
                  <to>
                    <xdr:col>1</xdr:col>
                    <xdr:colOff>209550</xdr:colOff>
                    <xdr:row>22</xdr:row>
                    <xdr:rowOff>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1</xdr:col>
                    <xdr:colOff>28575</xdr:colOff>
                    <xdr:row>22</xdr:row>
                    <xdr:rowOff>0</xdr:rowOff>
                  </from>
                  <to>
                    <xdr:col>1</xdr:col>
                    <xdr:colOff>209550</xdr:colOff>
                    <xdr:row>23</xdr:row>
                    <xdr:rowOff>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1</xdr:col>
                    <xdr:colOff>28575</xdr:colOff>
                    <xdr:row>23</xdr:row>
                    <xdr:rowOff>0</xdr:rowOff>
                  </from>
                  <to>
                    <xdr:col>1</xdr:col>
                    <xdr:colOff>209550</xdr:colOff>
                    <xdr:row>24</xdr:row>
                    <xdr:rowOff>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xdr:col>
                    <xdr:colOff>28575</xdr:colOff>
                    <xdr:row>24</xdr:row>
                    <xdr:rowOff>0</xdr:rowOff>
                  </from>
                  <to>
                    <xdr:col>1</xdr:col>
                    <xdr:colOff>209550</xdr:colOff>
                    <xdr:row>25</xdr:row>
                    <xdr:rowOff>0</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xdr:col>
                    <xdr:colOff>28575</xdr:colOff>
                    <xdr:row>25</xdr:row>
                    <xdr:rowOff>9525</xdr:rowOff>
                  </from>
                  <to>
                    <xdr:col>1</xdr:col>
                    <xdr:colOff>209550</xdr:colOff>
                    <xdr:row>26</xdr:row>
                    <xdr:rowOff>0</xdr:rowOff>
                  </to>
                </anchor>
              </controlPr>
            </control>
          </mc:Choice>
        </mc:AlternateContent>
        <mc:AlternateContent xmlns:mc="http://schemas.openxmlformats.org/markup-compatibility/2006">
          <mc:Choice Requires="x14">
            <control shapeId="12307" r:id="rId20" name="Check Box 19">
              <controlPr defaultSize="0" autoFill="0" autoLine="0" autoPict="0">
                <anchor moveWithCells="1">
                  <from>
                    <xdr:col>1</xdr:col>
                    <xdr:colOff>28575</xdr:colOff>
                    <xdr:row>26</xdr:row>
                    <xdr:rowOff>0</xdr:rowOff>
                  </from>
                  <to>
                    <xdr:col>1</xdr:col>
                    <xdr:colOff>209550</xdr:colOff>
                    <xdr:row>27</xdr:row>
                    <xdr:rowOff>0</xdr:rowOff>
                  </to>
                </anchor>
              </controlPr>
            </control>
          </mc:Choice>
        </mc:AlternateContent>
        <mc:AlternateContent xmlns:mc="http://schemas.openxmlformats.org/markup-compatibility/2006">
          <mc:Choice Requires="x14">
            <control shapeId="12308" r:id="rId21" name="Check Box 20">
              <controlPr defaultSize="0" autoFill="0" autoLine="0" autoPict="0">
                <anchor moveWithCells="1">
                  <from>
                    <xdr:col>1</xdr:col>
                    <xdr:colOff>28575</xdr:colOff>
                    <xdr:row>26</xdr:row>
                    <xdr:rowOff>180975</xdr:rowOff>
                  </from>
                  <to>
                    <xdr:col>1</xdr:col>
                    <xdr:colOff>209550</xdr:colOff>
                    <xdr:row>27</xdr:row>
                    <xdr:rowOff>180975</xdr:rowOff>
                  </to>
                </anchor>
              </controlPr>
            </control>
          </mc:Choice>
        </mc:AlternateContent>
        <mc:AlternateContent xmlns:mc="http://schemas.openxmlformats.org/markup-compatibility/2006">
          <mc:Choice Requires="x14">
            <control shapeId="12322" r:id="rId22" name="Option Button 34">
              <controlPr defaultSize="0" autoFill="0" autoLine="0" autoPict="0">
                <anchor moveWithCells="1">
                  <from>
                    <xdr:col>26</xdr:col>
                    <xdr:colOff>28575</xdr:colOff>
                    <xdr:row>5</xdr:row>
                    <xdr:rowOff>85725</xdr:rowOff>
                  </from>
                  <to>
                    <xdr:col>26</xdr:col>
                    <xdr:colOff>209550</xdr:colOff>
                    <xdr:row>6</xdr:row>
                    <xdr:rowOff>171450</xdr:rowOff>
                  </to>
                </anchor>
              </controlPr>
            </control>
          </mc:Choice>
        </mc:AlternateContent>
        <mc:AlternateContent xmlns:mc="http://schemas.openxmlformats.org/markup-compatibility/2006">
          <mc:Choice Requires="x14">
            <control shapeId="12323" r:id="rId23" name="Option Button 35">
              <controlPr defaultSize="0" autoFill="0" autoLine="0" autoPict="0">
                <anchor moveWithCells="1">
                  <from>
                    <xdr:col>30</xdr:col>
                    <xdr:colOff>38100</xdr:colOff>
                    <xdr:row>5</xdr:row>
                    <xdr:rowOff>85725</xdr:rowOff>
                  </from>
                  <to>
                    <xdr:col>30</xdr:col>
                    <xdr:colOff>219075</xdr:colOff>
                    <xdr:row>6</xdr:row>
                    <xdr:rowOff>171450</xdr:rowOff>
                  </to>
                </anchor>
              </controlPr>
            </control>
          </mc:Choice>
        </mc:AlternateContent>
        <mc:AlternateContent xmlns:mc="http://schemas.openxmlformats.org/markup-compatibility/2006">
          <mc:Choice Requires="x14">
            <control shapeId="12324" r:id="rId24" name="Option Button 36">
              <controlPr defaultSize="0" autoFill="0" autoLine="0" autoPict="0">
                <anchor moveWithCells="1">
                  <from>
                    <xdr:col>35</xdr:col>
                    <xdr:colOff>28575</xdr:colOff>
                    <xdr:row>5</xdr:row>
                    <xdr:rowOff>85725</xdr:rowOff>
                  </from>
                  <to>
                    <xdr:col>35</xdr:col>
                    <xdr:colOff>209550</xdr:colOff>
                    <xdr:row>6</xdr:row>
                    <xdr:rowOff>171450</xdr:rowOff>
                  </to>
                </anchor>
              </controlPr>
            </control>
          </mc:Choice>
        </mc:AlternateContent>
        <mc:AlternateContent xmlns:mc="http://schemas.openxmlformats.org/markup-compatibility/2006">
          <mc:Choice Requires="x14">
            <control shapeId="12325" r:id="rId25" name="Option Button 37">
              <controlPr defaultSize="0" autoFill="0" autoLine="0" autoPict="0">
                <anchor moveWithCells="1">
                  <from>
                    <xdr:col>38</xdr:col>
                    <xdr:colOff>28575</xdr:colOff>
                    <xdr:row>5</xdr:row>
                    <xdr:rowOff>85725</xdr:rowOff>
                  </from>
                  <to>
                    <xdr:col>38</xdr:col>
                    <xdr:colOff>209550</xdr:colOff>
                    <xdr:row>6</xdr:row>
                    <xdr:rowOff>171450</xdr:rowOff>
                  </to>
                </anchor>
              </controlPr>
            </control>
          </mc:Choice>
        </mc:AlternateContent>
        <mc:AlternateContent xmlns:mc="http://schemas.openxmlformats.org/markup-compatibility/2006">
          <mc:Choice Requires="x14">
            <control shapeId="12350" r:id="rId26" name="Drop Down 62">
              <controlPr defaultSize="0" autoLine="0" autoPict="0">
                <anchor moveWithCells="1">
                  <from>
                    <xdr:col>9</xdr:col>
                    <xdr:colOff>200025</xdr:colOff>
                    <xdr:row>2</xdr:row>
                    <xdr:rowOff>0</xdr:rowOff>
                  </from>
                  <to>
                    <xdr:col>12</xdr:col>
                    <xdr:colOff>200025</xdr:colOff>
                    <xdr:row>2</xdr:row>
                    <xdr:rowOff>180975</xdr:rowOff>
                  </to>
                </anchor>
              </controlPr>
            </control>
          </mc:Choice>
        </mc:AlternateContent>
        <mc:AlternateContent xmlns:mc="http://schemas.openxmlformats.org/markup-compatibility/2006">
          <mc:Choice Requires="x14">
            <control shapeId="12358" r:id="rId27" name="Drop Down 70">
              <controlPr defaultSize="0" autoLine="0" autoPict="0">
                <anchor moveWithCells="1">
                  <from>
                    <xdr:col>9</xdr:col>
                    <xdr:colOff>200025</xdr:colOff>
                    <xdr:row>3</xdr:row>
                    <xdr:rowOff>9525</xdr:rowOff>
                  </from>
                  <to>
                    <xdr:col>12</xdr:col>
                    <xdr:colOff>200025</xdr:colOff>
                    <xdr:row>4</xdr:row>
                    <xdr:rowOff>0</xdr:rowOff>
                  </to>
                </anchor>
              </controlPr>
            </control>
          </mc:Choice>
        </mc:AlternateContent>
        <mc:AlternateContent xmlns:mc="http://schemas.openxmlformats.org/markup-compatibility/2006">
          <mc:Choice Requires="x14">
            <control shapeId="12359" r:id="rId28" name="Drop Down 71">
              <controlPr defaultSize="0" autoLine="0" autoPict="0">
                <anchor moveWithCells="1">
                  <from>
                    <xdr:col>9</xdr:col>
                    <xdr:colOff>200025</xdr:colOff>
                    <xdr:row>4</xdr:row>
                    <xdr:rowOff>9525</xdr:rowOff>
                  </from>
                  <to>
                    <xdr:col>12</xdr:col>
                    <xdr:colOff>200025</xdr:colOff>
                    <xdr:row>5</xdr:row>
                    <xdr:rowOff>0</xdr:rowOff>
                  </to>
                </anchor>
              </controlPr>
            </control>
          </mc:Choice>
        </mc:AlternateContent>
        <mc:AlternateContent xmlns:mc="http://schemas.openxmlformats.org/markup-compatibility/2006">
          <mc:Choice Requires="x14">
            <control shapeId="12363" r:id="rId29" name="Drop Down 75">
              <controlPr defaultSize="0" autoLine="0" autoPict="0">
                <anchor moveWithCells="1">
                  <from>
                    <xdr:col>15</xdr:col>
                    <xdr:colOff>57150</xdr:colOff>
                    <xdr:row>31</xdr:row>
                    <xdr:rowOff>47625</xdr:rowOff>
                  </from>
                  <to>
                    <xdr:col>23</xdr:col>
                    <xdr:colOff>200025</xdr:colOff>
                    <xdr:row>31</xdr:row>
                    <xdr:rowOff>228600</xdr:rowOff>
                  </to>
                </anchor>
              </controlPr>
            </control>
          </mc:Choice>
        </mc:AlternateContent>
        <mc:AlternateContent xmlns:mc="http://schemas.openxmlformats.org/markup-compatibility/2006">
          <mc:Choice Requires="x14">
            <control shapeId="12370" r:id="rId30" name="Option Button 82">
              <controlPr defaultSize="0" autoFill="0" autoLine="0" autoPict="0">
                <anchor moveWithCells="1">
                  <from>
                    <xdr:col>47</xdr:col>
                    <xdr:colOff>38100</xdr:colOff>
                    <xdr:row>5</xdr:row>
                    <xdr:rowOff>85725</xdr:rowOff>
                  </from>
                  <to>
                    <xdr:col>47</xdr:col>
                    <xdr:colOff>219075</xdr:colOff>
                    <xdr:row>6</xdr:row>
                    <xdr:rowOff>171450</xdr:rowOff>
                  </to>
                </anchor>
              </controlPr>
            </control>
          </mc:Choice>
        </mc:AlternateContent>
        <mc:AlternateContent xmlns:mc="http://schemas.openxmlformats.org/markup-compatibility/2006">
          <mc:Choice Requires="x14">
            <control shapeId="12371" r:id="rId31" name="Option Button 83">
              <controlPr defaultSize="0" autoFill="0" autoLine="0" autoPict="0">
                <anchor moveWithCells="1">
                  <from>
                    <xdr:col>52</xdr:col>
                    <xdr:colOff>28575</xdr:colOff>
                    <xdr:row>5</xdr:row>
                    <xdr:rowOff>85725</xdr:rowOff>
                  </from>
                  <to>
                    <xdr:col>53</xdr:col>
                    <xdr:colOff>66675</xdr:colOff>
                    <xdr:row>6</xdr:row>
                    <xdr:rowOff>171450</xdr:rowOff>
                  </to>
                </anchor>
              </controlPr>
            </control>
          </mc:Choice>
        </mc:AlternateContent>
        <mc:AlternateContent xmlns:mc="http://schemas.openxmlformats.org/markup-compatibility/2006">
          <mc:Choice Requires="x14">
            <control shapeId="12378" r:id="rId32" name="Check Box 90">
              <controlPr defaultSize="0" autoFill="0" autoLine="0" autoPict="0">
                <anchor moveWithCells="1">
                  <from>
                    <xdr:col>1</xdr:col>
                    <xdr:colOff>28575</xdr:colOff>
                    <xdr:row>27</xdr:row>
                    <xdr:rowOff>180975</xdr:rowOff>
                  </from>
                  <to>
                    <xdr:col>1</xdr:col>
                    <xdr:colOff>209550</xdr:colOff>
                    <xdr:row>28</xdr:row>
                    <xdr:rowOff>180975</xdr:rowOff>
                  </to>
                </anchor>
              </controlPr>
            </control>
          </mc:Choice>
        </mc:AlternateContent>
        <mc:AlternateContent xmlns:mc="http://schemas.openxmlformats.org/markup-compatibility/2006">
          <mc:Choice Requires="x14">
            <control shapeId="12379" r:id="rId33" name="Check Box 91">
              <controlPr defaultSize="0" autoFill="0" autoLine="0" autoPict="0">
                <anchor moveWithCells="1">
                  <from>
                    <xdr:col>1</xdr:col>
                    <xdr:colOff>28575</xdr:colOff>
                    <xdr:row>28</xdr:row>
                    <xdr:rowOff>171450</xdr:rowOff>
                  </from>
                  <to>
                    <xdr:col>1</xdr:col>
                    <xdr:colOff>209550</xdr:colOff>
                    <xdr:row>29</xdr:row>
                    <xdr:rowOff>171450</xdr:rowOff>
                  </to>
                </anchor>
              </controlPr>
            </control>
          </mc:Choice>
        </mc:AlternateContent>
        <mc:AlternateContent xmlns:mc="http://schemas.openxmlformats.org/markup-compatibility/2006">
          <mc:Choice Requires="x14">
            <control shapeId="12381" r:id="rId34" name="Option Button 93">
              <controlPr defaultSize="0" autoFill="0" autoLine="0" autoPict="0">
                <anchor moveWithCells="1">
                  <from>
                    <xdr:col>16</xdr:col>
                    <xdr:colOff>66675</xdr:colOff>
                    <xdr:row>5</xdr:row>
                    <xdr:rowOff>76200</xdr:rowOff>
                  </from>
                  <to>
                    <xdr:col>16</xdr:col>
                    <xdr:colOff>276225</xdr:colOff>
                    <xdr:row>6</xdr:row>
                    <xdr:rowOff>180975</xdr:rowOff>
                  </to>
                </anchor>
              </controlPr>
            </control>
          </mc:Choice>
        </mc:AlternateContent>
        <mc:AlternateContent xmlns:mc="http://schemas.openxmlformats.org/markup-compatibility/2006">
          <mc:Choice Requires="x14">
            <control shapeId="12382" r:id="rId35" name="Option Button 94">
              <controlPr defaultSize="0" autoFill="0" autoLine="0" autoPict="0">
                <anchor moveWithCells="1">
                  <from>
                    <xdr:col>21</xdr:col>
                    <xdr:colOff>38100</xdr:colOff>
                    <xdr:row>5</xdr:row>
                    <xdr:rowOff>85725</xdr:rowOff>
                  </from>
                  <to>
                    <xdr:col>21</xdr:col>
                    <xdr:colOff>219075</xdr:colOff>
                    <xdr:row>6</xdr:row>
                    <xdr:rowOff>171450</xdr:rowOff>
                  </to>
                </anchor>
              </controlPr>
            </control>
          </mc:Choice>
        </mc:AlternateContent>
        <mc:AlternateContent xmlns:mc="http://schemas.openxmlformats.org/markup-compatibility/2006">
          <mc:Choice Requires="x14">
            <control shapeId="12390" r:id="rId36" name="Option Button 102">
              <controlPr defaultSize="0" autoFill="0" autoLine="0" autoPict="0">
                <anchor moveWithCells="1">
                  <from>
                    <xdr:col>66</xdr:col>
                    <xdr:colOff>19050</xdr:colOff>
                    <xdr:row>5</xdr:row>
                    <xdr:rowOff>85725</xdr:rowOff>
                  </from>
                  <to>
                    <xdr:col>66</xdr:col>
                    <xdr:colOff>200025</xdr:colOff>
                    <xdr:row>6</xdr:row>
                    <xdr:rowOff>171450</xdr:rowOff>
                  </to>
                </anchor>
              </controlPr>
            </control>
          </mc:Choice>
        </mc:AlternateContent>
        <mc:AlternateContent xmlns:mc="http://schemas.openxmlformats.org/markup-compatibility/2006">
          <mc:Choice Requires="x14">
            <control shapeId="12391" r:id="rId37" name="Option Button 103">
              <controlPr defaultSize="0" autoFill="0" autoLine="0" autoPict="0">
                <anchor moveWithCells="1">
                  <from>
                    <xdr:col>72</xdr:col>
                    <xdr:colOff>19050</xdr:colOff>
                    <xdr:row>5</xdr:row>
                    <xdr:rowOff>85725</xdr:rowOff>
                  </from>
                  <to>
                    <xdr:col>72</xdr:col>
                    <xdr:colOff>200025</xdr:colOff>
                    <xdr:row>6</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7A0DDB77-8B6C-418E-8FF0-FCE21C0B30A1}">
            <x14:dataBar minLength="0" maxLength="100" gradient="0">
              <x14:cfvo type="num">
                <xm:f>0</xm:f>
              </x14:cfvo>
              <x14:cfvo type="num">
                <xm:f>5</xm:f>
              </x14:cfvo>
              <x14:negativeFillColor rgb="FFFF0000"/>
              <x14:axisColor rgb="FF000000"/>
            </x14:dataBar>
          </x14:cfRule>
          <xm:sqref>AV36:AZ45 AV46</xm:sqref>
        </x14:conditionalFormatting>
        <x14:conditionalFormatting xmlns:xm="http://schemas.microsoft.com/office/excel/2006/main">
          <x14:cfRule type="dataBar" id="{ACA5BF12-DD8C-4ACC-BC73-093E363FD4BF}">
            <x14:dataBar minLength="0" maxLength="100" gradient="0" direction="rightToLeft">
              <x14:cfvo type="num">
                <xm:f>0</xm:f>
              </x14:cfvo>
              <x14:cfvo type="num">
                <xm:f>4</xm:f>
              </x14:cfvo>
              <x14:negativeFillColor rgb="FFFF0000"/>
              <x14:axisColor rgb="FF000000"/>
            </x14:dataBar>
          </x14:cfRule>
          <xm:sqref>AV48:AZ55</xm:sqref>
        </x14:conditionalFormatting>
        <x14:conditionalFormatting xmlns:xm="http://schemas.microsoft.com/office/excel/2006/main">
          <x14:cfRule type="dataBar" id="{DABAA578-6CE8-4A32-A37D-04F7F30412A8}">
            <x14:dataBar minLength="0" maxLength="100" gradient="0">
              <x14:cfvo type="num">
                <xm:f>-0.35</xm:f>
              </x14:cfvo>
              <x14:cfvo type="num">
                <xm:f>1</xm:f>
              </x14:cfvo>
              <x14:negativeFillColor rgb="FFFF0000"/>
              <x14:axisColor rgb="FF000000"/>
            </x14:dataBar>
          </x14:cfRule>
          <xm:sqref>AV11:AY27</xm:sqref>
        </x14:conditionalFormatting>
        <x14:conditionalFormatting xmlns:xm="http://schemas.microsoft.com/office/excel/2006/main">
          <x14:cfRule type="dataBar" id="{EA725EFE-11FE-4441-B297-81C553A46298}">
            <x14:dataBar minLength="0" maxLength="100" gradient="0">
              <x14:cfvo type="num">
                <xm:f>-0.35</xm:f>
              </x14:cfvo>
              <x14:cfvo type="num">
                <xm:f>1</xm:f>
              </x14:cfvo>
              <x14:negativeFillColor rgb="FFFF0000"/>
              <x14:axisColor rgb="FF000000"/>
            </x14:dataBar>
          </x14:cfRule>
          <xm:sqref>AV28:AY28</xm:sqref>
        </x14:conditionalFormatting>
        <x14:conditionalFormatting xmlns:xm="http://schemas.microsoft.com/office/excel/2006/main">
          <x14:cfRule type="dataBar" id="{387E62EB-AF99-469B-B290-0EC52C074025}">
            <x14:dataBar minLength="0" maxLength="100" gradient="0">
              <x14:cfvo type="num">
                <xm:f>-0.35</xm:f>
              </x14:cfvo>
              <x14:cfvo type="num">
                <xm:f>1</xm:f>
              </x14:cfvo>
              <x14:negativeFillColor rgb="FFFF0000"/>
              <x14:axisColor rgb="FF000000"/>
            </x14:dataBar>
          </x14:cfRule>
          <xm:sqref>AV29:AY29</xm:sqref>
        </x14:conditionalFormatting>
        <x14:conditionalFormatting xmlns:xm="http://schemas.microsoft.com/office/excel/2006/main">
          <x14:cfRule type="dataBar" id="{1FEBE20D-7388-4F47-8D3D-61061373B2A0}">
            <x14:dataBar minLength="0" maxLength="100" gradient="0">
              <x14:cfvo type="num">
                <xm:f>-0.35</xm:f>
              </x14:cfvo>
              <x14:cfvo type="num">
                <xm:f>1</xm:f>
              </x14:cfvo>
              <x14:negativeFillColor rgb="FFFF0000"/>
              <x14:axisColor rgb="FF000000"/>
            </x14:dataBar>
          </x14:cfRule>
          <xm:sqref>AV30:AY30</xm:sqref>
        </x14:conditionalFormatting>
        <x14:conditionalFormatting xmlns:xm="http://schemas.microsoft.com/office/excel/2006/main">
          <x14:cfRule type="dataBar" id="{C3FEA9DE-4633-4E8A-9D99-EFB80C7EFA80}">
            <x14:dataBar minLength="0" maxLength="100" gradient="0" negativeBarColorSameAsPositive="1">
              <x14:cfvo type="num">
                <xm:f>-0.5</xm:f>
              </x14:cfvo>
              <x14:cfvo type="num">
                <xm:f>1</xm:f>
              </x14:cfvo>
              <x14:axisColor rgb="FF000000"/>
            </x14:dataBar>
          </x14:cfRule>
          <xm:sqref>BR11:BT30 BX11:BZ30</xm:sqref>
        </x14:conditionalFormatting>
        <x14:conditionalFormatting xmlns:xm="http://schemas.microsoft.com/office/excel/2006/main">
          <x14:cfRule type="expression" priority="96" stopIfTrue="1" id="{7DCA6475-3DDE-49F4-8E70-9EB8E9BD3A32}">
            <xm:f>AND(OR(IFERROR(YEAR(BB$10)=YEAR('Intermediate Data'!$CS56),FALSE),IFERROR(YEAR(BB$10)=YEAR('Intermediate Data'!$CU56),FALSE)),OR(IFERROR(YEAR(BB$10)=YEAR('Intermediate Data'!$CP56),FALSE),IFERROR(YEAR(BB$10)=YEAR('Intermediate Data'!$CR56),FALSE)))</xm:f>
            <x14:dxf>
              <fill>
                <patternFill>
                  <bgColor rgb="FF009999"/>
                </patternFill>
              </fill>
            </x14:dxf>
          </x14:cfRule>
          <x14:cfRule type="expression" priority="97" id="{7778E55D-6E0A-47F7-91AE-781DBDB1892B}">
            <xm:f>OR(IFERROR(YEAR(BB$10)=YEAR('Intermediate Data'!$CS56),FALSE),IFERROR(YEAR(BB$10)=YEAR('Intermediate Data'!$CU56),FALSE))</xm:f>
            <x14:dxf>
              <fill>
                <patternFill>
                  <bgColor theme="9"/>
                </patternFill>
              </fill>
            </x14:dxf>
          </x14:cfRule>
          <x14:cfRule type="expression" priority="98" id="{C52F4BCE-8021-407F-8DC4-5A6A7EA0C612}">
            <xm:f>OR(IFERROR(YEAR(BB$10)=YEAR('Intermediate Data'!$CP56),FALSE),IFERROR(YEAR(BB$10)=YEAR('Intermediate Data'!$CR56),FALSE))</xm:f>
            <x14:dxf>
              <font>
                <color auto="1"/>
              </font>
              <fill>
                <patternFill>
                  <bgColor theme="8"/>
                </patternFill>
              </fill>
            </x14:dxf>
          </x14:cfRule>
          <xm:sqref>BB11:BK30</xm:sqref>
        </x14:conditionalFormatting>
        <x14:conditionalFormatting xmlns:xm="http://schemas.microsoft.com/office/excel/2006/main">
          <x14:cfRule type="expression" priority="86" id="{CE1D2CDB-ABA5-48BC-9D00-73E1DD0F3A1A}">
            <xm:f>ISERROR(MATCH($P$32,'Price Point Data'!$A:$A,0))</xm:f>
            <x14:dxf>
              <font>
                <color theme="0" tint="-0.34998626667073579"/>
              </font>
            </x14:dxf>
          </x14:cfRule>
          <xm:sqref>M45 V41:V44 X41:X44 Q42:Q44 U40 M41:N41 N42:O42 M43</xm:sqref>
        </x14:conditionalFormatting>
        <x14:conditionalFormatting xmlns:xm="http://schemas.microsoft.com/office/excel/2006/main">
          <x14:cfRule type="expression" priority="79" id="{54BE1A7D-05AD-41AF-BC4E-CC9B8CC3BC3A}">
            <xm:f>OR('Intermediate Data'!$AY$48="Gas",NOT('Intermediate Data'!$AY$49="Custom Select"))</xm:f>
            <x14:dxf>
              <font>
                <color theme="0" tint="-0.24994659260841701"/>
              </font>
              <fill>
                <patternFill>
                  <bgColor theme="0"/>
                </patternFill>
              </fill>
            </x14:dxf>
          </x14:cfRule>
          <xm:sqref>I10:I28 C9:G9 B16:G28 D13:G15 B10 B11:C15</xm:sqref>
        </x14:conditionalFormatting>
        <x14:conditionalFormatting xmlns:xm="http://schemas.microsoft.com/office/excel/2006/main">
          <x14:cfRule type="dataBar" priority="67" id="{C9316DEE-995E-4AC0-B93D-2CACDD33B29E}">
            <x14:dataBar minLength="0" maxLength="100" gradient="0">
              <x14:cfvo type="formula">
                <xm:f>-MAX('Intermediate Data'!$CH$56:$CH$76)/1.7</xm:f>
              </x14:cfvo>
              <x14:cfvo type="max"/>
              <x14:fillColor rgb="FF638EC6"/>
              <x14:negativeFillColor rgb="FFFF0000"/>
              <x14:axisColor rgb="FF000000"/>
            </x14:dataBar>
          </x14:cfRule>
          <xm:sqref>AE11:AG30 AJ11:AO30</xm:sqref>
        </x14:conditionalFormatting>
        <x14:conditionalFormatting xmlns:xm="http://schemas.microsoft.com/office/excel/2006/main">
          <x14:cfRule type="expression" priority="162" id="{71730CE3-807D-404D-9BD0-9BBBACEB4A2B}">
            <xm:f>AND(IFERROR(2012&gt;YEAR('Intermediate Data'!$CS56),FALSE),IFERROR(2012&gt;YEAR('Intermediate Data'!$CP56),FALSE))</xm:f>
            <x14:dxf>
              <fill>
                <patternFill>
                  <bgColor rgb="FF009999"/>
                </patternFill>
              </fill>
            </x14:dxf>
          </x14:cfRule>
          <x14:cfRule type="expression" priority="163" stopIfTrue="1" id="{CA592DB6-9BC1-48BC-95EF-A92BF0891991}">
            <xm:f>AND(IFERROR(2012&gt;YEAR('Intermediate Data'!$CS56),FALSE),NOT(IFERROR(2012&gt;YEAR('Intermediate Data'!$CP56),FALSE)))</xm:f>
            <x14:dxf>
              <fill>
                <patternFill>
                  <bgColor theme="9"/>
                </patternFill>
              </fill>
            </x14:dxf>
          </x14:cfRule>
          <x14:cfRule type="expression" priority="164" id="{C52F4BCE-8021-407F-8DC4-5A6A7EA0C612}">
            <xm:f>AND(NOT(IFERROR(2012&gt;YEAR('Intermediate Data'!$CS56),FALSE)),IFERROR(2012&gt;YEAR('Intermediate Data'!$CP56),FALSE))</xm:f>
            <x14:dxf>
              <font>
                <color rgb="FFEEB500"/>
              </font>
              <fill>
                <patternFill>
                  <bgColor theme="8"/>
                </patternFill>
              </fill>
            </x14:dxf>
          </x14:cfRule>
          <xm:sqref>BA11:BA30</xm:sqref>
        </x14:conditionalFormatting>
        <x14:conditionalFormatting xmlns:xm="http://schemas.microsoft.com/office/excel/2006/main">
          <x14:cfRule type="expression" priority="63" id="{0926AFE5-E006-4D0C-B096-57C997E90641}">
            <xm:f>'Intermediate Data'!$AY$48="Gas"</xm:f>
            <x14:dxf>
              <font>
                <color theme="2" tint="-0.24994659260841701"/>
              </font>
              <fill>
                <patternFill>
                  <bgColor theme="0"/>
                </patternFill>
              </fill>
            </x14:dxf>
          </x14:cfRule>
          <xm:sqref>R4 C4:F4 J4:M4</xm:sqref>
        </x14:conditionalFormatting>
        <x14:conditionalFormatting xmlns:xm="http://schemas.microsoft.com/office/excel/2006/main">
          <x14:cfRule type="dataBar" priority="60" id="{7554575D-FDB7-44C6-B8A9-D3BB6668040D}">
            <x14:dataBar minLength="0" maxLength="100" gradient="0">
              <x14:cfvo type="formula">
                <xm:f>-MAX('Intermediate Data'!$CG$56:$CG$76)/1.7</xm:f>
              </x14:cfvo>
              <x14:cfvo type="max"/>
              <x14:fillColor rgb="FF638EC6"/>
              <x14:negativeFillColor rgb="FFFF0000"/>
              <x14:axisColor rgb="FF000000"/>
            </x14:dataBar>
          </x14:cfRule>
          <xm:sqref>S31:U31 AA11:AC30</xm:sqref>
        </x14:conditionalFormatting>
        <x14:conditionalFormatting xmlns:xm="http://schemas.microsoft.com/office/excel/2006/main">
          <x14:cfRule type="expression" priority="58" id="{E21F7943-DF44-4FAC-9F65-5A68D2D8B0B2}">
            <xm:f>ISERROR(MATCH($P$32,'Price Point Data'!$A:$A,0))</xm:f>
            <x14:dxf>
              <font>
                <color theme="0" tint="-0.34998626667073579"/>
              </font>
            </x14:dxf>
          </x14:cfRule>
          <xm:sqref>Q41</xm:sqref>
        </x14:conditionalFormatting>
        <x14:conditionalFormatting xmlns:xm="http://schemas.microsoft.com/office/excel/2006/main">
          <x14:cfRule type="expression" priority="56" id="{D5CDC762-50C7-45FE-B31E-63CEDB7785C7}">
            <xm:f>ISERROR(MATCH($P$32,'Price Point Data'!$A:$A,0))</xm:f>
            <x14:dxf>
              <font>
                <color theme="0" tint="-0.34998626667073579"/>
              </font>
            </x14:dxf>
          </x14:cfRule>
          <xm:sqref>M40:Q40</xm:sqref>
        </x14:conditionalFormatting>
        <x14:conditionalFormatting xmlns:xm="http://schemas.microsoft.com/office/excel/2006/main">
          <x14:cfRule type="expression" priority="55" id="{9112F32B-8822-499D-B28A-82D5D3417E26}">
            <xm:f>OR('Intermediate Data'!$AY$48="Gas",NOT('Intermediate Data'!$AY$49="Custom Select"))</xm:f>
            <x14:dxf>
              <font>
                <color theme="0" tint="-0.24994659260841701"/>
              </font>
              <fill>
                <patternFill>
                  <bgColor theme="0"/>
                </patternFill>
              </fill>
            </x14:dxf>
          </x14:cfRule>
          <xm:sqref>B29</xm:sqref>
        </x14:conditionalFormatting>
        <x14:conditionalFormatting xmlns:xm="http://schemas.microsoft.com/office/excel/2006/main">
          <x14:cfRule type="expression" priority="54" id="{F92C96E5-B111-4A92-B347-A66B7CBBA1A0}">
            <xm:f>OR('Intermediate Data'!$AY$48="Gas",NOT('Intermediate Data'!$AY$49="Custom Select"))</xm:f>
            <x14:dxf>
              <font>
                <color theme="0" tint="-0.24994659260841701"/>
              </font>
              <fill>
                <patternFill>
                  <bgColor theme="0"/>
                </patternFill>
              </fill>
            </x14:dxf>
          </x14:cfRule>
          <xm:sqref>B30</xm:sqref>
        </x14:conditionalFormatting>
        <x14:conditionalFormatting xmlns:xm="http://schemas.microsoft.com/office/excel/2006/main">
          <x14:cfRule type="expression" priority="53" id="{072E3FA6-EBD9-4B90-B22F-8EF86741E5EE}">
            <xm:f>OR('Intermediate Data'!$AY$48="Gas",NOT('Intermediate Data'!$AY$49="Custom Select"))</xm:f>
            <x14:dxf>
              <font>
                <color theme="0" tint="-0.24994659260841701"/>
              </font>
              <fill>
                <patternFill>
                  <bgColor theme="0"/>
                </patternFill>
              </fill>
            </x14:dxf>
          </x14:cfRule>
          <xm:sqref>C30</xm:sqref>
        </x14:conditionalFormatting>
        <x14:conditionalFormatting xmlns:xm="http://schemas.microsoft.com/office/excel/2006/main">
          <x14:cfRule type="dataBar" priority="42" id="{ECCDA3C2-F55F-42E2-9173-1DF43E4A1E9B}">
            <x14:dataBar minLength="0" maxLength="100" gradient="0">
              <x14:cfvo type="formula">
                <xm:f>-MAX('Intermediate Data'!$CG$56:$CG$76)/1.7</xm:f>
              </x14:cfvo>
              <x14:cfvo type="max"/>
              <x14:fillColor rgb="FF638EC6"/>
              <x14:negativeFillColor rgb="FFFF0000"/>
              <x14:axisColor rgb="FF000000"/>
            </x14:dataBar>
          </x14:cfRule>
          <xm:sqref>AA28:AC28</xm:sqref>
        </x14:conditionalFormatting>
        <x14:conditionalFormatting xmlns:xm="http://schemas.microsoft.com/office/excel/2006/main">
          <x14:cfRule type="dataBar" priority="30" id="{0CB28968-A62E-4C8F-8446-B9F7FE5EB0BB}">
            <x14:dataBar minLength="0" maxLength="100" gradient="0">
              <x14:cfvo type="formula">
                <xm:f>-MAX('Intermediate Data'!$CG$56:$CG$76)/1.7</xm:f>
              </x14:cfvo>
              <x14:cfvo type="max"/>
              <x14:fillColor rgb="FF638EC6"/>
              <x14:negativeFillColor rgb="FFFF0000"/>
              <x14:axisColor rgb="FF000000"/>
            </x14:dataBar>
          </x14:cfRule>
          <xm:sqref>AA29:AC29</xm:sqref>
        </x14:conditionalFormatting>
        <x14:conditionalFormatting xmlns:xm="http://schemas.microsoft.com/office/excel/2006/main">
          <x14:cfRule type="dataBar" priority="18" id="{85CE7018-8421-4A62-9323-80F728AD97CF}">
            <x14:dataBar minLength="0" maxLength="100" gradient="0">
              <x14:cfvo type="formula">
                <xm:f>-MAX('Intermediate Data'!$CG$56:$CG$76)/1.7</xm:f>
              </x14:cfvo>
              <x14:cfvo type="max"/>
              <x14:fillColor rgb="FF638EC6"/>
              <x14:negativeFillColor rgb="FFFF0000"/>
              <x14:axisColor rgb="FF000000"/>
            </x14:dataBar>
          </x14:cfRule>
          <xm:sqref>AA30:AC30</xm:sqref>
        </x14:conditionalFormatting>
        <x14:conditionalFormatting xmlns:xm="http://schemas.microsoft.com/office/excel/2006/main">
          <x14:cfRule type="expression" priority="16" id="{52B6F229-65D6-48C5-A12D-D9299A45C5F9}">
            <xm:f>OR('Intermediate Data'!$AY$48="Gas",NOT('Intermediate Data'!$AY$49="Custom Select"))</xm:f>
            <x14:dxf>
              <font>
                <color theme="0" tint="-0.24994659260841701"/>
              </font>
              <fill>
                <patternFill>
                  <bgColor theme="0"/>
                </patternFill>
              </fill>
            </x14:dxf>
          </x14:cfRule>
          <xm:sqref>C29</xm:sqref>
        </x14:conditionalFormatting>
        <x14:conditionalFormatting xmlns:xm="http://schemas.microsoft.com/office/excel/2006/main">
          <x14:cfRule type="dataBar" priority="12" id="{CD14FF99-7C75-473A-88DB-8021F2FAD5A8}">
            <x14:dataBar minLength="0" maxLength="100" gradient="0" negativeBarColorSameAsPositive="1">
              <x14:cfvo type="formula">
                <xm:f>-MAX('Intermediate Data'!$CL$56:$CL$95)/1.5</xm:f>
              </x14:cfvo>
              <x14:cfvo type="autoMax"/>
              <x14:fillColor rgb="FF638EC6"/>
              <x14:axisColor rgb="FF000000"/>
            </x14:dataBar>
          </x14:cfRule>
          <xm:sqref>V11:X30</xm:sqref>
        </x14:conditionalFormatting>
        <x14:conditionalFormatting xmlns:xm="http://schemas.microsoft.com/office/excel/2006/main">
          <x14:cfRule type="dataBar" priority="10" id="{603DEC56-806C-4FAA-B9AF-1B5172955B53}">
            <x14:dataBar minLength="0" maxLength="100" gradient="0" negativeBarColorSameAsPositive="1">
              <x14:cfvo type="formula">
                <xm:f>-MAX('Intermediate Data'!$CN$56:$CN$83)/1.5</xm:f>
              </x14:cfvo>
              <x14:cfvo type="max"/>
              <x14:fillColor rgb="FF638EC6"/>
              <x14:axisColor rgb="FF000000"/>
            </x14:dataBar>
          </x14:cfRule>
          <xm:sqref>Q11:T30</xm:sqref>
        </x14:conditionalFormatting>
        <x14:conditionalFormatting xmlns:xm="http://schemas.microsoft.com/office/excel/2006/main">
          <x14:cfRule type="dataBar" priority="8" id="{78C54943-8893-468C-831B-E03DD20AFA1B}">
            <x14:dataBar minLength="0" maxLength="100" gradient="0">
              <x14:cfvo type="formula">
                <xm:f>-MAX('Intermediate Data'!$CY$56:$CY$77)/1.5</xm:f>
              </x14:cfvo>
              <x14:cfvo type="max"/>
              <x14:fillColor rgb="FF638EC6"/>
              <x14:negativeFillColor rgb="FFFF0000"/>
              <x14:axisColor rgb="FF000000"/>
            </x14:dataBar>
          </x14:cfRule>
          <xm:sqref>BO11:BQ30</xm:sqref>
        </x14:conditionalFormatting>
        <x14:conditionalFormatting xmlns:xm="http://schemas.microsoft.com/office/excel/2006/main">
          <x14:cfRule type="dataBar" priority="7" id="{EDA2FAA3-D10C-48D6-8558-6AA0ADF6D834}">
            <x14:dataBar minLength="0" maxLength="100" gradient="0">
              <x14:cfvo type="formula">
                <xm:f>-MAX('Intermediate Data'!$DA$56:$DA$75)/1.5</xm:f>
              </x14:cfvo>
              <x14:cfvo type="autoMax"/>
              <x14:fillColor rgb="FF638EC6"/>
              <x14:negativeFillColor rgb="FFFF0000"/>
              <x14:axisColor rgb="FF000000"/>
            </x14:dataBar>
          </x14:cfRule>
          <xm:sqref>BU11:BW30</xm:sqref>
        </x14:conditionalFormatting>
        <x14:conditionalFormatting xmlns:xm="http://schemas.microsoft.com/office/excel/2006/main">
          <x14:cfRule type="expression" priority="427" id="{04B1BE1D-DF60-4888-92EC-8703D1114A06}">
            <xm:f>'Intermediate Data'!$AY$48='Intermediate Data'!$B$3</xm:f>
            <x14:dxf>
              <fill>
                <patternFill>
                  <bgColor theme="4" tint="0.59996337778862885"/>
                </patternFill>
              </fill>
            </x14:dxf>
          </x14:cfRule>
          <x14:cfRule type="expression" priority="428" id="{D5997E42-2390-4055-919B-21875952128D}">
            <xm:f>'Intermediate Data'!$AY$48='Intermediate Data'!$B$4</xm:f>
            <x14:dxf>
              <fill>
                <patternFill>
                  <bgColor theme="5" tint="0.59996337778862885"/>
                </patternFill>
              </fill>
            </x14:dxf>
          </x14:cfRule>
          <xm:sqref>Q3:CF3</xm:sqref>
        </x14:conditionalFormatting>
      </x14:conditionalFormattings>
    </ext>
    <ext xmlns:x14="http://schemas.microsoft.com/office/spreadsheetml/2009/9/main" uri="{05C60535-1F16-4fd2-B633-F4F36F0B64E0}">
      <x14:sparklineGroups xmlns:xm="http://schemas.microsoft.com/office/excel/2006/main">
        <x14:sparklineGroup manualMax="1" manualMin="0" lineWeight="1.5" displayEmptyCellsAs="gap" minAxisType="custom" maxAxisType="custom">
          <x14:colorSeries theme="7"/>
          <x14:colorNegative rgb="FFD00000"/>
          <x14:colorAxis rgb="FF000000"/>
          <x14:colorMarkers rgb="FFD00000"/>
          <x14:colorFirst rgb="FFD00000"/>
          <x14:colorLast rgb="FFD00000"/>
          <x14:colorHigh rgb="FFD00000"/>
          <x14:colorLow rgb="FFD00000"/>
          <x14:sparklines>
            <x14:sparkline>
              <xm:f>ES_P6</xm:f>
              <xm:sqref>AV46</xm:sqref>
            </x14:sparkline>
            <x14:sparkline>
              <xm:f>ES_P5</xm:f>
              <xm:sqref>AV44</xm:sqref>
            </x14:sparkline>
            <x14:sparkline>
              <xm:f>ES_P3</xm:f>
              <xm:sqref>AV40</xm:sqref>
            </x14:sparkline>
            <x14:sparkline>
              <xm:f>ES_P2</xm:f>
              <xm:sqref>AV38</xm:sqref>
            </x14:sparkline>
            <x14:sparkline>
              <xm:f>ES_P1</xm:f>
              <xm:sqref>AV36</xm:sqref>
            </x14:sparkline>
            <x14:sparkline>
              <xm:f>ES_P4</xm:f>
              <xm:sqref>AV42</xm:sqref>
            </x14:sparkline>
          </x14:sparklines>
        </x14:sparklineGroup>
        <x14:sparklineGroup manualMax="1" manualMin="0" lineWeight="1.5" displayEmptyCellsAs="gap" minAxisType="custom" maxAxisType="custom">
          <x14:colorSeries theme="5"/>
          <x14:colorNegative rgb="FFD00000"/>
          <x14:colorAxis rgb="FF000000"/>
          <x14:colorMarkers rgb="FFD00000"/>
          <x14:colorFirst rgb="FFD00000"/>
          <x14:colorLast rgb="FFD00000"/>
          <x14:colorHigh rgb="FFD00000"/>
          <x14:colorLow rgb="FFD00000"/>
          <x14:sparklines>
            <x14:sparkline>
              <xm:f>ES_P7</xm:f>
              <xm:sqref>AV48</xm:sqref>
            </x14:sparkline>
            <x14:sparkline>
              <xm:f>ES_P10</xm:f>
              <xm:sqref>AV54</xm:sqref>
            </x14:sparkline>
            <x14:sparkline>
              <xm:f>ES_P9</xm:f>
              <xm:sqref>AV52</xm:sqref>
            </x14:sparkline>
            <x14:sparkline>
              <xm:f>ES_P8</xm:f>
              <xm:sqref>AV50</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EI153"/>
  <sheetViews>
    <sheetView zoomScaleNormal="100" workbookViewId="0">
      <pane xSplit="2" ySplit="4" topLeftCell="C5" activePane="bottomRight" state="frozen"/>
      <selection activeCell="E9" sqref="E9"/>
      <selection pane="topRight" activeCell="E9" sqref="E9"/>
      <selection pane="bottomLeft" activeCell="E9" sqref="E9"/>
      <selection pane="bottomRight" activeCell="E9" sqref="E9"/>
    </sheetView>
  </sheetViews>
  <sheetFormatPr defaultColWidth="9.140625" defaultRowHeight="15" x14ac:dyDescent="0.25"/>
  <cols>
    <col min="1" max="1" width="9.140625" style="13" customWidth="1"/>
    <col min="2" max="2" width="33.28515625" style="4" customWidth="1"/>
    <col min="3" max="3" width="26.85546875" style="9" customWidth="1"/>
    <col min="4" max="4" width="14.28515625" customWidth="1"/>
    <col min="5" max="5" width="10.42578125" style="9" customWidth="1"/>
    <col min="6" max="7" width="9.140625" style="9" customWidth="1"/>
    <col min="8" max="10" width="18" style="8" customWidth="1"/>
    <col min="11" max="11" width="15.42578125" style="8" customWidth="1"/>
    <col min="12" max="41" width="13.7109375" style="8" customWidth="1"/>
    <col min="42" max="42" width="13.7109375" style="516" customWidth="1"/>
    <col min="43" max="56" width="13.7109375" style="8" customWidth="1"/>
    <col min="57" max="57" width="13.7109375" style="516" customWidth="1"/>
    <col min="58" max="60" width="17.42578125" style="13" customWidth="1"/>
    <col min="61" max="62" width="12.85546875" style="13" customWidth="1"/>
    <col min="63" max="64" width="12.42578125" style="13" customWidth="1"/>
    <col min="65" max="66" width="13.7109375" style="13" customWidth="1"/>
    <col min="67" max="69" width="12.42578125" style="13" customWidth="1"/>
    <col min="70" max="70" width="75.7109375" style="13" customWidth="1"/>
    <col min="71" max="72" width="13.42578125" style="13" customWidth="1"/>
    <col min="73" max="80" width="13.42578125" style="75" customWidth="1"/>
    <col min="81" max="81" width="17" style="75" customWidth="1"/>
    <col min="82" max="84" width="15.28515625" style="13" customWidth="1"/>
    <col min="85" max="92" width="15.28515625" style="75" customWidth="1"/>
    <col min="93" max="102" width="12.42578125" style="13" customWidth="1"/>
    <col min="103" max="103" width="12.28515625" style="13" customWidth="1"/>
    <col min="104" max="112" width="12.42578125" style="13" customWidth="1"/>
    <col min="113" max="122" width="15.42578125" style="13" customWidth="1"/>
    <col min="123" max="124" width="12.42578125" style="13" customWidth="1"/>
    <col min="125" max="125" width="17" style="13" customWidth="1"/>
    <col min="126" max="127" width="12.42578125" style="13" customWidth="1"/>
    <col min="128" max="128" width="12.28515625" style="13" customWidth="1"/>
    <col min="129" max="130" width="9.140625" style="13" customWidth="1"/>
    <col min="131" max="131" width="9.7109375" style="13" customWidth="1"/>
    <col min="132" max="132" width="9.140625" style="13" customWidth="1"/>
    <col min="133" max="133" width="10" style="13" customWidth="1"/>
    <col min="134" max="134" width="9.28515625" style="13" customWidth="1"/>
    <col min="135" max="138" width="9.140625" style="13" customWidth="1"/>
    <col min="139" max="139" width="3.28515625" style="360" customWidth="1"/>
    <col min="140" max="148" width="9.140625" style="13" customWidth="1"/>
    <col min="149" max="16384" width="9.140625" style="13"/>
  </cols>
  <sheetData>
    <row r="1" spans="1:139" s="239" customFormat="1" ht="25.5" customHeight="1" x14ac:dyDescent="0.25">
      <c r="A1" s="236" t="s">
        <v>580</v>
      </c>
      <c r="B1" s="1004" t="s">
        <v>562</v>
      </c>
      <c r="C1" s="1005"/>
      <c r="D1" s="1005"/>
      <c r="E1" s="1005"/>
      <c r="F1" s="1005"/>
      <c r="G1" s="626"/>
      <c r="H1" s="1013" t="s">
        <v>1105</v>
      </c>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c r="AL1" s="1013"/>
      <c r="AM1" s="1013"/>
      <c r="AN1" s="1013"/>
      <c r="AO1" s="1013"/>
      <c r="AP1" s="1013"/>
      <c r="AQ1" s="1013"/>
      <c r="AR1" s="1013"/>
      <c r="AS1" s="1013"/>
      <c r="AT1" s="1013"/>
      <c r="AU1" s="1013"/>
      <c r="AV1" s="1013"/>
      <c r="AW1" s="1013"/>
      <c r="AX1" s="1013"/>
      <c r="AY1" s="1013"/>
      <c r="AZ1" s="1013"/>
      <c r="BA1" s="1013"/>
      <c r="BB1" s="1013"/>
      <c r="BC1" s="1013"/>
      <c r="BD1" s="1013"/>
      <c r="BE1" s="1014"/>
      <c r="BF1" s="1017" t="s">
        <v>117</v>
      </c>
      <c r="BG1" s="1018"/>
      <c r="BH1" s="1019"/>
      <c r="BI1" s="1011" t="s">
        <v>61</v>
      </c>
      <c r="BJ1" s="1012"/>
      <c r="BK1" s="1015" t="s">
        <v>1106</v>
      </c>
      <c r="BL1" s="1016"/>
      <c r="BM1" s="1016"/>
      <c r="BN1" s="1016"/>
      <c r="BO1" s="1016"/>
      <c r="BP1" s="1016"/>
      <c r="BQ1" s="1016"/>
      <c r="BR1" s="1016"/>
      <c r="BS1" s="1022" t="s">
        <v>1103</v>
      </c>
      <c r="BT1" s="1022"/>
      <c r="BU1" s="1022"/>
      <c r="BV1" s="1022"/>
      <c r="BW1" s="1022"/>
      <c r="BX1" s="1022"/>
      <c r="BY1" s="1022"/>
      <c r="BZ1" s="1022"/>
      <c r="CA1" s="1022"/>
      <c r="CB1" s="1022"/>
      <c r="CC1" s="1022"/>
      <c r="CD1" s="1022"/>
      <c r="CE1" s="1022"/>
      <c r="CF1" s="1022"/>
      <c r="CG1" s="1022"/>
      <c r="CH1" s="1022"/>
      <c r="CI1" s="1022"/>
      <c r="CJ1" s="1022"/>
      <c r="CK1" s="1022"/>
      <c r="CL1" s="1022"/>
      <c r="CM1" s="1022"/>
      <c r="CN1" s="1023"/>
      <c r="CO1" s="1020" t="s">
        <v>921</v>
      </c>
      <c r="CP1" s="1021"/>
      <c r="CQ1" s="1021"/>
      <c r="CR1" s="1021"/>
      <c r="CS1" s="1021"/>
      <c r="CT1" s="1021"/>
      <c r="CU1" s="1021"/>
      <c r="CV1" s="1021"/>
      <c r="CW1" s="1021"/>
      <c r="CX1" s="1021"/>
      <c r="CY1" s="1021"/>
      <c r="CZ1" s="1021"/>
      <c r="DA1" s="1021"/>
      <c r="DB1" s="1021"/>
      <c r="DC1" s="1021"/>
      <c r="DD1" s="1021"/>
      <c r="DE1" s="1021"/>
      <c r="DF1" s="1021"/>
      <c r="DG1" s="1021"/>
      <c r="DH1" s="1021"/>
      <c r="DI1" s="1006" t="s">
        <v>799</v>
      </c>
      <c r="DJ1" s="1006"/>
      <c r="DK1" s="1006"/>
      <c r="DL1" s="1006"/>
      <c r="DM1" s="1006"/>
      <c r="DN1" s="1006"/>
      <c r="DO1" s="1006"/>
      <c r="DP1" s="1006"/>
      <c r="DQ1" s="1006"/>
      <c r="DR1" s="1007"/>
      <c r="DS1" s="1008" t="s">
        <v>426</v>
      </c>
      <c r="DT1" s="1009"/>
      <c r="DU1" s="1009"/>
      <c r="DV1" s="1009"/>
      <c r="DW1" s="1009"/>
      <c r="DX1" s="1009"/>
      <c r="DY1" s="1009"/>
      <c r="DZ1" s="1009"/>
      <c r="EA1" s="1009"/>
      <c r="EB1" s="1009"/>
      <c r="EC1" s="1009"/>
      <c r="ED1" s="1009"/>
      <c r="EE1" s="1009"/>
      <c r="EF1" s="1009"/>
      <c r="EG1" s="1010"/>
      <c r="EI1" s="356"/>
    </row>
    <row r="2" spans="1:139" s="238" customFormat="1" ht="36.75" customHeight="1" x14ac:dyDescent="0.2">
      <c r="A2" s="235" t="s">
        <v>560</v>
      </c>
      <c r="B2" s="237" t="s">
        <v>557</v>
      </c>
      <c r="C2" s="243"/>
      <c r="D2" s="240"/>
      <c r="E2" s="240" t="s">
        <v>559</v>
      </c>
      <c r="F2" s="242"/>
      <c r="G2" s="628"/>
      <c r="H2" s="244" t="s">
        <v>753</v>
      </c>
      <c r="I2" s="245" t="s">
        <v>754</v>
      </c>
      <c r="J2" s="244" t="s">
        <v>753</v>
      </c>
      <c r="K2" s="245" t="s">
        <v>754</v>
      </c>
      <c r="L2" s="245" t="s">
        <v>753</v>
      </c>
      <c r="M2" s="244" t="s">
        <v>753</v>
      </c>
      <c r="N2" s="245" t="s">
        <v>754</v>
      </c>
      <c r="O2" s="244" t="s">
        <v>753</v>
      </c>
      <c r="P2" s="245" t="s">
        <v>754</v>
      </c>
      <c r="Q2" s="245" t="s">
        <v>753</v>
      </c>
      <c r="R2" s="244" t="s">
        <v>753</v>
      </c>
      <c r="S2" s="245" t="s">
        <v>754</v>
      </c>
      <c r="T2" s="244" t="s">
        <v>753</v>
      </c>
      <c r="U2" s="245" t="s">
        <v>754</v>
      </c>
      <c r="V2" s="245" t="s">
        <v>753</v>
      </c>
      <c r="W2" s="244" t="s">
        <v>753</v>
      </c>
      <c r="X2" s="245" t="s">
        <v>754</v>
      </c>
      <c r="Y2" s="244" t="s">
        <v>753</v>
      </c>
      <c r="Z2" s="245" t="s">
        <v>754</v>
      </c>
      <c r="AA2" s="245" t="s">
        <v>753</v>
      </c>
      <c r="AB2" s="244" t="s">
        <v>753</v>
      </c>
      <c r="AC2" s="245" t="s">
        <v>754</v>
      </c>
      <c r="AD2" s="244" t="s">
        <v>753</v>
      </c>
      <c r="AE2" s="245" t="s">
        <v>754</v>
      </c>
      <c r="AF2" s="245" t="s">
        <v>753</v>
      </c>
      <c r="AG2" s="244" t="s">
        <v>753</v>
      </c>
      <c r="AH2" s="245" t="s">
        <v>754</v>
      </c>
      <c r="AI2" s="244" t="s">
        <v>753</v>
      </c>
      <c r="AJ2" s="245" t="s">
        <v>754</v>
      </c>
      <c r="AK2" s="245" t="s">
        <v>753</v>
      </c>
      <c r="AL2" s="244" t="s">
        <v>753</v>
      </c>
      <c r="AM2" s="245" t="s">
        <v>754</v>
      </c>
      <c r="AN2" s="244" t="s">
        <v>753</v>
      </c>
      <c r="AO2" s="245" t="s">
        <v>754</v>
      </c>
      <c r="AP2" s="513" t="s">
        <v>753</v>
      </c>
      <c r="AQ2" s="244" t="s">
        <v>753</v>
      </c>
      <c r="AR2" s="245" t="s">
        <v>754</v>
      </c>
      <c r="AS2" s="244" t="s">
        <v>753</v>
      </c>
      <c r="AT2" s="245" t="s">
        <v>754</v>
      </c>
      <c r="AU2" s="245" t="s">
        <v>753</v>
      </c>
      <c r="AV2" s="244" t="s">
        <v>753</v>
      </c>
      <c r="AW2" s="245" t="s">
        <v>754</v>
      </c>
      <c r="AX2" s="244" t="s">
        <v>753</v>
      </c>
      <c r="AY2" s="245" t="s">
        <v>754</v>
      </c>
      <c r="AZ2" s="245" t="s">
        <v>753</v>
      </c>
      <c r="BA2" s="244" t="s">
        <v>753</v>
      </c>
      <c r="BB2" s="245" t="s">
        <v>754</v>
      </c>
      <c r="BC2" s="244" t="s">
        <v>753</v>
      </c>
      <c r="BD2" s="245" t="s">
        <v>754</v>
      </c>
      <c r="BE2" s="513" t="s">
        <v>753</v>
      </c>
      <c r="BF2" s="694" t="s">
        <v>1045</v>
      </c>
      <c r="BG2" s="487" t="s">
        <v>1048</v>
      </c>
      <c r="BH2" s="487" t="s">
        <v>1046</v>
      </c>
      <c r="BI2" s="255" t="s">
        <v>755</v>
      </c>
      <c r="BJ2" s="256" t="s">
        <v>780</v>
      </c>
      <c r="BK2" s="989" t="s">
        <v>756</v>
      </c>
      <c r="BL2" s="990"/>
      <c r="BM2" s="990"/>
      <c r="BN2" s="990"/>
      <c r="BO2" s="990"/>
      <c r="BP2" s="990"/>
      <c r="BQ2" s="990"/>
      <c r="BR2" s="990"/>
      <c r="BS2" s="1001" t="s">
        <v>1030</v>
      </c>
      <c r="BT2" s="1001"/>
      <c r="BU2" s="1001"/>
      <c r="BV2" s="1001"/>
      <c r="BW2" s="1001"/>
      <c r="BX2" s="1001"/>
      <c r="BY2" s="1001"/>
      <c r="BZ2" s="1001"/>
      <c r="CA2" s="1001"/>
      <c r="CB2" s="1001"/>
      <c r="CC2" s="1001"/>
      <c r="CD2" s="1001"/>
      <c r="CE2" s="1001" t="s">
        <v>1029</v>
      </c>
      <c r="CF2" s="1001"/>
      <c r="CG2" s="1001"/>
      <c r="CH2" s="1001"/>
      <c r="CI2" s="1001"/>
      <c r="CJ2" s="1001"/>
      <c r="CK2" s="1001"/>
      <c r="CL2" s="1001"/>
      <c r="CM2" s="1001"/>
      <c r="CN2" s="1002"/>
      <c r="CO2" s="997" t="s">
        <v>1083</v>
      </c>
      <c r="CP2" s="998"/>
      <c r="CQ2" s="998"/>
      <c r="CR2" s="998"/>
      <c r="CS2" s="998"/>
      <c r="CT2" s="998"/>
      <c r="CU2" s="999"/>
      <c r="CV2" s="997" t="s">
        <v>1116</v>
      </c>
      <c r="CW2" s="998"/>
      <c r="CX2" s="998"/>
      <c r="CY2" s="998"/>
      <c r="CZ2" s="998"/>
      <c r="DA2" s="998"/>
      <c r="DB2" s="999"/>
      <c r="DC2" s="997" t="s">
        <v>979</v>
      </c>
      <c r="DD2" s="998"/>
      <c r="DE2" s="998"/>
      <c r="DF2" s="998"/>
      <c r="DG2" s="998" t="s">
        <v>980</v>
      </c>
      <c r="DH2" s="999"/>
      <c r="DI2" s="991" t="s">
        <v>757</v>
      </c>
      <c r="DJ2" s="992"/>
      <c r="DK2" s="992"/>
      <c r="DL2" s="992"/>
      <c r="DM2" s="992"/>
      <c r="DN2" s="992"/>
      <c r="DO2" s="992"/>
      <c r="DP2" s="992"/>
      <c r="DQ2" s="992"/>
      <c r="DR2" s="993"/>
      <c r="DS2" s="994" t="s">
        <v>770</v>
      </c>
      <c r="DT2" s="995"/>
      <c r="DU2" s="995"/>
      <c r="DV2" s="995"/>
      <c r="DW2" s="996"/>
      <c r="DX2" s="994" t="s">
        <v>771</v>
      </c>
      <c r="DY2" s="995"/>
      <c r="DZ2" s="995"/>
      <c r="EA2" s="995"/>
      <c r="EB2" s="996"/>
      <c r="EC2" s="994" t="s">
        <v>772</v>
      </c>
      <c r="ED2" s="995"/>
      <c r="EE2" s="995"/>
      <c r="EF2" s="995"/>
      <c r="EG2" s="996"/>
      <c r="EH2" s="486"/>
      <c r="EI2" s="357"/>
    </row>
    <row r="3" spans="1:139" s="251" customFormat="1" ht="56.25" customHeight="1" x14ac:dyDescent="0.2">
      <c r="A3" s="246" t="s">
        <v>581</v>
      </c>
      <c r="B3" s="247"/>
      <c r="C3" s="241"/>
      <c r="D3" s="241"/>
      <c r="E3" s="241" t="s">
        <v>750</v>
      </c>
      <c r="F3" s="248"/>
      <c r="G3" s="629"/>
      <c r="H3" s="249" t="s">
        <v>563</v>
      </c>
      <c r="I3" s="250" t="s">
        <v>563</v>
      </c>
      <c r="J3" s="250" t="s">
        <v>563</v>
      </c>
      <c r="K3" s="250" t="s">
        <v>563</v>
      </c>
      <c r="L3" s="250" t="s">
        <v>563</v>
      </c>
      <c r="M3" s="250" t="s">
        <v>563</v>
      </c>
      <c r="N3" s="250" t="s">
        <v>563</v>
      </c>
      <c r="O3" s="250" t="s">
        <v>563</v>
      </c>
      <c r="P3" s="250" t="s">
        <v>563</v>
      </c>
      <c r="Q3" s="250" t="s">
        <v>563</v>
      </c>
      <c r="R3" s="250" t="s">
        <v>563</v>
      </c>
      <c r="S3" s="250" t="s">
        <v>563</v>
      </c>
      <c r="T3" s="250" t="s">
        <v>563</v>
      </c>
      <c r="U3" s="250" t="s">
        <v>563</v>
      </c>
      <c r="V3" s="250" t="s">
        <v>563</v>
      </c>
      <c r="W3" s="250" t="s">
        <v>563</v>
      </c>
      <c r="X3" s="250" t="s">
        <v>563</v>
      </c>
      <c r="Y3" s="250" t="s">
        <v>563</v>
      </c>
      <c r="Z3" s="250" t="s">
        <v>563</v>
      </c>
      <c r="AA3" s="250" t="s">
        <v>563</v>
      </c>
      <c r="AB3" s="250" t="s">
        <v>563</v>
      </c>
      <c r="AC3" s="250" t="s">
        <v>563</v>
      </c>
      <c r="AD3" s="250" t="s">
        <v>563</v>
      </c>
      <c r="AE3" s="250" t="s">
        <v>563</v>
      </c>
      <c r="AF3" s="250" t="s">
        <v>563</v>
      </c>
      <c r="AG3" s="250" t="s">
        <v>563</v>
      </c>
      <c r="AH3" s="250" t="s">
        <v>563</v>
      </c>
      <c r="AI3" s="250" t="s">
        <v>563</v>
      </c>
      <c r="AJ3" s="250" t="s">
        <v>563</v>
      </c>
      <c r="AK3" s="250" t="s">
        <v>563</v>
      </c>
      <c r="AL3" s="250" t="s">
        <v>563</v>
      </c>
      <c r="AM3" s="250" t="s">
        <v>563</v>
      </c>
      <c r="AN3" s="250" t="s">
        <v>563</v>
      </c>
      <c r="AO3" s="250" t="s">
        <v>563</v>
      </c>
      <c r="AP3" s="514" t="s">
        <v>563</v>
      </c>
      <c r="AQ3" s="250" t="s">
        <v>563</v>
      </c>
      <c r="AR3" s="250" t="s">
        <v>563</v>
      </c>
      <c r="AS3" s="250" t="s">
        <v>563</v>
      </c>
      <c r="AT3" s="250" t="s">
        <v>563</v>
      </c>
      <c r="AU3" s="250" t="s">
        <v>563</v>
      </c>
      <c r="AV3" s="250" t="s">
        <v>563</v>
      </c>
      <c r="AW3" s="250" t="s">
        <v>563</v>
      </c>
      <c r="AX3" s="250" t="s">
        <v>563</v>
      </c>
      <c r="AY3" s="250" t="s">
        <v>563</v>
      </c>
      <c r="AZ3" s="250" t="s">
        <v>563</v>
      </c>
      <c r="BA3" s="250" t="s">
        <v>563</v>
      </c>
      <c r="BB3" s="250" t="s">
        <v>563</v>
      </c>
      <c r="BC3" s="250" t="s">
        <v>563</v>
      </c>
      <c r="BD3" s="250" t="s">
        <v>563</v>
      </c>
      <c r="BE3" s="514" t="s">
        <v>563</v>
      </c>
      <c r="BF3" s="695"/>
      <c r="BG3" s="600"/>
      <c r="BH3" s="600" t="s">
        <v>565</v>
      </c>
      <c r="BI3" s="252" t="s">
        <v>843</v>
      </c>
      <c r="BJ3" s="253"/>
      <c r="BK3" s="254" t="s">
        <v>917</v>
      </c>
      <c r="BL3" s="254" t="s">
        <v>918</v>
      </c>
      <c r="BM3" s="518" t="s">
        <v>919</v>
      </c>
      <c r="BN3" s="518" t="s">
        <v>920</v>
      </c>
      <c r="BO3" s="254" t="s">
        <v>917</v>
      </c>
      <c r="BP3" s="254" t="s">
        <v>918</v>
      </c>
      <c r="BQ3" s="258" t="s">
        <v>842</v>
      </c>
      <c r="BR3" s="712"/>
      <c r="BS3" s="485" t="s">
        <v>1041</v>
      </c>
      <c r="BT3" s="485" t="s">
        <v>1042</v>
      </c>
      <c r="BU3" s="485" t="s">
        <v>1005</v>
      </c>
      <c r="BV3" s="485" t="s">
        <v>1006</v>
      </c>
      <c r="BW3" s="485" t="s">
        <v>1098</v>
      </c>
      <c r="BX3" s="485" t="s">
        <v>1006</v>
      </c>
      <c r="BY3" s="485" t="s">
        <v>1100</v>
      </c>
      <c r="BZ3" s="485" t="s">
        <v>1006</v>
      </c>
      <c r="CA3" s="485" t="s">
        <v>1005</v>
      </c>
      <c r="CB3" s="485" t="s">
        <v>1006</v>
      </c>
      <c r="CC3" s="527" t="s">
        <v>1017</v>
      </c>
      <c r="CD3" s="485" t="s">
        <v>1004</v>
      </c>
      <c r="CE3" s="485" t="s">
        <v>917</v>
      </c>
      <c r="CF3" s="485" t="s">
        <v>918</v>
      </c>
      <c r="CG3" s="485" t="s">
        <v>917</v>
      </c>
      <c r="CH3" s="485" t="s">
        <v>918</v>
      </c>
      <c r="CI3" s="485" t="s">
        <v>917</v>
      </c>
      <c r="CJ3" s="485" t="s">
        <v>918</v>
      </c>
      <c r="CK3" s="485" t="s">
        <v>1099</v>
      </c>
      <c r="CL3" s="485" t="s">
        <v>918</v>
      </c>
      <c r="CM3" s="485" t="s">
        <v>917</v>
      </c>
      <c r="CN3" s="527" t="s">
        <v>918</v>
      </c>
      <c r="CO3" s="1003" t="s">
        <v>961</v>
      </c>
      <c r="CP3" s="1003"/>
      <c r="CQ3" s="1003" t="s">
        <v>962</v>
      </c>
      <c r="CR3" s="1003"/>
      <c r="CS3" s="1003" t="s">
        <v>963</v>
      </c>
      <c r="CT3" s="1003"/>
      <c r="CU3" s="722"/>
      <c r="CV3" s="1003" t="s">
        <v>961</v>
      </c>
      <c r="CW3" s="1003"/>
      <c r="CX3" s="1003" t="s">
        <v>962</v>
      </c>
      <c r="CY3" s="1003"/>
      <c r="CZ3" s="1003" t="s">
        <v>963</v>
      </c>
      <c r="DA3" s="1003"/>
      <c r="DB3" s="722"/>
      <c r="DC3" s="1000" t="s">
        <v>959</v>
      </c>
      <c r="DD3" s="1000"/>
      <c r="DE3" s="1000" t="s">
        <v>960</v>
      </c>
      <c r="DF3" s="1000"/>
      <c r="DG3" s="723" t="s">
        <v>959</v>
      </c>
      <c r="DH3" s="724" t="s">
        <v>960</v>
      </c>
      <c r="DI3" s="259" t="s">
        <v>567</v>
      </c>
      <c r="DJ3" s="260" t="s">
        <v>567</v>
      </c>
      <c r="DK3" s="260" t="s">
        <v>567</v>
      </c>
      <c r="DL3" s="261" t="s">
        <v>568</v>
      </c>
      <c r="DM3" s="261" t="s">
        <v>569</v>
      </c>
      <c r="DN3" s="261" t="s">
        <v>569</v>
      </c>
      <c r="DO3" s="261" t="s">
        <v>568</v>
      </c>
      <c r="DP3" s="261" t="s">
        <v>569</v>
      </c>
      <c r="DQ3" s="261" t="s">
        <v>569</v>
      </c>
      <c r="DR3" s="262"/>
      <c r="DS3" s="263" t="s">
        <v>579</v>
      </c>
      <c r="DT3" s="263" t="s">
        <v>579</v>
      </c>
      <c r="DU3" s="263" t="s">
        <v>579</v>
      </c>
      <c r="DV3" s="263" t="s">
        <v>579</v>
      </c>
      <c r="DW3" s="263" t="s">
        <v>579</v>
      </c>
      <c r="DX3" s="263" t="s">
        <v>579</v>
      </c>
      <c r="DY3" s="263" t="s">
        <v>579</v>
      </c>
      <c r="DZ3" s="263" t="s">
        <v>579</v>
      </c>
      <c r="EA3" s="263" t="s">
        <v>579</v>
      </c>
      <c r="EB3" s="263" t="s">
        <v>579</v>
      </c>
      <c r="EC3" s="986" t="s">
        <v>997</v>
      </c>
      <c r="ED3" s="987"/>
      <c r="EE3" s="987"/>
      <c r="EF3" s="987"/>
      <c r="EG3" s="988"/>
      <c r="EI3" s="358"/>
    </row>
    <row r="4" spans="1:139" s="503" customFormat="1" ht="48" customHeight="1" thickBot="1" x14ac:dyDescent="0.3">
      <c r="A4" s="488" t="s">
        <v>561</v>
      </c>
      <c r="B4" s="489" t="s">
        <v>555</v>
      </c>
      <c r="C4" s="490" t="s">
        <v>601</v>
      </c>
      <c r="D4" s="491" t="s">
        <v>556</v>
      </c>
      <c r="E4" s="491" t="s">
        <v>558</v>
      </c>
      <c r="F4" s="492" t="s">
        <v>935</v>
      </c>
      <c r="G4" s="492" t="s">
        <v>934</v>
      </c>
      <c r="H4" s="493" t="s">
        <v>810</v>
      </c>
      <c r="I4" s="494" t="s">
        <v>176</v>
      </c>
      <c r="J4" s="494" t="s">
        <v>613</v>
      </c>
      <c r="K4" s="494" t="s">
        <v>154</v>
      </c>
      <c r="L4" s="494" t="s">
        <v>153</v>
      </c>
      <c r="M4" s="494" t="s">
        <v>811</v>
      </c>
      <c r="N4" s="494" t="s">
        <v>155</v>
      </c>
      <c r="O4" s="494" t="s">
        <v>612</v>
      </c>
      <c r="P4" s="494" t="s">
        <v>156</v>
      </c>
      <c r="Q4" s="494" t="s">
        <v>157</v>
      </c>
      <c r="R4" s="494" t="s">
        <v>812</v>
      </c>
      <c r="S4" s="494" t="s">
        <v>158</v>
      </c>
      <c r="T4" s="494" t="s">
        <v>611</v>
      </c>
      <c r="U4" s="494" t="s">
        <v>159</v>
      </c>
      <c r="V4" s="494" t="s">
        <v>160</v>
      </c>
      <c r="W4" s="494" t="s">
        <v>813</v>
      </c>
      <c r="X4" s="494" t="s">
        <v>387</v>
      </c>
      <c r="Y4" s="494" t="s">
        <v>610</v>
      </c>
      <c r="Z4" s="494" t="s">
        <v>388</v>
      </c>
      <c r="AA4" s="494" t="s">
        <v>389</v>
      </c>
      <c r="AB4" s="494" t="s">
        <v>814</v>
      </c>
      <c r="AC4" s="494" t="s">
        <v>161</v>
      </c>
      <c r="AD4" s="494" t="s">
        <v>609</v>
      </c>
      <c r="AE4" s="494" t="s">
        <v>162</v>
      </c>
      <c r="AF4" s="494" t="s">
        <v>163</v>
      </c>
      <c r="AG4" s="494" t="s">
        <v>815</v>
      </c>
      <c r="AH4" s="494" t="s">
        <v>164</v>
      </c>
      <c r="AI4" s="494" t="s">
        <v>608</v>
      </c>
      <c r="AJ4" s="494" t="s">
        <v>165</v>
      </c>
      <c r="AK4" s="494" t="s">
        <v>166</v>
      </c>
      <c r="AL4" s="494" t="s">
        <v>816</v>
      </c>
      <c r="AM4" s="494" t="s">
        <v>167</v>
      </c>
      <c r="AN4" s="494" t="s">
        <v>607</v>
      </c>
      <c r="AO4" s="494" t="s">
        <v>168</v>
      </c>
      <c r="AP4" s="515" t="s">
        <v>169</v>
      </c>
      <c r="AQ4" s="494" t="s">
        <v>817</v>
      </c>
      <c r="AR4" s="494" t="s">
        <v>170</v>
      </c>
      <c r="AS4" s="494" t="s">
        <v>606</v>
      </c>
      <c r="AT4" s="494" t="s">
        <v>171</v>
      </c>
      <c r="AU4" s="494" t="s">
        <v>172</v>
      </c>
      <c r="AV4" s="494" t="s">
        <v>818</v>
      </c>
      <c r="AW4" s="494" t="s">
        <v>390</v>
      </c>
      <c r="AX4" s="494" t="s">
        <v>605</v>
      </c>
      <c r="AY4" s="494" t="s">
        <v>391</v>
      </c>
      <c r="AZ4" s="494" t="s">
        <v>392</v>
      </c>
      <c r="BA4" s="494" t="s">
        <v>819</v>
      </c>
      <c r="BB4" s="494" t="s">
        <v>173</v>
      </c>
      <c r="BC4" s="494" t="s">
        <v>604</v>
      </c>
      <c r="BD4" s="494" t="s">
        <v>174</v>
      </c>
      <c r="BE4" s="515" t="s">
        <v>175</v>
      </c>
      <c r="BF4" s="696" t="s">
        <v>1044</v>
      </c>
      <c r="BG4" s="495" t="s">
        <v>1049</v>
      </c>
      <c r="BH4" s="495" t="s">
        <v>1047</v>
      </c>
      <c r="BI4" s="496" t="s">
        <v>652</v>
      </c>
      <c r="BJ4" s="496" t="s">
        <v>759</v>
      </c>
      <c r="BK4" s="594" t="s">
        <v>588</v>
      </c>
      <c r="BL4" s="594"/>
      <c r="BM4" s="594" t="s">
        <v>180</v>
      </c>
      <c r="BN4" s="594"/>
      <c r="BO4" s="594" t="s">
        <v>1</v>
      </c>
      <c r="BP4" s="594"/>
      <c r="BQ4" s="621" t="s">
        <v>760</v>
      </c>
      <c r="BR4" s="711" t="s">
        <v>761</v>
      </c>
      <c r="BS4" s="714" t="s">
        <v>1007</v>
      </c>
      <c r="BT4" s="715" t="s">
        <v>1008</v>
      </c>
      <c r="BU4" s="716" t="s">
        <v>1009</v>
      </c>
      <c r="BV4" s="716" t="s">
        <v>1010</v>
      </c>
      <c r="BW4" s="716" t="s">
        <v>1011</v>
      </c>
      <c r="BX4" s="716" t="s">
        <v>1012</v>
      </c>
      <c r="BY4" s="716" t="s">
        <v>1013</v>
      </c>
      <c r="BZ4" s="716" t="s">
        <v>1014</v>
      </c>
      <c r="CA4" s="717" t="s">
        <v>1015</v>
      </c>
      <c r="CB4" s="718" t="s">
        <v>1016</v>
      </c>
      <c r="CC4" s="719" t="s">
        <v>1101</v>
      </c>
      <c r="CD4" s="720" t="s">
        <v>601</v>
      </c>
      <c r="CE4" s="715" t="s">
        <v>1019</v>
      </c>
      <c r="CF4" s="715" t="s">
        <v>1020</v>
      </c>
      <c r="CG4" s="716" t="s">
        <v>1021</v>
      </c>
      <c r="CH4" s="716" t="s">
        <v>1022</v>
      </c>
      <c r="CI4" s="716" t="s">
        <v>1023</v>
      </c>
      <c r="CJ4" s="716" t="s">
        <v>1024</v>
      </c>
      <c r="CK4" s="716" t="s">
        <v>1025</v>
      </c>
      <c r="CL4" s="716" t="s">
        <v>1026</v>
      </c>
      <c r="CM4" s="721" t="s">
        <v>1027</v>
      </c>
      <c r="CN4" s="721" t="s">
        <v>1028</v>
      </c>
      <c r="CO4" s="725" t="s">
        <v>1084</v>
      </c>
      <c r="CP4" s="725" t="s">
        <v>1085</v>
      </c>
      <c r="CQ4" s="725" t="s">
        <v>1086</v>
      </c>
      <c r="CR4" s="725" t="s">
        <v>1087</v>
      </c>
      <c r="CS4" s="725" t="s">
        <v>1088</v>
      </c>
      <c r="CT4" s="725" t="s">
        <v>1089</v>
      </c>
      <c r="CU4" s="726" t="s">
        <v>278</v>
      </c>
      <c r="CV4" s="725" t="s">
        <v>1090</v>
      </c>
      <c r="CW4" s="725" t="s">
        <v>1091</v>
      </c>
      <c r="CX4" s="725" t="s">
        <v>1092</v>
      </c>
      <c r="CY4" s="725" t="s">
        <v>1093</v>
      </c>
      <c r="CZ4" s="725" t="s">
        <v>1094</v>
      </c>
      <c r="DA4" s="725" t="s">
        <v>1094</v>
      </c>
      <c r="DB4" s="726" t="s">
        <v>278</v>
      </c>
      <c r="DC4" s="725" t="s">
        <v>1088</v>
      </c>
      <c r="DD4" s="725" t="s">
        <v>1089</v>
      </c>
      <c r="DE4" s="725" t="s">
        <v>1094</v>
      </c>
      <c r="DF4" s="725" t="s">
        <v>1095</v>
      </c>
      <c r="DG4" s="725" t="s">
        <v>1096</v>
      </c>
      <c r="DH4" s="726" t="s">
        <v>1097</v>
      </c>
      <c r="DI4" s="500" t="s">
        <v>762</v>
      </c>
      <c r="DJ4" s="501" t="s">
        <v>758</v>
      </c>
      <c r="DK4" s="501" t="s">
        <v>428</v>
      </c>
      <c r="DL4" s="501" t="s">
        <v>977</v>
      </c>
      <c r="DM4" s="501" t="s">
        <v>764</v>
      </c>
      <c r="DN4" s="501" t="s">
        <v>765</v>
      </c>
      <c r="DO4" s="501" t="s">
        <v>766</v>
      </c>
      <c r="DP4" s="501" t="s">
        <v>767</v>
      </c>
      <c r="DQ4" s="501" t="s">
        <v>768</v>
      </c>
      <c r="DR4" s="501" t="s">
        <v>769</v>
      </c>
      <c r="DS4" s="502" t="s">
        <v>455</v>
      </c>
      <c r="DT4" s="502" t="s">
        <v>456</v>
      </c>
      <c r="DU4" s="494" t="s">
        <v>462</v>
      </c>
      <c r="DV4" s="502" t="s">
        <v>577</v>
      </c>
      <c r="DW4" s="502" t="s">
        <v>578</v>
      </c>
      <c r="DX4" s="502" t="s">
        <v>459</v>
      </c>
      <c r="DY4" s="502" t="s">
        <v>460</v>
      </c>
      <c r="DZ4" s="494" t="s">
        <v>461</v>
      </c>
      <c r="EA4" s="502" t="s">
        <v>570</v>
      </c>
      <c r="EB4" s="502" t="s">
        <v>571</v>
      </c>
      <c r="EC4" s="502" t="s">
        <v>572</v>
      </c>
      <c r="ED4" s="502" t="s">
        <v>573</v>
      </c>
      <c r="EE4" s="494" t="s">
        <v>574</v>
      </c>
      <c r="EF4" s="502" t="s">
        <v>575</v>
      </c>
      <c r="EG4" s="502" t="s">
        <v>576</v>
      </c>
      <c r="EH4" s="503" t="s">
        <v>631</v>
      </c>
      <c r="EI4" s="504"/>
    </row>
    <row r="5" spans="1:139" s="8" customFormat="1" ht="15" customHeight="1" x14ac:dyDescent="0.25">
      <c r="A5" s="8">
        <v>1</v>
      </c>
      <c r="B5" s="4" t="s">
        <v>694</v>
      </c>
      <c r="C5" s="4"/>
      <c r="D5" s="9" t="s">
        <v>78</v>
      </c>
      <c r="E5" s="9" t="s">
        <v>73</v>
      </c>
      <c r="F5" s="9" t="s">
        <v>8</v>
      </c>
      <c r="G5" s="9" t="s">
        <v>6</v>
      </c>
      <c r="H5" s="539">
        <v>0.79300000000000004</v>
      </c>
      <c r="I5" s="539">
        <v>0.7706411905121594</v>
      </c>
      <c r="J5" s="539">
        <v>0.82099999999999995</v>
      </c>
      <c r="K5" s="539">
        <v>0.81276296876179988</v>
      </c>
      <c r="L5" s="539">
        <v>0.78900000000000003</v>
      </c>
      <c r="M5" s="539">
        <v>0.80700000000000005</v>
      </c>
      <c r="N5" s="539">
        <v>0.77488714659063906</v>
      </c>
      <c r="O5" s="539">
        <v>0.85499999999999998</v>
      </c>
      <c r="P5" s="539">
        <v>0.82091037663986088</v>
      </c>
      <c r="Q5" s="539">
        <v>0.79200000000000004</v>
      </c>
      <c r="R5" s="539">
        <v>0.82899999999999996</v>
      </c>
      <c r="S5" s="539">
        <v>0.76999040961919929</v>
      </c>
      <c r="T5" s="539">
        <v>0.77800000000000002</v>
      </c>
      <c r="U5" s="539">
        <v>0.81548974109345373</v>
      </c>
      <c r="V5" s="539">
        <v>0.78400000000000003</v>
      </c>
      <c r="W5" s="539">
        <v>-99</v>
      </c>
      <c r="X5" s="539">
        <v>-99</v>
      </c>
      <c r="Y5" s="539">
        <v>-99</v>
      </c>
      <c r="Z5" s="539">
        <v>-99</v>
      </c>
      <c r="AA5" s="539">
        <v>-99</v>
      </c>
      <c r="AB5" s="539">
        <v>0.61499999999999999</v>
      </c>
      <c r="AC5" s="539">
        <v>0.75766906989816019</v>
      </c>
      <c r="AD5" s="539">
        <v>0.84199999999999997</v>
      </c>
      <c r="AE5" s="539">
        <v>0.77237817979612555</v>
      </c>
      <c r="AF5" s="539">
        <v>0.79100000000000004</v>
      </c>
      <c r="AG5" s="539">
        <v>-99</v>
      </c>
      <c r="AH5" s="540">
        <v>-99</v>
      </c>
      <c r="AI5" s="539">
        <v>-99</v>
      </c>
      <c r="AJ5" s="540">
        <v>-99</v>
      </c>
      <c r="AK5" s="539">
        <v>-99</v>
      </c>
      <c r="AL5" s="539">
        <v>-99</v>
      </c>
      <c r="AM5" s="540">
        <v>-99</v>
      </c>
      <c r="AN5" s="539">
        <v>-99</v>
      </c>
      <c r="AO5" s="540">
        <v>-99</v>
      </c>
      <c r="AP5" s="541">
        <v>-99</v>
      </c>
      <c r="AQ5" s="539">
        <v>-99</v>
      </c>
      <c r="AR5" s="540">
        <v>-99</v>
      </c>
      <c r="AS5" s="539">
        <v>-99</v>
      </c>
      <c r="AT5" s="540">
        <v>-99</v>
      </c>
      <c r="AU5" s="539">
        <v>-99</v>
      </c>
      <c r="AV5" s="540">
        <v>-99</v>
      </c>
      <c r="AW5" s="540">
        <v>-99</v>
      </c>
      <c r="AX5" s="540">
        <v>-99</v>
      </c>
      <c r="AY5" s="540">
        <v>-99</v>
      </c>
      <c r="AZ5" s="539">
        <v>-99</v>
      </c>
      <c r="BA5" s="539">
        <v>-99</v>
      </c>
      <c r="BB5" s="540">
        <v>-99</v>
      </c>
      <c r="BC5" s="539">
        <v>-99</v>
      </c>
      <c r="BD5" s="540">
        <v>-99</v>
      </c>
      <c r="BE5" s="541">
        <v>-99</v>
      </c>
      <c r="BF5" s="542">
        <v>0.76</v>
      </c>
      <c r="BG5" s="542">
        <v>0.61</v>
      </c>
      <c r="BH5" s="542">
        <v>0.66</v>
      </c>
      <c r="BI5" s="636">
        <v>-98</v>
      </c>
      <c r="BJ5" s="636"/>
      <c r="BK5" s="623">
        <f>768-293</f>
        <v>475</v>
      </c>
      <c r="BL5" s="612">
        <v>0</v>
      </c>
      <c r="BM5" s="545">
        <v>310</v>
      </c>
      <c r="BN5" s="612">
        <v>8.5</v>
      </c>
      <c r="BO5" s="623"/>
      <c r="BP5" s="623"/>
      <c r="BQ5" s="611"/>
      <c r="BR5" s="623" t="s">
        <v>1078</v>
      </c>
      <c r="BS5" s="648">
        <v>369.70118800515468</v>
      </c>
      <c r="BT5" s="648">
        <v>18.795947140910716</v>
      </c>
      <c r="BU5" s="648">
        <v>378.5</v>
      </c>
      <c r="BV5" s="648">
        <v>20.5</v>
      </c>
      <c r="BW5" s="648">
        <v>364.6</v>
      </c>
      <c r="BX5" s="648" t="s">
        <v>188</v>
      </c>
      <c r="BY5" s="648" t="s">
        <v>188</v>
      </c>
      <c r="BZ5" s="648">
        <v>17.100000000000001</v>
      </c>
      <c r="CA5" s="648">
        <v>353.3</v>
      </c>
      <c r="CB5" s="648">
        <v>19.2</v>
      </c>
      <c r="CC5" s="750" t="s">
        <v>995</v>
      </c>
      <c r="CD5" s="748" t="s">
        <v>1102</v>
      </c>
      <c r="CE5" s="749">
        <v>124022052.892993</v>
      </c>
      <c r="CF5" s="748">
        <v>86570376.554402798</v>
      </c>
      <c r="CG5" s="748">
        <v>81413738.965709195</v>
      </c>
      <c r="CH5" s="748">
        <v>38456769.230479397</v>
      </c>
      <c r="CI5" s="748">
        <v>30784429.0749765</v>
      </c>
      <c r="CJ5" s="748" t="s">
        <v>188</v>
      </c>
      <c r="CK5" s="748" t="s">
        <v>188</v>
      </c>
      <c r="CL5" s="748">
        <v>36922473.745037504</v>
      </c>
      <c r="CM5" s="748">
        <v>11823884.852307299</v>
      </c>
      <c r="CN5" s="751">
        <v>11191133.578885799</v>
      </c>
      <c r="CO5" s="623" t="s">
        <v>188</v>
      </c>
      <c r="CP5" s="623" t="s">
        <v>188</v>
      </c>
      <c r="CQ5" s="623" t="s">
        <v>188</v>
      </c>
      <c r="CR5" s="623" t="s">
        <v>188</v>
      </c>
      <c r="CS5" s="623" t="s">
        <v>188</v>
      </c>
      <c r="CT5" s="623" t="s">
        <v>188</v>
      </c>
      <c r="CU5" s="623" t="s">
        <v>188</v>
      </c>
      <c r="CV5" s="623" t="s">
        <v>188</v>
      </c>
      <c r="CW5" s="623" t="s">
        <v>188</v>
      </c>
      <c r="CX5" s="623" t="s">
        <v>188</v>
      </c>
      <c r="CY5" s="623" t="s">
        <v>188</v>
      </c>
      <c r="CZ5" s="623" t="s">
        <v>188</v>
      </c>
      <c r="DA5" s="623" t="s">
        <v>188</v>
      </c>
      <c r="DB5" s="623" t="s">
        <v>188</v>
      </c>
      <c r="DC5" s="623" t="s">
        <v>188</v>
      </c>
      <c r="DD5" s="623" t="s">
        <v>188</v>
      </c>
      <c r="DE5" s="623" t="s">
        <v>188</v>
      </c>
      <c r="DF5" s="623" t="s">
        <v>188</v>
      </c>
      <c r="DG5" s="623" t="s">
        <v>188</v>
      </c>
      <c r="DH5" s="623" t="s">
        <v>188</v>
      </c>
      <c r="DI5" s="550" t="str">
        <f>IFERROR(INDEX('Price Point Data'!O:O,MATCH($B5,'Price Point Data'!$A:$A,0)),-99)</f>
        <v>Under $500 to $1500</v>
      </c>
      <c r="DJ5" s="551">
        <f>IFERROR(INDEX('Price Point Data'!P:P,MATCH($B5,'Price Point Data'!$A:$A,0)),-99)</f>
        <v>0.93103448275862066</v>
      </c>
      <c r="DK5" s="550">
        <f>IFERROR(INDEX('Price Point Data'!Q:Q,MATCH($B5,'Price Point Data'!$A:$A,0)),-99)</f>
        <v>116</v>
      </c>
      <c r="DL5" s="550" t="str">
        <f>IFERROR(INDEX('Price Point Data'!I:I,MATCH($B5,'Price Point Data'!$A:$A,0)),-99)</f>
        <v>Under $500</v>
      </c>
      <c r="DM5" s="551">
        <f>IFERROR(INDEX('Price Point Data'!J:J,MATCH($B5,'Price Point Data'!$A:$A,0)),-99)</f>
        <v>0.25</v>
      </c>
      <c r="DN5" s="550">
        <f>IFERROR(INDEX('Price Point Data'!K:K,MATCH($B5,'Price Point Data'!$A:$A,0)),-99)</f>
        <v>4</v>
      </c>
      <c r="DO5" s="550" t="str">
        <f>IFERROR(INDEX('Price Point Data'!L:L,MATCH($B5,'Price Point Data'!$A:$A,0)),-99)</f>
        <v>No constraint</v>
      </c>
      <c r="DP5" s="550" t="str">
        <f>IFERROR(INDEX('Price Point Data'!M:M,MATCH($B5,'Price Point Data'!$A:$A,0)),-99)</f>
        <v>N/A</v>
      </c>
      <c r="DQ5" s="550" t="str">
        <f>IFERROR(INDEX('Price Point Data'!N:N,MATCH($B5,'Price Point Data'!$A:$A,0)),-99)</f>
        <v>N/A</v>
      </c>
      <c r="DR5" s="550"/>
      <c r="DS5" s="552">
        <v>40544</v>
      </c>
      <c r="DT5" s="636" t="s">
        <v>422</v>
      </c>
      <c r="DU5" s="636" t="s">
        <v>457</v>
      </c>
      <c r="DV5" s="552">
        <v>42070</v>
      </c>
      <c r="DW5" s="636" t="s">
        <v>414</v>
      </c>
      <c r="DX5" s="552">
        <v>41306</v>
      </c>
      <c r="DY5" s="636" t="s">
        <v>189</v>
      </c>
      <c r="DZ5" s="636" t="s">
        <v>457</v>
      </c>
      <c r="EA5" s="552">
        <v>42070</v>
      </c>
      <c r="EB5" s="636" t="s">
        <v>190</v>
      </c>
      <c r="EC5" s="552" t="s">
        <v>191</v>
      </c>
      <c r="ED5" s="636" t="s">
        <v>191</v>
      </c>
      <c r="EE5" s="636" t="s">
        <v>188</v>
      </c>
      <c r="EF5" s="636" t="s">
        <v>188</v>
      </c>
      <c r="EG5" s="636" t="s">
        <v>188</v>
      </c>
      <c r="EH5" s="8">
        <v>116</v>
      </c>
      <c r="EI5" s="359"/>
    </row>
    <row r="6" spans="1:139" s="8" customFormat="1" x14ac:dyDescent="0.25">
      <c r="A6" s="16">
        <v>2</v>
      </c>
      <c r="B6" s="19" t="s">
        <v>62</v>
      </c>
      <c r="C6" s="19" t="s">
        <v>124</v>
      </c>
      <c r="D6" s="19" t="s">
        <v>55</v>
      </c>
      <c r="E6" s="19" t="s">
        <v>73</v>
      </c>
      <c r="F6" s="19" t="s">
        <v>8</v>
      </c>
      <c r="G6" s="19" t="s">
        <v>837</v>
      </c>
      <c r="H6" s="539">
        <v>-99</v>
      </c>
      <c r="I6" s="539">
        <v>0.35085418252428829</v>
      </c>
      <c r="J6" s="539">
        <v>-99</v>
      </c>
      <c r="K6" s="539">
        <v>0.38628919820289026</v>
      </c>
      <c r="L6" s="539">
        <v>0.40300000000000002</v>
      </c>
      <c r="M6" s="539">
        <v>-99</v>
      </c>
      <c r="N6" s="539">
        <v>0.51900000000000002</v>
      </c>
      <c r="O6" s="539">
        <v>-99</v>
      </c>
      <c r="P6" s="539">
        <v>0.496</v>
      </c>
      <c r="Q6" s="539">
        <v>0.49199999999999999</v>
      </c>
      <c r="R6" s="539">
        <v>-99</v>
      </c>
      <c r="S6" s="539">
        <v>0.222</v>
      </c>
      <c r="T6" s="539">
        <v>-99</v>
      </c>
      <c r="U6" s="539">
        <v>0.26400000000000001</v>
      </c>
      <c r="V6" s="539">
        <v>0.28199999999999997</v>
      </c>
      <c r="W6" s="539">
        <v>-99</v>
      </c>
      <c r="X6" s="539">
        <v>-99</v>
      </c>
      <c r="Y6" s="539">
        <v>-99</v>
      </c>
      <c r="Z6" s="539">
        <v>-99</v>
      </c>
      <c r="AA6" s="539">
        <v>-99</v>
      </c>
      <c r="AB6" s="539">
        <v>-99</v>
      </c>
      <c r="AC6" s="539">
        <v>0.435</v>
      </c>
      <c r="AD6" s="539">
        <v>-99</v>
      </c>
      <c r="AE6" s="539">
        <v>0.40600000000000003</v>
      </c>
      <c r="AF6" s="539">
        <v>0.49399999999999999</v>
      </c>
      <c r="AG6" s="539">
        <v>-99</v>
      </c>
      <c r="AH6" s="540">
        <v>-99</v>
      </c>
      <c r="AI6" s="539">
        <v>-99</v>
      </c>
      <c r="AJ6" s="540">
        <v>-99</v>
      </c>
      <c r="AK6" s="539">
        <v>-99</v>
      </c>
      <c r="AL6" s="539">
        <v>-99</v>
      </c>
      <c r="AM6" s="540">
        <v>-99</v>
      </c>
      <c r="AN6" s="539">
        <v>-99</v>
      </c>
      <c r="AO6" s="540">
        <v>-99</v>
      </c>
      <c r="AP6" s="541">
        <v>-99</v>
      </c>
      <c r="AQ6" s="539">
        <v>-99</v>
      </c>
      <c r="AR6" s="540">
        <v>-99</v>
      </c>
      <c r="AS6" s="539">
        <v>-99</v>
      </c>
      <c r="AT6" s="540">
        <v>-99</v>
      </c>
      <c r="AU6" s="539">
        <v>-99</v>
      </c>
      <c r="AV6" s="540">
        <v>-99</v>
      </c>
      <c r="AW6" s="540">
        <v>-99</v>
      </c>
      <c r="AX6" s="540">
        <v>-99</v>
      </c>
      <c r="AY6" s="540">
        <v>-99</v>
      </c>
      <c r="AZ6" s="539">
        <v>-99</v>
      </c>
      <c r="BA6" s="539">
        <v>-99</v>
      </c>
      <c r="BB6" s="540">
        <v>-99</v>
      </c>
      <c r="BC6" s="539">
        <v>-99</v>
      </c>
      <c r="BD6" s="540">
        <v>-99</v>
      </c>
      <c r="BE6" s="541">
        <v>-99</v>
      </c>
      <c r="BF6" s="612"/>
      <c r="BG6" s="612"/>
      <c r="BH6" s="612">
        <v>-99</v>
      </c>
      <c r="BI6" s="637">
        <v>-98</v>
      </c>
      <c r="BJ6" s="637"/>
      <c r="BK6" s="623"/>
      <c r="BL6" s="624"/>
      <c r="BM6" s="545">
        <v>-99</v>
      </c>
      <c r="BN6" s="612">
        <v>-99</v>
      </c>
      <c r="BO6" s="623">
        <f>((256-246)+(360-271.9)+(280.6-240.7)+(370-255))/2</f>
        <v>126.50000000000003</v>
      </c>
      <c r="BP6" s="623">
        <v>0</v>
      </c>
      <c r="BQ6" s="612" t="s">
        <v>628</v>
      </c>
      <c r="BR6" s="623" t="s">
        <v>653</v>
      </c>
      <c r="BS6" s="648" t="s">
        <v>188</v>
      </c>
      <c r="BT6" s="648" t="s">
        <v>188</v>
      </c>
      <c r="BU6" s="648" t="s">
        <v>188</v>
      </c>
      <c r="BV6" s="648" t="s">
        <v>188</v>
      </c>
      <c r="BW6" s="648" t="s">
        <v>188</v>
      </c>
      <c r="BX6" s="648" t="s">
        <v>188</v>
      </c>
      <c r="BY6" s="648" t="s">
        <v>188</v>
      </c>
      <c r="BZ6" s="648" t="s">
        <v>188</v>
      </c>
      <c r="CA6" s="648" t="s">
        <v>188</v>
      </c>
      <c r="CB6" s="648" t="s">
        <v>188</v>
      </c>
      <c r="CC6" s="597" t="s">
        <v>188</v>
      </c>
      <c r="CD6" s="659"/>
      <c r="CE6" s="659" t="s">
        <v>188</v>
      </c>
      <c r="CF6" s="659" t="s">
        <v>188</v>
      </c>
      <c r="CG6" s="659" t="s">
        <v>188</v>
      </c>
      <c r="CH6" s="659" t="s">
        <v>188</v>
      </c>
      <c r="CI6" s="659" t="s">
        <v>188</v>
      </c>
      <c r="CJ6" s="659" t="s">
        <v>188</v>
      </c>
      <c r="CK6" s="659" t="s">
        <v>188</v>
      </c>
      <c r="CL6" s="659" t="s">
        <v>188</v>
      </c>
      <c r="CM6" s="659" t="s">
        <v>188</v>
      </c>
      <c r="CN6" s="660" t="s">
        <v>188</v>
      </c>
      <c r="CO6" s="623" t="s">
        <v>188</v>
      </c>
      <c r="CP6" s="623" t="s">
        <v>188</v>
      </c>
      <c r="CQ6" s="623" t="s">
        <v>188</v>
      </c>
      <c r="CR6" s="623" t="s">
        <v>188</v>
      </c>
      <c r="CS6" s="623" t="s">
        <v>188</v>
      </c>
      <c r="CT6" s="623" t="s">
        <v>188</v>
      </c>
      <c r="CU6" s="623" t="s">
        <v>188</v>
      </c>
      <c r="CV6" s="623" t="s">
        <v>188</v>
      </c>
      <c r="CW6" s="623" t="s">
        <v>188</v>
      </c>
      <c r="CX6" s="623" t="s">
        <v>188</v>
      </c>
      <c r="CY6" s="623" t="s">
        <v>188</v>
      </c>
      <c r="CZ6" s="623" t="s">
        <v>188</v>
      </c>
      <c r="DA6" s="623" t="s">
        <v>188</v>
      </c>
      <c r="DB6" s="623" t="s">
        <v>188</v>
      </c>
      <c r="DC6" s="623" t="s">
        <v>188</v>
      </c>
      <c r="DD6" s="623" t="s">
        <v>188</v>
      </c>
      <c r="DE6" s="623" t="s">
        <v>188</v>
      </c>
      <c r="DF6" s="623" t="s">
        <v>188</v>
      </c>
      <c r="DG6" s="623" t="s">
        <v>188</v>
      </c>
      <c r="DH6" s="623" t="s">
        <v>188</v>
      </c>
      <c r="DI6" s="550">
        <f>IFERROR(INDEX('Price Point Data'!O:O,MATCH($B6,'Price Point Data'!$A:$A,0)),-99)</f>
        <v>-99</v>
      </c>
      <c r="DJ6" s="550">
        <f>IFERROR(INDEX('Price Point Data'!P:P,MATCH($B6,'Price Point Data'!$A:$A,0)),-99)</f>
        <v>-99</v>
      </c>
      <c r="DK6" s="550">
        <f>IFERROR(INDEX('Price Point Data'!Q:Q,MATCH($B6,'Price Point Data'!$A:$A,0)),-99)</f>
        <v>-99</v>
      </c>
      <c r="DL6" s="550">
        <f>IFERROR(INDEX('Price Point Data'!I:I,MATCH($B6,'Price Point Data'!$A:$A,0)),-99)</f>
        <v>-99</v>
      </c>
      <c r="DM6" s="550">
        <f>IFERROR(INDEX('Price Point Data'!J:J,MATCH($B6,'Price Point Data'!$A:$A,0)),-99)</f>
        <v>-99</v>
      </c>
      <c r="DN6" s="550">
        <f>IFERROR(INDEX('Price Point Data'!K:K,MATCH($B6,'Price Point Data'!$A:$A,0)),-99)</f>
        <v>-99</v>
      </c>
      <c r="DO6" s="550">
        <f>IFERROR(INDEX('Price Point Data'!L:L,MATCH($B6,'Price Point Data'!$A:$A,0)),-99)</f>
        <v>-99</v>
      </c>
      <c r="DP6" s="550">
        <f>IFERROR(INDEX('Price Point Data'!M:M,MATCH($B6,'Price Point Data'!$A:$A,0)),-99)</f>
        <v>-99</v>
      </c>
      <c r="DQ6" s="550">
        <f>IFERROR(INDEX('Price Point Data'!N:N,MATCH($B6,'Price Point Data'!$A:$A,0)),-99)</f>
        <v>-99</v>
      </c>
      <c r="DR6" s="636"/>
      <c r="DS6" s="552" t="s">
        <v>188</v>
      </c>
      <c r="DT6" s="636" t="s">
        <v>188</v>
      </c>
      <c r="DU6" s="636" t="s">
        <v>458</v>
      </c>
      <c r="DV6" s="552">
        <v>44197</v>
      </c>
      <c r="DW6" s="636" t="s">
        <v>463</v>
      </c>
      <c r="DX6" s="636" t="s">
        <v>188</v>
      </c>
      <c r="DY6" s="636" t="s">
        <v>188</v>
      </c>
      <c r="DZ6" s="636" t="s">
        <v>188</v>
      </c>
      <c r="EA6" s="636" t="s">
        <v>188</v>
      </c>
      <c r="EB6" s="636" t="s">
        <v>188</v>
      </c>
      <c r="EC6" s="636" t="s">
        <v>188</v>
      </c>
      <c r="ED6" s="636" t="s">
        <v>188</v>
      </c>
      <c r="EE6" s="636" t="s">
        <v>188</v>
      </c>
      <c r="EF6" s="636" t="s">
        <v>188</v>
      </c>
      <c r="EG6" s="636" t="s">
        <v>188</v>
      </c>
      <c r="EH6" s="8">
        <v>59</v>
      </c>
      <c r="EI6" s="359"/>
    </row>
    <row r="7" spans="1:139" s="8" customFormat="1" x14ac:dyDescent="0.25">
      <c r="A7" s="16">
        <v>3</v>
      </c>
      <c r="B7" s="19" t="s">
        <v>704</v>
      </c>
      <c r="C7" s="19" t="s">
        <v>678</v>
      </c>
      <c r="D7" s="19" t="s">
        <v>77</v>
      </c>
      <c r="E7" s="19" t="s">
        <v>73</v>
      </c>
      <c r="F7" s="19"/>
      <c r="G7" s="19" t="s">
        <v>6</v>
      </c>
      <c r="H7" s="539">
        <v>0.73818799999999996</v>
      </c>
      <c r="I7" s="539">
        <v>0.85119241493206299</v>
      </c>
      <c r="J7" s="539">
        <v>0.78763000000000005</v>
      </c>
      <c r="K7" s="539">
        <v>0.87625182161365023</v>
      </c>
      <c r="L7" s="539">
        <v>0.80229399999999995</v>
      </c>
      <c r="M7" s="539">
        <v>0.69960800000000001</v>
      </c>
      <c r="N7" s="539">
        <v>0.85</v>
      </c>
      <c r="O7" s="539">
        <v>0.78921000000000008</v>
      </c>
      <c r="P7" s="539">
        <v>0.88700000000000001</v>
      </c>
      <c r="Q7" s="539">
        <v>0.93856099999999998</v>
      </c>
      <c r="R7" s="539">
        <v>-99</v>
      </c>
      <c r="S7" s="539">
        <v>-99</v>
      </c>
      <c r="T7" s="539">
        <v>-99</v>
      </c>
      <c r="U7" s="539">
        <v>-99</v>
      </c>
      <c r="V7" s="539">
        <v>-99</v>
      </c>
      <c r="W7" s="539">
        <v>-99</v>
      </c>
      <c r="X7" s="539">
        <v>0.85199999999999998</v>
      </c>
      <c r="Y7" s="539">
        <v>-99</v>
      </c>
      <c r="Z7" s="539">
        <v>0.878</v>
      </c>
      <c r="AA7" s="539">
        <v>0.93778199999999989</v>
      </c>
      <c r="AB7" s="539">
        <v>0.67495499999999997</v>
      </c>
      <c r="AC7" s="539">
        <v>0.85</v>
      </c>
      <c r="AD7" s="539">
        <v>0.81063799999999997</v>
      </c>
      <c r="AE7" s="539">
        <v>0.82599999999999996</v>
      </c>
      <c r="AF7" s="539">
        <v>0.92434999999999989</v>
      </c>
      <c r="AG7" s="539">
        <v>-99</v>
      </c>
      <c r="AH7" s="540">
        <v>-99</v>
      </c>
      <c r="AI7" s="539">
        <v>-99</v>
      </c>
      <c r="AJ7" s="540">
        <v>-99</v>
      </c>
      <c r="AK7" s="539">
        <v>-99</v>
      </c>
      <c r="AL7" s="539">
        <v>-99</v>
      </c>
      <c r="AM7" s="540">
        <v>-99</v>
      </c>
      <c r="AN7" s="539">
        <v>-99</v>
      </c>
      <c r="AO7" s="540">
        <v>-99</v>
      </c>
      <c r="AP7" s="541">
        <v>-99</v>
      </c>
      <c r="AQ7" s="539">
        <v>-99</v>
      </c>
      <c r="AR7" s="540">
        <v>-99</v>
      </c>
      <c r="AS7" s="539">
        <v>-99</v>
      </c>
      <c r="AT7" s="540">
        <v>-99</v>
      </c>
      <c r="AU7" s="539">
        <v>-99</v>
      </c>
      <c r="AV7" s="540">
        <v>-99</v>
      </c>
      <c r="AW7" s="540">
        <v>-99</v>
      </c>
      <c r="AX7" s="540">
        <v>-99</v>
      </c>
      <c r="AY7" s="540">
        <v>-99</v>
      </c>
      <c r="AZ7" s="539">
        <v>-99</v>
      </c>
      <c r="BA7" s="539">
        <v>-99</v>
      </c>
      <c r="BB7" s="540">
        <v>-99</v>
      </c>
      <c r="BC7" s="539">
        <v>-99</v>
      </c>
      <c r="BD7" s="540">
        <v>-99</v>
      </c>
      <c r="BE7" s="541">
        <v>-99</v>
      </c>
      <c r="BF7" s="542"/>
      <c r="BG7" s="612"/>
      <c r="BH7" s="690">
        <v>0.09</v>
      </c>
      <c r="BI7" s="636">
        <v>-98</v>
      </c>
      <c r="BJ7" s="636"/>
      <c r="BK7" s="566">
        <v>0</v>
      </c>
      <c r="BL7" s="624">
        <f>555-464</f>
        <v>91</v>
      </c>
      <c r="BM7" s="612">
        <v>0</v>
      </c>
      <c r="BN7" s="612">
        <v>50</v>
      </c>
      <c r="BO7" s="623"/>
      <c r="BP7" s="623"/>
      <c r="BQ7" s="611"/>
      <c r="BR7" s="623" t="s">
        <v>828</v>
      </c>
      <c r="BS7" s="648">
        <v>0</v>
      </c>
      <c r="BT7" s="648">
        <v>111.05065507607503</v>
      </c>
      <c r="BU7" s="648">
        <v>0</v>
      </c>
      <c r="BV7" s="648">
        <v>129.127542242602</v>
      </c>
      <c r="BW7" s="648" t="s">
        <v>188</v>
      </c>
      <c r="BX7" s="648" t="s">
        <v>188</v>
      </c>
      <c r="BY7" s="648" t="s">
        <v>188</v>
      </c>
      <c r="BZ7" s="648">
        <v>95.721776301418402</v>
      </c>
      <c r="CA7" s="648">
        <v>0</v>
      </c>
      <c r="CB7" s="648">
        <v>104.916828728951</v>
      </c>
      <c r="CC7" s="597" t="s">
        <v>995</v>
      </c>
      <c r="CD7" s="748"/>
      <c r="CE7" s="749">
        <v>0</v>
      </c>
      <c r="CF7" s="748">
        <v>501697226.16408402</v>
      </c>
      <c r="CG7" s="748">
        <v>0</v>
      </c>
      <c r="CH7" s="748">
        <v>240047085.17937401</v>
      </c>
      <c r="CI7" s="748">
        <v>0</v>
      </c>
      <c r="CJ7" s="748" t="s">
        <v>188</v>
      </c>
      <c r="CK7" s="748" t="s">
        <v>188</v>
      </c>
      <c r="CL7" s="748">
        <v>201960965.47966501</v>
      </c>
      <c r="CM7" s="748">
        <v>0</v>
      </c>
      <c r="CN7" s="752">
        <v>59689175.505044803</v>
      </c>
      <c r="CO7" s="623" t="s">
        <v>188</v>
      </c>
      <c r="CP7" s="623" t="s">
        <v>188</v>
      </c>
      <c r="CQ7" s="623" t="s">
        <v>188</v>
      </c>
      <c r="CR7" s="623" t="s">
        <v>188</v>
      </c>
      <c r="CS7" s="623" t="s">
        <v>188</v>
      </c>
      <c r="CT7" s="623" t="s">
        <v>188</v>
      </c>
      <c r="CU7" s="623" t="s">
        <v>188</v>
      </c>
      <c r="CV7" s="623" t="s">
        <v>188</v>
      </c>
      <c r="CW7" s="623" t="s">
        <v>188</v>
      </c>
      <c r="CX7" s="623" t="s">
        <v>188</v>
      </c>
      <c r="CY7" s="623" t="s">
        <v>188</v>
      </c>
      <c r="CZ7" s="623" t="s">
        <v>188</v>
      </c>
      <c r="DA7" s="623" t="s">
        <v>188</v>
      </c>
      <c r="DB7" s="623" t="s">
        <v>188</v>
      </c>
      <c r="DC7" s="623" t="s">
        <v>188</v>
      </c>
      <c r="DD7" s="623" t="s">
        <v>188</v>
      </c>
      <c r="DE7" s="623" t="s">
        <v>188</v>
      </c>
      <c r="DF7" s="623" t="s">
        <v>188</v>
      </c>
      <c r="DG7" s="623" t="s">
        <v>188</v>
      </c>
      <c r="DH7" s="623" t="s">
        <v>188</v>
      </c>
      <c r="DI7" s="550" t="str">
        <f>IFERROR(INDEX('Price Point Data'!O:O,MATCH($B7,'Price Point Data'!$A:$A,0)),-99)</f>
        <v>Unknown</v>
      </c>
      <c r="DJ7" s="550" t="str">
        <f>IFERROR(INDEX('Price Point Data'!P:P,MATCH($B7,'Price Point Data'!$A:$A,0)),-99)</f>
        <v>Unknown</v>
      </c>
      <c r="DK7" s="550" t="str">
        <f>IFERROR(INDEX('Price Point Data'!Q:Q,MATCH($B7,'Price Point Data'!$A:$A,0)),-99)</f>
        <v>Unknown</v>
      </c>
      <c r="DL7" s="550" t="str">
        <f>IFERROR(INDEX('Price Point Data'!I:I,MATCH($B7,'Price Point Data'!$A:$A,0)),-99)</f>
        <v>Unknown</v>
      </c>
      <c r="DM7" s="551" t="str">
        <f>IFERROR(INDEX('Price Point Data'!J:J,MATCH($B7,'Price Point Data'!$A:$A,0)),-99)</f>
        <v>Unknown</v>
      </c>
      <c r="DN7" s="550" t="str">
        <f>IFERROR(INDEX('Price Point Data'!K:K,MATCH($B7,'Price Point Data'!$A:$A,0)),-99)</f>
        <v>Unknown</v>
      </c>
      <c r="DO7" s="550" t="str">
        <f>IFERROR(INDEX('Price Point Data'!L:L,MATCH($B7,'Price Point Data'!$A:$A,0)),-99)</f>
        <v>Unknown</v>
      </c>
      <c r="DP7" s="550" t="str">
        <f>IFERROR(INDEX('Price Point Data'!M:M,MATCH($B7,'Price Point Data'!$A:$A,0)),-99)</f>
        <v>Unknown</v>
      </c>
      <c r="DQ7" s="550" t="str">
        <f>IFERROR(INDEX('Price Point Data'!N:N,MATCH($B7,'Price Point Data'!$A:$A,0)),-99)</f>
        <v>Unknown</v>
      </c>
      <c r="DR7" s="556" t="s">
        <v>282</v>
      </c>
      <c r="DS7" s="552">
        <v>41395</v>
      </c>
      <c r="DT7" s="636" t="s">
        <v>417</v>
      </c>
      <c r="DU7" s="636" t="s">
        <v>457</v>
      </c>
      <c r="DV7" s="552">
        <v>42005</v>
      </c>
      <c r="DW7" s="636" t="s">
        <v>421</v>
      </c>
      <c r="DX7" s="552">
        <v>41306</v>
      </c>
      <c r="DY7" s="636" t="s">
        <v>206</v>
      </c>
      <c r="DZ7" s="636" t="s">
        <v>188</v>
      </c>
      <c r="EA7" s="636" t="s">
        <v>188</v>
      </c>
      <c r="EB7" s="636" t="s">
        <v>188</v>
      </c>
      <c r="EC7" s="636" t="s">
        <v>188</v>
      </c>
      <c r="ED7" s="636" t="s">
        <v>188</v>
      </c>
      <c r="EE7" s="636" t="s">
        <v>188</v>
      </c>
      <c r="EF7" s="636" t="s">
        <v>188</v>
      </c>
      <c r="EG7" s="636" t="s">
        <v>188</v>
      </c>
      <c r="EH7" s="8">
        <v>85</v>
      </c>
      <c r="EI7" s="359"/>
    </row>
    <row r="8" spans="1:139" s="8" customFormat="1" x14ac:dyDescent="0.25">
      <c r="A8" s="16">
        <v>4</v>
      </c>
      <c r="B8" s="526" t="s">
        <v>86</v>
      </c>
      <c r="C8" s="19"/>
      <c r="D8" s="19" t="s">
        <v>54</v>
      </c>
      <c r="E8" s="19" t="s">
        <v>73</v>
      </c>
      <c r="F8" s="19" t="s">
        <v>8</v>
      </c>
      <c r="G8" s="19" t="s">
        <v>837</v>
      </c>
      <c r="H8" s="539">
        <v>0.161</v>
      </c>
      <c r="I8" s="539">
        <v>0.18872987922376952</v>
      </c>
      <c r="J8" s="539">
        <v>0.193</v>
      </c>
      <c r="K8" s="539">
        <v>0.18694317807906549</v>
      </c>
      <c r="L8" s="539">
        <v>0.15100000000000002</v>
      </c>
      <c r="M8" s="539">
        <v>0.20699999999999999</v>
      </c>
      <c r="N8" s="539">
        <v>0.22818024831743192</v>
      </c>
      <c r="O8" s="539">
        <v>0.26200000000000001</v>
      </c>
      <c r="P8" s="539">
        <v>0.21871521020025331</v>
      </c>
      <c r="Q8" s="539">
        <v>0.18000000000000005</v>
      </c>
      <c r="R8" s="539">
        <v>0.14399999999999999</v>
      </c>
      <c r="S8" s="539">
        <v>0.15235272267663183</v>
      </c>
      <c r="T8" s="539">
        <v>0.11600000000000001</v>
      </c>
      <c r="U8" s="539">
        <v>0.16281622173585236</v>
      </c>
      <c r="V8" s="539">
        <v>0.123</v>
      </c>
      <c r="W8" s="539">
        <v>-99</v>
      </c>
      <c r="X8" s="539">
        <v>-99</v>
      </c>
      <c r="Y8" s="539">
        <v>-99</v>
      </c>
      <c r="Z8" s="539">
        <v>-99</v>
      </c>
      <c r="AA8" s="539">
        <v>-99</v>
      </c>
      <c r="AB8" s="539">
        <v>4.2000000000000003E-2</v>
      </c>
      <c r="AC8" s="539">
        <v>0.17042456587274116</v>
      </c>
      <c r="AD8" s="539">
        <v>0.20300000000000001</v>
      </c>
      <c r="AE8" s="539">
        <v>0.15299360768606041</v>
      </c>
      <c r="AF8" s="539">
        <v>0.13800000000000001</v>
      </c>
      <c r="AG8" s="541">
        <v>0.16900000000000001</v>
      </c>
      <c r="AH8" s="540">
        <v>0.1969225414581483</v>
      </c>
      <c r="AI8" s="539">
        <v>0.19800000000000001</v>
      </c>
      <c r="AJ8" s="540">
        <v>0.19606892223426714</v>
      </c>
      <c r="AK8" s="539">
        <v>0.152</v>
      </c>
      <c r="AL8" s="539">
        <v>0.218</v>
      </c>
      <c r="AM8" s="540">
        <v>0.23880316841017987</v>
      </c>
      <c r="AN8" s="539">
        <v>0.27</v>
      </c>
      <c r="AO8" s="540">
        <v>0.23027953115191555</v>
      </c>
      <c r="AP8" s="541">
        <v>0.184</v>
      </c>
      <c r="AQ8" s="539">
        <v>0.151</v>
      </c>
      <c r="AR8" s="540">
        <v>0.15838242369699673</v>
      </c>
      <c r="AS8" s="539">
        <v>0.11600000000000001</v>
      </c>
      <c r="AT8" s="540">
        <v>0.17091963246543154</v>
      </c>
      <c r="AU8" s="539">
        <v>0.125</v>
      </c>
      <c r="AV8" s="540">
        <v>-99</v>
      </c>
      <c r="AW8" s="540">
        <v>-99</v>
      </c>
      <c r="AX8" s="540">
        <v>-99</v>
      </c>
      <c r="AY8" s="540">
        <v>-99</v>
      </c>
      <c r="AZ8" s="539">
        <v>-99</v>
      </c>
      <c r="BA8" s="539">
        <v>4.2000000000000003E-2</v>
      </c>
      <c r="BB8" s="540">
        <v>0.177226761126664</v>
      </c>
      <c r="BC8" s="539">
        <v>0.21299999999999999</v>
      </c>
      <c r="BD8" s="540">
        <v>0.15656575921227311</v>
      </c>
      <c r="BE8" s="541">
        <v>0.14000000000000001</v>
      </c>
      <c r="BF8" s="557">
        <v>0.28100000000000003</v>
      </c>
      <c r="BG8" s="557">
        <v>0.21</v>
      </c>
      <c r="BH8" s="557">
        <v>0.28999999999999998</v>
      </c>
      <c r="BI8" s="636">
        <v>-98</v>
      </c>
      <c r="BJ8" s="636"/>
      <c r="BK8" s="624">
        <f>407-262</f>
        <v>145</v>
      </c>
      <c r="BL8" s="624">
        <v>0</v>
      </c>
      <c r="BM8" s="614">
        <v>30</v>
      </c>
      <c r="BN8" s="612">
        <v>0</v>
      </c>
      <c r="BO8" s="624"/>
      <c r="BP8" s="623"/>
      <c r="BQ8" s="611"/>
      <c r="BR8" s="624" t="s">
        <v>654</v>
      </c>
      <c r="BS8" s="648" t="s">
        <v>188</v>
      </c>
      <c r="BT8" s="648" t="s">
        <v>188</v>
      </c>
      <c r="BU8" s="648" t="s">
        <v>188</v>
      </c>
      <c r="BV8" s="648" t="s">
        <v>188</v>
      </c>
      <c r="BW8" s="648" t="s">
        <v>188</v>
      </c>
      <c r="BX8" s="648" t="s">
        <v>188</v>
      </c>
      <c r="BY8" s="648" t="s">
        <v>188</v>
      </c>
      <c r="BZ8" s="648" t="s">
        <v>188</v>
      </c>
      <c r="CA8" s="648" t="s">
        <v>188</v>
      </c>
      <c r="CB8" s="648" t="s">
        <v>188</v>
      </c>
      <c r="CC8" s="597" t="s">
        <v>188</v>
      </c>
      <c r="CD8" s="659"/>
      <c r="CE8" s="659" t="s">
        <v>188</v>
      </c>
      <c r="CF8" s="659" t="s">
        <v>188</v>
      </c>
      <c r="CG8" s="659" t="s">
        <v>188</v>
      </c>
      <c r="CH8" s="659" t="s">
        <v>188</v>
      </c>
      <c r="CI8" s="659" t="s">
        <v>188</v>
      </c>
      <c r="CJ8" s="659" t="s">
        <v>188</v>
      </c>
      <c r="CK8" s="659" t="s">
        <v>188</v>
      </c>
      <c r="CL8" s="659" t="s">
        <v>188</v>
      </c>
      <c r="CM8" s="659" t="s">
        <v>188</v>
      </c>
      <c r="CN8" s="660" t="s">
        <v>188</v>
      </c>
      <c r="CO8" s="623" t="s">
        <v>188</v>
      </c>
      <c r="CP8" s="623" t="s">
        <v>188</v>
      </c>
      <c r="CQ8" s="623" t="s">
        <v>188</v>
      </c>
      <c r="CR8" s="623" t="s">
        <v>188</v>
      </c>
      <c r="CS8" s="623" t="s">
        <v>188</v>
      </c>
      <c r="CT8" s="623" t="s">
        <v>188</v>
      </c>
      <c r="CU8" s="623" t="s">
        <v>188</v>
      </c>
      <c r="CV8" s="623" t="s">
        <v>188</v>
      </c>
      <c r="CW8" s="623" t="s">
        <v>188</v>
      </c>
      <c r="CX8" s="623" t="s">
        <v>188</v>
      </c>
      <c r="CY8" s="623" t="s">
        <v>188</v>
      </c>
      <c r="CZ8" s="623" t="s">
        <v>188</v>
      </c>
      <c r="DA8" s="623" t="s">
        <v>188</v>
      </c>
      <c r="DB8" s="623" t="s">
        <v>188</v>
      </c>
      <c r="DC8" s="623" t="s">
        <v>188</v>
      </c>
      <c r="DD8" s="623" t="s">
        <v>188</v>
      </c>
      <c r="DE8" s="623" t="s">
        <v>188</v>
      </c>
      <c r="DF8" s="623" t="s">
        <v>188</v>
      </c>
      <c r="DG8" s="623" t="s">
        <v>188</v>
      </c>
      <c r="DH8" s="623" t="s">
        <v>188</v>
      </c>
      <c r="DI8" s="550" t="str">
        <f>IFERROR(INDEX('Price Point Data'!O:O,MATCH($B8,'Price Point Data'!$A:$A,0)),-99)</f>
        <v>Under $300 to $900 or more</v>
      </c>
      <c r="DJ8" s="551">
        <f>IFERROR(INDEX('Price Point Data'!P:P,MATCH($B8,'Price Point Data'!$A:$A,0)),-99)</f>
        <v>0.56716417910447758</v>
      </c>
      <c r="DK8" s="550">
        <f>IFERROR(INDEX('Price Point Data'!Q:Q,MATCH($B8,'Price Point Data'!$A:$A,0)),-99)</f>
        <v>67</v>
      </c>
      <c r="DL8" s="550" t="str">
        <f>IFERROR(INDEX('Price Point Data'!I:I,MATCH($B8,'Price Point Data'!$A:$A,0)),-99)</f>
        <v>Under $500</v>
      </c>
      <c r="DM8" s="551">
        <f>IFERROR(INDEX('Price Point Data'!J:J,MATCH($B8,'Price Point Data'!$A:$A,0)),-99)</f>
        <v>0.32142857142857145</v>
      </c>
      <c r="DN8" s="550">
        <f>IFERROR(INDEX('Price Point Data'!K:K,MATCH($B8,'Price Point Data'!$A:$A,0)),-99)</f>
        <v>28</v>
      </c>
      <c r="DO8" s="550" t="str">
        <f>IFERROR(INDEX('Price Point Data'!L:L,MATCH($B8,'Price Point Data'!$A:$A,0)),-99)</f>
        <v>No constraint</v>
      </c>
      <c r="DP8" s="550" t="str">
        <f>IFERROR(INDEX('Price Point Data'!M:M,MATCH($B8,'Price Point Data'!$A:$A,0)),-99)</f>
        <v>N/A</v>
      </c>
      <c r="DQ8" s="550" t="str">
        <f>IFERROR(INDEX('Price Point Data'!N:N,MATCH($B8,'Price Point Data'!$A:$A,0)),-99)</f>
        <v>N/A</v>
      </c>
      <c r="DR8" s="556" t="s">
        <v>258</v>
      </c>
      <c r="DS8" s="552">
        <v>37073</v>
      </c>
      <c r="DT8" s="636" t="s">
        <v>418</v>
      </c>
      <c r="DU8" s="636" t="s">
        <v>457</v>
      </c>
      <c r="DV8" s="552">
        <v>41897</v>
      </c>
      <c r="DW8" s="636" t="s">
        <v>415</v>
      </c>
      <c r="DX8" s="552">
        <v>39566</v>
      </c>
      <c r="DY8" s="636" t="s">
        <v>449</v>
      </c>
      <c r="DZ8" s="636" t="s">
        <v>457</v>
      </c>
      <c r="EA8" s="552">
        <v>41897</v>
      </c>
      <c r="EB8" s="636" t="s">
        <v>192</v>
      </c>
      <c r="EC8" s="552" t="s">
        <v>191</v>
      </c>
      <c r="ED8" s="636" t="s">
        <v>191</v>
      </c>
      <c r="EE8" s="636" t="s">
        <v>188</v>
      </c>
      <c r="EF8" s="636" t="s">
        <v>188</v>
      </c>
      <c r="EG8" s="636" t="s">
        <v>188</v>
      </c>
      <c r="EH8" s="8">
        <v>26</v>
      </c>
      <c r="EI8" s="359"/>
    </row>
    <row r="9" spans="1:139" s="8" customFormat="1" x14ac:dyDescent="0.25">
      <c r="A9" s="16">
        <v>5</v>
      </c>
      <c r="B9" s="19" t="s">
        <v>85</v>
      </c>
      <c r="C9" s="19" t="s">
        <v>638</v>
      </c>
      <c r="D9" s="19" t="s">
        <v>54</v>
      </c>
      <c r="E9" s="19" t="s">
        <v>73</v>
      </c>
      <c r="F9" s="19" t="s">
        <v>8</v>
      </c>
      <c r="G9" s="19" t="s">
        <v>837</v>
      </c>
      <c r="H9" s="539">
        <v>-98</v>
      </c>
      <c r="I9" s="539">
        <v>0.99870892732744043</v>
      </c>
      <c r="J9" s="539">
        <v>1</v>
      </c>
      <c r="K9" s="539">
        <v>0.99801470744118836</v>
      </c>
      <c r="L9" s="539">
        <v>0.999</v>
      </c>
      <c r="M9" s="539">
        <v>-98</v>
      </c>
      <c r="N9" s="539">
        <v>0.9988612335045286</v>
      </c>
      <c r="O9" s="539">
        <v>1</v>
      </c>
      <c r="P9" s="539">
        <v>0.99887313172274461</v>
      </c>
      <c r="Q9" s="539">
        <v>0.998</v>
      </c>
      <c r="R9" s="539">
        <v>-98</v>
      </c>
      <c r="S9" s="539">
        <v>0.99857178862471641</v>
      </c>
      <c r="T9" s="539">
        <v>1</v>
      </c>
      <c r="U9" s="539">
        <v>0.99789162634595541</v>
      </c>
      <c r="V9" s="539">
        <v>1</v>
      </c>
      <c r="W9" s="539">
        <v>-99</v>
      </c>
      <c r="X9" s="539">
        <v>-99</v>
      </c>
      <c r="Y9" s="539">
        <v>-99</v>
      </c>
      <c r="Z9" s="539">
        <v>-99</v>
      </c>
      <c r="AA9" s="539">
        <v>-99</v>
      </c>
      <c r="AB9" s="539">
        <v>-98</v>
      </c>
      <c r="AC9" s="539">
        <v>0.99862712495263417</v>
      </c>
      <c r="AD9" s="539">
        <v>1</v>
      </c>
      <c r="AE9" s="539">
        <v>0.99521816997852974</v>
      </c>
      <c r="AF9" s="539">
        <v>1</v>
      </c>
      <c r="AG9" s="539">
        <v>-99</v>
      </c>
      <c r="AH9" s="540">
        <v>1.1996594589533784</v>
      </c>
      <c r="AI9" s="539">
        <v>1.411</v>
      </c>
      <c r="AJ9" s="540">
        <v>1.2706475164401392</v>
      </c>
      <c r="AK9" s="539">
        <v>1.3069999999999999</v>
      </c>
      <c r="AL9" s="539">
        <v>-99</v>
      </c>
      <c r="AM9" s="540">
        <v>1.2011095504659863</v>
      </c>
      <c r="AN9" s="539">
        <v>1.5660000000000001</v>
      </c>
      <c r="AO9" s="540">
        <v>1.2785414673283726</v>
      </c>
      <c r="AP9" s="541">
        <v>1.29</v>
      </c>
      <c r="AQ9" s="539">
        <v>-99</v>
      </c>
      <c r="AR9" s="540">
        <v>1.1974399392118935</v>
      </c>
      <c r="AS9" s="539">
        <v>1.27</v>
      </c>
      <c r="AT9" s="540">
        <v>1.2781401660164113</v>
      </c>
      <c r="AU9" s="539">
        <v>1.323</v>
      </c>
      <c r="AV9" s="540">
        <v>-99</v>
      </c>
      <c r="AW9" s="540">
        <v>-99</v>
      </c>
      <c r="AX9" s="540">
        <v>-99</v>
      </c>
      <c r="AY9" s="540">
        <v>-99</v>
      </c>
      <c r="AZ9" s="539">
        <v>-99</v>
      </c>
      <c r="BA9" s="539">
        <v>-99</v>
      </c>
      <c r="BB9" s="540">
        <v>1.2019605058968932</v>
      </c>
      <c r="BC9" s="539">
        <v>1.304</v>
      </c>
      <c r="BD9" s="540">
        <v>1.2142799654979826</v>
      </c>
      <c r="BE9" s="541">
        <v>1.3129999999999999</v>
      </c>
      <c r="BF9" s="542">
        <v>0.75900000000000001</v>
      </c>
      <c r="BG9" s="542">
        <v>0.56000000000000005</v>
      </c>
      <c r="BH9" s="542">
        <v>0.74</v>
      </c>
      <c r="BI9" s="637">
        <v>-98</v>
      </c>
      <c r="BJ9" s="637"/>
      <c r="BK9" s="636"/>
      <c r="BL9" s="624"/>
      <c r="BM9" s="553">
        <v>50</v>
      </c>
      <c r="BN9" s="553">
        <v>0</v>
      </c>
      <c r="BO9" s="636">
        <f>574-342</f>
        <v>232</v>
      </c>
      <c r="BP9" s="544">
        <v>0</v>
      </c>
      <c r="BQ9" s="612" t="s">
        <v>625</v>
      </c>
      <c r="BR9" s="638" t="s">
        <v>630</v>
      </c>
      <c r="BS9" s="648">
        <v>82.023784480871115</v>
      </c>
      <c r="BT9" s="648">
        <v>0</v>
      </c>
      <c r="BU9" s="648">
        <v>82.023784455596598</v>
      </c>
      <c r="BV9" s="648">
        <v>0</v>
      </c>
      <c r="BW9" s="648">
        <v>82.023784537620301</v>
      </c>
      <c r="BX9" s="648">
        <v>0</v>
      </c>
      <c r="BY9" s="648" t="s">
        <v>188</v>
      </c>
      <c r="BZ9" s="648" t="s">
        <v>188</v>
      </c>
      <c r="CA9" s="648">
        <v>82.023784373572795</v>
      </c>
      <c r="CB9" s="648">
        <v>0</v>
      </c>
      <c r="CC9" s="597" t="s">
        <v>995</v>
      </c>
      <c r="CD9" s="748"/>
      <c r="CE9" s="749">
        <v>411382306.21284002</v>
      </c>
      <c r="CF9" s="748">
        <v>0</v>
      </c>
      <c r="CG9" s="748">
        <v>183355703.50361201</v>
      </c>
      <c r="CH9" s="748">
        <v>0</v>
      </c>
      <c r="CI9" s="748">
        <v>173126734.79824001</v>
      </c>
      <c r="CJ9" s="748" t="s">
        <v>188</v>
      </c>
      <c r="CK9" s="748" t="s">
        <v>188</v>
      </c>
      <c r="CL9" s="748">
        <v>0</v>
      </c>
      <c r="CM9" s="748">
        <v>54899867.910987496</v>
      </c>
      <c r="CN9" s="752">
        <v>0</v>
      </c>
      <c r="CO9" s="623" t="s">
        <v>188</v>
      </c>
      <c r="CP9" s="623" t="s">
        <v>188</v>
      </c>
      <c r="CQ9" s="623" t="s">
        <v>188</v>
      </c>
      <c r="CR9" s="623" t="s">
        <v>188</v>
      </c>
      <c r="CS9" s="623" t="s">
        <v>188</v>
      </c>
      <c r="CT9" s="623" t="s">
        <v>188</v>
      </c>
      <c r="CU9" s="623" t="s">
        <v>188</v>
      </c>
      <c r="CV9" s="623" t="s">
        <v>188</v>
      </c>
      <c r="CW9" s="623" t="s">
        <v>188</v>
      </c>
      <c r="CX9" s="623" t="s">
        <v>188</v>
      </c>
      <c r="CY9" s="623" t="s">
        <v>188</v>
      </c>
      <c r="CZ9" s="623" t="s">
        <v>188</v>
      </c>
      <c r="DA9" s="623" t="s">
        <v>188</v>
      </c>
      <c r="DB9" s="623" t="s">
        <v>188</v>
      </c>
      <c r="DC9" s="623" t="s">
        <v>188</v>
      </c>
      <c r="DD9" s="623" t="s">
        <v>188</v>
      </c>
      <c r="DE9" s="623" t="s">
        <v>188</v>
      </c>
      <c r="DF9" s="623" t="s">
        <v>188</v>
      </c>
      <c r="DG9" s="623" t="s">
        <v>188</v>
      </c>
      <c r="DH9" s="623" t="s">
        <v>188</v>
      </c>
      <c r="DI9" s="550" t="str">
        <f>IFERROR(INDEX('Price Point Data'!O:O,MATCH($B9,'Price Point Data'!$A:$A,0)),-99)</f>
        <v>Under $400 to $2500 or more</v>
      </c>
      <c r="DJ9" s="551">
        <f>IFERROR(INDEX('Price Point Data'!P:P,MATCH($B9,'Price Point Data'!$A:$A,0)),-99)</f>
        <v>0.8300561797752809</v>
      </c>
      <c r="DK9" s="550">
        <f>IFERROR(INDEX('Price Point Data'!Q:Q,MATCH($B9,'Price Point Data'!$A:$A,0)),-99)</f>
        <v>712</v>
      </c>
      <c r="DL9" s="550" t="str">
        <f>IFERROR(INDEX('Price Point Data'!I:I,MATCH($B9,'Price Point Data'!$A:$A,0)),-99)</f>
        <v>Under $600</v>
      </c>
      <c r="DM9" s="551">
        <f>IFERROR(INDEX('Price Point Data'!J:J,MATCH($B9,'Price Point Data'!$A:$A,0)),-99)</f>
        <v>0.3577981651376147</v>
      </c>
      <c r="DN9" s="550">
        <f>IFERROR(INDEX('Price Point Data'!K:K,MATCH($B9,'Price Point Data'!$A:$A,0)),-99)</f>
        <v>109</v>
      </c>
      <c r="DO9" s="550" t="str">
        <f>IFERROR(INDEX('Price Point Data'!L:L,MATCH($B9,'Price Point Data'!$A:$A,0)),-99)</f>
        <v>No constraint</v>
      </c>
      <c r="DP9" s="550" t="str">
        <f>IFERROR(INDEX('Price Point Data'!M:M,MATCH($B9,'Price Point Data'!$A:$A,0)),-99)</f>
        <v>N/A</v>
      </c>
      <c r="DQ9" s="550" t="str">
        <f>IFERROR(INDEX('Price Point Data'!N:N,MATCH($B9,'Price Point Data'!$A:$A,0)),-99)</f>
        <v>N/A</v>
      </c>
      <c r="DR9" s="550" t="s">
        <v>240</v>
      </c>
      <c r="DS9" s="552">
        <v>37073</v>
      </c>
      <c r="DT9" s="543" t="s">
        <v>418</v>
      </c>
      <c r="DU9" s="543" t="s">
        <v>457</v>
      </c>
      <c r="DV9" s="552">
        <v>41897</v>
      </c>
      <c r="DW9" s="543" t="s">
        <v>415</v>
      </c>
      <c r="DX9" s="552">
        <v>39566</v>
      </c>
      <c r="DY9" s="543" t="s">
        <v>449</v>
      </c>
      <c r="DZ9" s="543" t="s">
        <v>457</v>
      </c>
      <c r="EA9" s="552">
        <v>41897</v>
      </c>
      <c r="EB9" s="543" t="s">
        <v>192</v>
      </c>
      <c r="EC9" s="552" t="s">
        <v>191</v>
      </c>
      <c r="ED9" s="636" t="s">
        <v>191</v>
      </c>
      <c r="EE9" s="622" t="s">
        <v>188</v>
      </c>
      <c r="EF9" s="543" t="s">
        <v>188</v>
      </c>
      <c r="EG9" s="543" t="s">
        <v>188</v>
      </c>
      <c r="EH9" s="8">
        <v>43</v>
      </c>
      <c r="EI9" s="359"/>
    </row>
    <row r="10" spans="1:139" s="8" customFormat="1" x14ac:dyDescent="0.25">
      <c r="A10" s="16">
        <v>6</v>
      </c>
      <c r="B10" s="19" t="s">
        <v>695</v>
      </c>
      <c r="C10" s="19"/>
      <c r="D10" s="19" t="s">
        <v>78</v>
      </c>
      <c r="E10" s="19" t="s">
        <v>73</v>
      </c>
      <c r="F10" s="19" t="s">
        <v>8</v>
      </c>
      <c r="G10" s="19" t="s">
        <v>837</v>
      </c>
      <c r="H10" s="539">
        <v>0.294904</v>
      </c>
      <c r="I10" s="539">
        <v>0.31014796666629402</v>
      </c>
      <c r="J10" s="539">
        <v>0.32840999999999998</v>
      </c>
      <c r="K10" s="539">
        <v>0.31706218820121751</v>
      </c>
      <c r="L10" s="539">
        <v>0.27181</v>
      </c>
      <c r="M10" s="539">
        <v>0.484848</v>
      </c>
      <c r="N10" s="539">
        <v>0.42799999999999999</v>
      </c>
      <c r="O10" s="539">
        <v>0.54423599999999994</v>
      </c>
      <c r="P10" s="539">
        <v>0.45400000000000001</v>
      </c>
      <c r="Q10" s="539">
        <v>0.46379999999999999</v>
      </c>
      <c r="R10" s="539">
        <v>0.1208</v>
      </c>
      <c r="S10" s="539">
        <v>0.17100000000000001</v>
      </c>
      <c r="T10" s="539">
        <v>0.12203800000000001</v>
      </c>
      <c r="U10" s="539">
        <v>0.184</v>
      </c>
      <c r="V10" s="539">
        <v>8.0079999999999998E-2</v>
      </c>
      <c r="W10" s="539">
        <v>-99</v>
      </c>
      <c r="X10" s="539">
        <v>-99</v>
      </c>
      <c r="Y10" s="539">
        <v>-99</v>
      </c>
      <c r="Z10" s="539">
        <v>-99</v>
      </c>
      <c r="AA10" s="539">
        <v>-99</v>
      </c>
      <c r="AB10" s="539">
        <v>0.17995</v>
      </c>
      <c r="AC10" s="539">
        <v>0.249</v>
      </c>
      <c r="AD10" s="539">
        <v>0.23373199999999997</v>
      </c>
      <c r="AE10" s="539">
        <v>0.27600000000000002</v>
      </c>
      <c r="AF10" s="539">
        <v>0.23149500000000001</v>
      </c>
      <c r="AG10" s="539">
        <v>-99</v>
      </c>
      <c r="AH10" s="540">
        <v>-99</v>
      </c>
      <c r="AI10" s="539">
        <v>-99</v>
      </c>
      <c r="AJ10" s="540">
        <v>-99</v>
      </c>
      <c r="AK10" s="539">
        <v>-99</v>
      </c>
      <c r="AL10" s="539">
        <v>-99</v>
      </c>
      <c r="AM10" s="540">
        <v>-99</v>
      </c>
      <c r="AN10" s="539">
        <v>-99</v>
      </c>
      <c r="AO10" s="540">
        <v>-99</v>
      </c>
      <c r="AP10" s="541">
        <v>-99</v>
      </c>
      <c r="AQ10" s="539">
        <v>-99</v>
      </c>
      <c r="AR10" s="540">
        <v>-99</v>
      </c>
      <c r="AS10" s="539">
        <v>-99</v>
      </c>
      <c r="AT10" s="540">
        <v>-99</v>
      </c>
      <c r="AU10" s="539">
        <v>-99</v>
      </c>
      <c r="AV10" s="540">
        <v>-99</v>
      </c>
      <c r="AW10" s="540">
        <v>-99</v>
      </c>
      <c r="AX10" s="540">
        <v>-99</v>
      </c>
      <c r="AY10" s="540">
        <v>-99</v>
      </c>
      <c r="AZ10" s="539">
        <v>-99</v>
      </c>
      <c r="BA10" s="539">
        <v>-99</v>
      </c>
      <c r="BB10" s="540">
        <v>-99</v>
      </c>
      <c r="BC10" s="539">
        <v>-99</v>
      </c>
      <c r="BD10" s="540">
        <v>-99</v>
      </c>
      <c r="BE10" s="541">
        <v>-99</v>
      </c>
      <c r="BF10" s="612"/>
      <c r="BG10" s="541"/>
      <c r="BH10" s="612">
        <v>-99</v>
      </c>
      <c r="BI10" s="638">
        <v>-98</v>
      </c>
      <c r="BJ10" s="638"/>
      <c r="BK10" s="636">
        <f>900*27%</f>
        <v>243.00000000000003</v>
      </c>
      <c r="BL10" s="636">
        <v>0</v>
      </c>
      <c r="BM10" s="612">
        <v>160</v>
      </c>
      <c r="BN10" s="612">
        <v>0</v>
      </c>
      <c r="BO10" s="636"/>
      <c r="BP10" s="623"/>
      <c r="BQ10" s="611"/>
      <c r="BR10" s="636" t="s">
        <v>655</v>
      </c>
      <c r="BS10" s="648">
        <v>359.49999975127514</v>
      </c>
      <c r="BT10" s="648">
        <v>0</v>
      </c>
      <c r="BU10" s="648">
        <v>359.49999964049999</v>
      </c>
      <c r="BV10" s="648">
        <v>0</v>
      </c>
      <c r="BW10" s="648">
        <v>359.5</v>
      </c>
      <c r="BX10" s="648">
        <v>0</v>
      </c>
      <c r="BY10" s="648" t="s">
        <v>188</v>
      </c>
      <c r="BZ10" s="648" t="s">
        <v>188</v>
      </c>
      <c r="CA10" s="648">
        <v>359.49999928099999</v>
      </c>
      <c r="CB10" s="648">
        <v>0</v>
      </c>
      <c r="CC10" s="597" t="s">
        <v>995</v>
      </c>
      <c r="CD10" s="748"/>
      <c r="CE10" s="748">
        <v>1117883096.3319499</v>
      </c>
      <c r="CF10" s="748">
        <v>0</v>
      </c>
      <c r="CG10" s="748">
        <v>498247587.38333702</v>
      </c>
      <c r="CH10" s="748">
        <v>0</v>
      </c>
      <c r="CI10" s="748">
        <v>470451566.41706997</v>
      </c>
      <c r="CJ10" s="748" t="s">
        <v>188</v>
      </c>
      <c r="CK10" s="748" t="s">
        <v>188</v>
      </c>
      <c r="CL10" s="748">
        <v>0</v>
      </c>
      <c r="CM10" s="748">
        <v>149183942.531542</v>
      </c>
      <c r="CN10" s="752">
        <v>0</v>
      </c>
      <c r="CO10" s="623" t="s">
        <v>188</v>
      </c>
      <c r="CP10" s="623" t="s">
        <v>188</v>
      </c>
      <c r="CQ10" s="623" t="s">
        <v>188</v>
      </c>
      <c r="CR10" s="623" t="s">
        <v>188</v>
      </c>
      <c r="CS10" s="623" t="s">
        <v>188</v>
      </c>
      <c r="CT10" s="623" t="s">
        <v>188</v>
      </c>
      <c r="CU10" s="623" t="s">
        <v>188</v>
      </c>
      <c r="CV10" s="623" t="s">
        <v>188</v>
      </c>
      <c r="CW10" s="623" t="s">
        <v>188</v>
      </c>
      <c r="CX10" s="623" t="s">
        <v>188</v>
      </c>
      <c r="CY10" s="623" t="s">
        <v>188</v>
      </c>
      <c r="CZ10" s="623" t="s">
        <v>188</v>
      </c>
      <c r="DA10" s="623" t="s">
        <v>188</v>
      </c>
      <c r="DB10" s="623" t="s">
        <v>188</v>
      </c>
      <c r="DC10" s="623" t="s">
        <v>188</v>
      </c>
      <c r="DD10" s="623" t="s">
        <v>188</v>
      </c>
      <c r="DE10" s="623" t="s">
        <v>188</v>
      </c>
      <c r="DF10" s="623" t="s">
        <v>188</v>
      </c>
      <c r="DG10" s="623" t="s">
        <v>188</v>
      </c>
      <c r="DH10" s="623" t="s">
        <v>188</v>
      </c>
      <c r="DI10" s="550">
        <f>IFERROR(INDEX('Price Point Data'!O:O,MATCH($B10,'Price Point Data'!$A:$A,0)),-99)</f>
        <v>-99</v>
      </c>
      <c r="DJ10" s="550">
        <f>IFERROR(INDEX('Price Point Data'!P:P,MATCH($B10,'Price Point Data'!$A:$A,0)),-99)</f>
        <v>-99</v>
      </c>
      <c r="DK10" s="550">
        <f>IFERROR(INDEX('Price Point Data'!Q:Q,MATCH($B10,'Price Point Data'!$A:$A,0)),-99)</f>
        <v>-99</v>
      </c>
      <c r="DL10" s="550">
        <f>IFERROR(INDEX('Price Point Data'!I:I,MATCH($B10,'Price Point Data'!$A:$A,0)),-99)</f>
        <v>-99</v>
      </c>
      <c r="DM10" s="550">
        <f>IFERROR(INDEX('Price Point Data'!J:J,MATCH($B10,'Price Point Data'!$A:$A,0)),-99)</f>
        <v>-99</v>
      </c>
      <c r="DN10" s="550">
        <f>IFERROR(INDEX('Price Point Data'!K:K,MATCH($B10,'Price Point Data'!$A:$A,0)),-99)</f>
        <v>-99</v>
      </c>
      <c r="DO10" s="550">
        <f>IFERROR(INDEX('Price Point Data'!L:L,MATCH($B10,'Price Point Data'!$A:$A,0)),-99)</f>
        <v>-99</v>
      </c>
      <c r="DP10" s="550">
        <f>IFERROR(INDEX('Price Point Data'!M:M,MATCH($B10,'Price Point Data'!$A:$A,0)),-99)</f>
        <v>-99</v>
      </c>
      <c r="DQ10" s="550">
        <f>IFERROR(INDEX('Price Point Data'!N:N,MATCH($B10,'Price Point Data'!$A:$A,0)),-99)</f>
        <v>-99</v>
      </c>
      <c r="DR10" s="636"/>
      <c r="DS10" s="552">
        <v>34468</v>
      </c>
      <c r="DT10" s="636" t="s">
        <v>419</v>
      </c>
      <c r="DU10" s="636" t="s">
        <v>457</v>
      </c>
      <c r="DV10" s="552">
        <v>42005</v>
      </c>
      <c r="DW10" s="636" t="s">
        <v>416</v>
      </c>
      <c r="DX10" s="636" t="s">
        <v>188</v>
      </c>
      <c r="DY10" s="636" t="s">
        <v>188</v>
      </c>
      <c r="DZ10" s="636" t="s">
        <v>458</v>
      </c>
      <c r="EA10" s="552">
        <v>42005</v>
      </c>
      <c r="EB10" s="636" t="s">
        <v>448</v>
      </c>
      <c r="EC10" s="636" t="s">
        <v>191</v>
      </c>
      <c r="ED10" s="636" t="s">
        <v>191</v>
      </c>
      <c r="EE10" s="636" t="s">
        <v>188</v>
      </c>
      <c r="EF10" s="636" t="s">
        <v>188</v>
      </c>
      <c r="EG10" s="636" t="s">
        <v>188</v>
      </c>
      <c r="EH10" s="8">
        <v>119</v>
      </c>
      <c r="EI10" s="359"/>
    </row>
    <row r="11" spans="1:139" s="8" customFormat="1" x14ac:dyDescent="0.25">
      <c r="A11" s="16">
        <v>7</v>
      </c>
      <c r="B11" s="19" t="s">
        <v>696</v>
      </c>
      <c r="C11" s="19"/>
      <c r="D11" s="19" t="s">
        <v>78</v>
      </c>
      <c r="E11" s="19" t="s">
        <v>73</v>
      </c>
      <c r="F11" s="19" t="s">
        <v>8</v>
      </c>
      <c r="G11" s="19" t="s">
        <v>6</v>
      </c>
      <c r="H11" s="539">
        <v>0.46069199999999999</v>
      </c>
      <c r="I11" s="539">
        <v>0.40553722744741555</v>
      </c>
      <c r="J11" s="539">
        <v>0.45977400000000002</v>
      </c>
      <c r="K11" s="539">
        <v>0.45913595064815682</v>
      </c>
      <c r="L11" s="539">
        <v>0.47971000000000003</v>
      </c>
      <c r="M11" s="539">
        <v>0.28127400000000002</v>
      </c>
      <c r="N11" s="539">
        <v>0.252</v>
      </c>
      <c r="O11" s="539">
        <v>0.27086399999999999</v>
      </c>
      <c r="P11" s="539">
        <v>0.309</v>
      </c>
      <c r="Q11" s="539">
        <v>0.30732800000000005</v>
      </c>
      <c r="R11" s="539">
        <v>-99</v>
      </c>
      <c r="S11" s="539">
        <v>-99</v>
      </c>
      <c r="T11" s="539">
        <v>-99</v>
      </c>
      <c r="U11" s="539">
        <v>-99</v>
      </c>
      <c r="V11" s="539">
        <v>-99</v>
      </c>
      <c r="W11" s="539">
        <v>-99</v>
      </c>
      <c r="X11" s="539">
        <v>0.48099999999999998</v>
      </c>
      <c r="Y11" s="539">
        <v>-99</v>
      </c>
      <c r="Z11" s="539">
        <v>0.57999999999999996</v>
      </c>
      <c r="AA11" s="539">
        <v>0.78029999999999999</v>
      </c>
      <c r="AB11" s="539">
        <v>0.41004999999999997</v>
      </c>
      <c r="AC11" s="539">
        <v>0.49199999999999999</v>
      </c>
      <c r="AD11" s="539">
        <v>0.57939199999999991</v>
      </c>
      <c r="AE11" s="539">
        <v>0.47799999999999998</v>
      </c>
      <c r="AF11" s="539">
        <v>0.62487800000000004</v>
      </c>
      <c r="AG11" s="539">
        <v>-99</v>
      </c>
      <c r="AH11" s="540">
        <v>-99</v>
      </c>
      <c r="AI11" s="539">
        <v>-99</v>
      </c>
      <c r="AJ11" s="540">
        <v>-99</v>
      </c>
      <c r="AK11" s="539">
        <v>-99</v>
      </c>
      <c r="AL11" s="539">
        <v>-99</v>
      </c>
      <c r="AM11" s="540">
        <v>-99</v>
      </c>
      <c r="AN11" s="539">
        <v>-99</v>
      </c>
      <c r="AO11" s="540">
        <v>-99</v>
      </c>
      <c r="AP11" s="541">
        <v>-99</v>
      </c>
      <c r="AQ11" s="539">
        <v>-99</v>
      </c>
      <c r="AR11" s="540">
        <v>-99</v>
      </c>
      <c r="AS11" s="539">
        <v>-99</v>
      </c>
      <c r="AT11" s="540">
        <v>-99</v>
      </c>
      <c r="AU11" s="539">
        <v>-99</v>
      </c>
      <c r="AV11" s="540">
        <v>-99</v>
      </c>
      <c r="AW11" s="540">
        <v>-99</v>
      </c>
      <c r="AX11" s="540">
        <v>-99</v>
      </c>
      <c r="AY11" s="540">
        <v>-99</v>
      </c>
      <c r="AZ11" s="539">
        <v>-99</v>
      </c>
      <c r="BA11" s="539">
        <v>-99</v>
      </c>
      <c r="BB11" s="540">
        <v>-99</v>
      </c>
      <c r="BC11" s="539">
        <v>-99</v>
      </c>
      <c r="BD11" s="540">
        <v>-99</v>
      </c>
      <c r="BE11" s="541">
        <v>-99</v>
      </c>
      <c r="BF11" s="612"/>
      <c r="BG11" s="541"/>
      <c r="BH11" s="612">
        <v>-99</v>
      </c>
      <c r="BI11" s="638">
        <v>-98</v>
      </c>
      <c r="BJ11" s="638"/>
      <c r="BK11" s="561"/>
      <c r="BL11" s="561"/>
      <c r="BM11" s="545">
        <v>30</v>
      </c>
      <c r="BN11" s="708">
        <v>5.4</v>
      </c>
      <c r="BO11" s="636"/>
      <c r="BP11" s="623"/>
      <c r="BQ11" s="611"/>
      <c r="BR11" s="636" t="s">
        <v>825</v>
      </c>
      <c r="BS11" s="648" t="s">
        <v>188</v>
      </c>
      <c r="BT11" s="648" t="s">
        <v>188</v>
      </c>
      <c r="BU11" s="648" t="s">
        <v>188</v>
      </c>
      <c r="BV11" s="648" t="s">
        <v>188</v>
      </c>
      <c r="BW11" s="648" t="s">
        <v>188</v>
      </c>
      <c r="BX11" s="648" t="s">
        <v>188</v>
      </c>
      <c r="BY11" s="648" t="s">
        <v>188</v>
      </c>
      <c r="BZ11" s="648" t="s">
        <v>188</v>
      </c>
      <c r="CA11" s="648" t="s">
        <v>188</v>
      </c>
      <c r="CB11" s="648" t="s">
        <v>188</v>
      </c>
      <c r="CC11" s="597" t="s">
        <v>188</v>
      </c>
      <c r="CD11" s="659"/>
      <c r="CE11" s="659" t="s">
        <v>188</v>
      </c>
      <c r="CF11" s="659" t="s">
        <v>188</v>
      </c>
      <c r="CG11" s="659" t="s">
        <v>188</v>
      </c>
      <c r="CH11" s="659" t="s">
        <v>188</v>
      </c>
      <c r="CI11" s="659" t="s">
        <v>188</v>
      </c>
      <c r="CJ11" s="659" t="s">
        <v>188</v>
      </c>
      <c r="CK11" s="659" t="s">
        <v>188</v>
      </c>
      <c r="CL11" s="659" t="s">
        <v>188</v>
      </c>
      <c r="CM11" s="659" t="s">
        <v>188</v>
      </c>
      <c r="CN11" s="660" t="s">
        <v>188</v>
      </c>
      <c r="CO11" s="623" t="s">
        <v>188</v>
      </c>
      <c r="CP11" s="623" t="s">
        <v>188</v>
      </c>
      <c r="CQ11" s="623" t="s">
        <v>188</v>
      </c>
      <c r="CR11" s="623" t="s">
        <v>188</v>
      </c>
      <c r="CS11" s="623" t="s">
        <v>188</v>
      </c>
      <c r="CT11" s="623" t="s">
        <v>188</v>
      </c>
      <c r="CU11" s="623" t="s">
        <v>188</v>
      </c>
      <c r="CV11" s="623" t="s">
        <v>188</v>
      </c>
      <c r="CW11" s="623" t="s">
        <v>188</v>
      </c>
      <c r="CX11" s="623" t="s">
        <v>188</v>
      </c>
      <c r="CY11" s="623" t="s">
        <v>188</v>
      </c>
      <c r="CZ11" s="623" t="s">
        <v>188</v>
      </c>
      <c r="DA11" s="623" t="s">
        <v>188</v>
      </c>
      <c r="DB11" s="623" t="s">
        <v>188</v>
      </c>
      <c r="DC11" s="623" t="s">
        <v>188</v>
      </c>
      <c r="DD11" s="623" t="s">
        <v>188</v>
      </c>
      <c r="DE11" s="623" t="s">
        <v>188</v>
      </c>
      <c r="DF11" s="623" t="s">
        <v>188</v>
      </c>
      <c r="DG11" s="623" t="s">
        <v>188</v>
      </c>
      <c r="DH11" s="623" t="s">
        <v>188</v>
      </c>
      <c r="DI11" s="550">
        <f>IFERROR(INDEX('Price Point Data'!O:O,MATCH($B11,'Price Point Data'!$A:$A,0)),-99)</f>
        <v>-99</v>
      </c>
      <c r="DJ11" s="550">
        <f>IFERROR(INDEX('Price Point Data'!P:P,MATCH($B11,'Price Point Data'!$A:$A,0)),-99)</f>
        <v>-99</v>
      </c>
      <c r="DK11" s="550">
        <f>IFERROR(INDEX('Price Point Data'!Q:Q,MATCH($B11,'Price Point Data'!$A:$A,0)),-99)</f>
        <v>-99</v>
      </c>
      <c r="DL11" s="550">
        <f>IFERROR(INDEX('Price Point Data'!I:I,MATCH($B11,'Price Point Data'!$A:$A,0)),-99)</f>
        <v>-99</v>
      </c>
      <c r="DM11" s="550">
        <f>IFERROR(INDEX('Price Point Data'!J:J,MATCH($B11,'Price Point Data'!$A:$A,0)),-99)</f>
        <v>-99</v>
      </c>
      <c r="DN11" s="550">
        <f>IFERROR(INDEX('Price Point Data'!K:K,MATCH($B11,'Price Point Data'!$A:$A,0)),-99)</f>
        <v>-99</v>
      </c>
      <c r="DO11" s="550">
        <f>IFERROR(INDEX('Price Point Data'!L:L,MATCH($B11,'Price Point Data'!$A:$A,0)),-99)</f>
        <v>-99</v>
      </c>
      <c r="DP11" s="550">
        <f>IFERROR(INDEX('Price Point Data'!M:M,MATCH($B11,'Price Point Data'!$A:$A,0)),-99)</f>
        <v>-99</v>
      </c>
      <c r="DQ11" s="550">
        <f>IFERROR(INDEX('Price Point Data'!N:N,MATCH($B11,'Price Point Data'!$A:$A,0)),-99)</f>
        <v>-99</v>
      </c>
      <c r="DR11" s="638"/>
      <c r="DS11" s="552">
        <v>34468</v>
      </c>
      <c r="DT11" s="636" t="s">
        <v>419</v>
      </c>
      <c r="DU11" s="638" t="s">
        <v>457</v>
      </c>
      <c r="DV11" s="562">
        <v>42005</v>
      </c>
      <c r="DW11" s="636" t="s">
        <v>416</v>
      </c>
      <c r="DX11" s="636" t="s">
        <v>188</v>
      </c>
      <c r="DY11" s="636" t="s">
        <v>188</v>
      </c>
      <c r="DZ11" s="636" t="s">
        <v>458</v>
      </c>
      <c r="EA11" s="552">
        <v>42005</v>
      </c>
      <c r="EB11" s="636" t="s">
        <v>448</v>
      </c>
      <c r="EC11" s="636" t="s">
        <v>191</v>
      </c>
      <c r="ED11" s="636" t="s">
        <v>191</v>
      </c>
      <c r="EE11" s="636" t="s">
        <v>188</v>
      </c>
      <c r="EF11" s="636" t="s">
        <v>188</v>
      </c>
      <c r="EG11" s="636" t="s">
        <v>188</v>
      </c>
      <c r="EH11" s="8">
        <v>118</v>
      </c>
      <c r="EI11" s="359"/>
    </row>
    <row r="12" spans="1:139" s="8" customFormat="1" x14ac:dyDescent="0.25">
      <c r="A12" s="16">
        <v>8</v>
      </c>
      <c r="B12" s="19" t="s">
        <v>701</v>
      </c>
      <c r="C12" s="19"/>
      <c r="D12" s="19" t="s">
        <v>55</v>
      </c>
      <c r="E12" s="19" t="s">
        <v>73</v>
      </c>
      <c r="F12" s="19" t="s">
        <v>8</v>
      </c>
      <c r="G12" s="19" t="s">
        <v>837</v>
      </c>
      <c r="H12" s="539">
        <v>-99</v>
      </c>
      <c r="I12" s="539">
        <v>0.95128559283769853</v>
      </c>
      <c r="J12" s="539">
        <v>-99</v>
      </c>
      <c r="K12" s="539">
        <v>0.86414298720496718</v>
      </c>
      <c r="L12" s="539">
        <v>-99</v>
      </c>
      <c r="M12" s="539">
        <v>-99</v>
      </c>
      <c r="N12" s="539">
        <v>0.94455282185208456</v>
      </c>
      <c r="O12" s="539">
        <v>-99</v>
      </c>
      <c r="P12" s="539">
        <v>0.86299999999999999</v>
      </c>
      <c r="Q12" s="539">
        <v>-99</v>
      </c>
      <c r="R12" s="539">
        <v>-99</v>
      </c>
      <c r="S12" s="539">
        <v>0.95839264479683695</v>
      </c>
      <c r="T12" s="539">
        <v>-99</v>
      </c>
      <c r="U12" s="539">
        <v>0.86099999999999999</v>
      </c>
      <c r="V12" s="539">
        <v>-99</v>
      </c>
      <c r="W12" s="539">
        <v>-99</v>
      </c>
      <c r="X12" s="539">
        <v>-99</v>
      </c>
      <c r="Y12" s="539">
        <v>-99</v>
      </c>
      <c r="Z12" s="539">
        <v>-99</v>
      </c>
      <c r="AA12" s="539">
        <v>-99</v>
      </c>
      <c r="AB12" s="539">
        <v>-99</v>
      </c>
      <c r="AC12" s="539">
        <v>0.95138056281155403</v>
      </c>
      <c r="AD12" s="539">
        <v>-99</v>
      </c>
      <c r="AE12" s="539">
        <v>0.878</v>
      </c>
      <c r="AF12" s="539">
        <v>-99</v>
      </c>
      <c r="AG12" s="539">
        <v>-99</v>
      </c>
      <c r="AH12" s="540">
        <v>-99</v>
      </c>
      <c r="AI12" s="539">
        <v>-99</v>
      </c>
      <c r="AJ12" s="540">
        <v>-99</v>
      </c>
      <c r="AK12" s="539">
        <v>-99</v>
      </c>
      <c r="AL12" s="539">
        <v>-99</v>
      </c>
      <c r="AM12" s="540">
        <v>-99</v>
      </c>
      <c r="AN12" s="539">
        <v>-99</v>
      </c>
      <c r="AO12" s="540">
        <v>-99</v>
      </c>
      <c r="AP12" s="541">
        <v>-99</v>
      </c>
      <c r="AQ12" s="539">
        <v>-99</v>
      </c>
      <c r="AR12" s="540">
        <v>-99</v>
      </c>
      <c r="AS12" s="539">
        <v>-99</v>
      </c>
      <c r="AT12" s="540">
        <v>-99</v>
      </c>
      <c r="AU12" s="539">
        <v>-99</v>
      </c>
      <c r="AV12" s="540">
        <v>-99</v>
      </c>
      <c r="AW12" s="540">
        <v>-99</v>
      </c>
      <c r="AX12" s="540">
        <v>-99</v>
      </c>
      <c r="AY12" s="540">
        <v>-99</v>
      </c>
      <c r="AZ12" s="539">
        <v>-99</v>
      </c>
      <c r="BA12" s="539">
        <v>-99</v>
      </c>
      <c r="BB12" s="540">
        <v>-99</v>
      </c>
      <c r="BC12" s="539">
        <v>-99</v>
      </c>
      <c r="BD12" s="540">
        <v>-99</v>
      </c>
      <c r="BE12" s="541">
        <v>-99</v>
      </c>
      <c r="BF12" s="612"/>
      <c r="BG12" s="612"/>
      <c r="BH12" s="612">
        <v>-99</v>
      </c>
      <c r="BI12" s="636">
        <v>72</v>
      </c>
      <c r="BJ12" s="636"/>
      <c r="BK12" s="612"/>
      <c r="BL12" s="561"/>
      <c r="BM12" s="612">
        <v>-99</v>
      </c>
      <c r="BN12" s="612">
        <v>-99</v>
      </c>
      <c r="BO12" s="612">
        <f>121-86.1</f>
        <v>34.900000000000006</v>
      </c>
      <c r="BP12" s="623">
        <v>0</v>
      </c>
      <c r="BQ12" s="612" t="s">
        <v>625</v>
      </c>
      <c r="BR12" s="636"/>
      <c r="BS12" s="648" t="s">
        <v>188</v>
      </c>
      <c r="BT12" s="648" t="s">
        <v>188</v>
      </c>
      <c r="BU12" s="648" t="s">
        <v>188</v>
      </c>
      <c r="BV12" s="648" t="s">
        <v>188</v>
      </c>
      <c r="BW12" s="648" t="s">
        <v>188</v>
      </c>
      <c r="BX12" s="648" t="s">
        <v>188</v>
      </c>
      <c r="BY12" s="648" t="s">
        <v>188</v>
      </c>
      <c r="BZ12" s="648" t="s">
        <v>188</v>
      </c>
      <c r="CA12" s="648" t="s">
        <v>188</v>
      </c>
      <c r="CB12" s="648" t="s">
        <v>188</v>
      </c>
      <c r="CC12" s="597" t="s">
        <v>188</v>
      </c>
      <c r="CD12" s="659"/>
      <c r="CE12" s="659" t="s">
        <v>188</v>
      </c>
      <c r="CF12" s="659" t="s">
        <v>188</v>
      </c>
      <c r="CG12" s="659" t="s">
        <v>188</v>
      </c>
      <c r="CH12" s="659" t="s">
        <v>188</v>
      </c>
      <c r="CI12" s="659" t="s">
        <v>188</v>
      </c>
      <c r="CJ12" s="659" t="s">
        <v>188</v>
      </c>
      <c r="CK12" s="659" t="s">
        <v>188</v>
      </c>
      <c r="CL12" s="659" t="s">
        <v>188</v>
      </c>
      <c r="CM12" s="659" t="s">
        <v>188</v>
      </c>
      <c r="CN12" s="660" t="s">
        <v>188</v>
      </c>
      <c r="CO12" s="623" t="s">
        <v>188</v>
      </c>
      <c r="CP12" s="623" t="s">
        <v>188</v>
      </c>
      <c r="CQ12" s="623" t="s">
        <v>188</v>
      </c>
      <c r="CR12" s="623" t="s">
        <v>188</v>
      </c>
      <c r="CS12" s="623" t="s">
        <v>188</v>
      </c>
      <c r="CT12" s="623" t="s">
        <v>188</v>
      </c>
      <c r="CU12" s="623" t="s">
        <v>188</v>
      </c>
      <c r="CV12" s="623" t="s">
        <v>188</v>
      </c>
      <c r="CW12" s="623" t="s">
        <v>188</v>
      </c>
      <c r="CX12" s="623" t="s">
        <v>188</v>
      </c>
      <c r="CY12" s="623" t="s">
        <v>188</v>
      </c>
      <c r="CZ12" s="623" t="s">
        <v>188</v>
      </c>
      <c r="DA12" s="623" t="s">
        <v>188</v>
      </c>
      <c r="DB12" s="623" t="s">
        <v>188</v>
      </c>
      <c r="DC12" s="623" t="s">
        <v>188</v>
      </c>
      <c r="DD12" s="623" t="s">
        <v>188</v>
      </c>
      <c r="DE12" s="623" t="s">
        <v>188</v>
      </c>
      <c r="DF12" s="623" t="s">
        <v>188</v>
      </c>
      <c r="DG12" s="623" t="s">
        <v>188</v>
      </c>
      <c r="DH12" s="623" t="s">
        <v>188</v>
      </c>
      <c r="DI12" s="550">
        <f>IFERROR(INDEX('Price Point Data'!O:O,MATCH($B12,'Price Point Data'!$A:$A,0)),-99)</f>
        <v>-99</v>
      </c>
      <c r="DJ12" s="550">
        <f>IFERROR(INDEX('Price Point Data'!P:P,MATCH($B12,'Price Point Data'!$A:$A,0)),-99)</f>
        <v>-99</v>
      </c>
      <c r="DK12" s="550">
        <f>IFERROR(INDEX('Price Point Data'!Q:Q,MATCH($B12,'Price Point Data'!$A:$A,0)),-99)</f>
        <v>-99</v>
      </c>
      <c r="DL12" s="550">
        <f>IFERROR(INDEX('Price Point Data'!I:I,MATCH($B12,'Price Point Data'!$A:$A,0)),-99)</f>
        <v>-99</v>
      </c>
      <c r="DM12" s="550">
        <f>IFERROR(INDEX('Price Point Data'!J:J,MATCH($B12,'Price Point Data'!$A:$A,0)),-99)</f>
        <v>-99</v>
      </c>
      <c r="DN12" s="550">
        <f>IFERROR(INDEX('Price Point Data'!K:K,MATCH($B12,'Price Point Data'!$A:$A,0)),-99)</f>
        <v>-99</v>
      </c>
      <c r="DO12" s="550">
        <f>IFERROR(INDEX('Price Point Data'!L:L,MATCH($B12,'Price Point Data'!$A:$A,0)),-99)</f>
        <v>-99</v>
      </c>
      <c r="DP12" s="550">
        <f>IFERROR(INDEX('Price Point Data'!M:M,MATCH($B12,'Price Point Data'!$A:$A,0)),-99)</f>
        <v>-99</v>
      </c>
      <c r="DQ12" s="550">
        <f>IFERROR(INDEX('Price Point Data'!N:N,MATCH($B12,'Price Point Data'!$A:$A,0)),-99)</f>
        <v>-99</v>
      </c>
      <c r="DR12" s="636"/>
      <c r="DS12" s="636" t="s">
        <v>188</v>
      </c>
      <c r="DT12" s="636" t="s">
        <v>188</v>
      </c>
      <c r="DU12" s="636" t="s">
        <v>457</v>
      </c>
      <c r="DV12" s="552">
        <v>42538</v>
      </c>
      <c r="DW12" s="623" t="s">
        <v>420</v>
      </c>
      <c r="DX12" s="636" t="s">
        <v>188</v>
      </c>
      <c r="DY12" s="636" t="s">
        <v>188</v>
      </c>
      <c r="DZ12" s="636" t="s">
        <v>188</v>
      </c>
      <c r="EA12" s="636" t="s">
        <v>188</v>
      </c>
      <c r="EB12" s="636" t="s">
        <v>188</v>
      </c>
      <c r="EC12" s="636" t="s">
        <v>188</v>
      </c>
      <c r="ED12" s="636" t="s">
        <v>188</v>
      </c>
      <c r="EE12" s="636" t="s">
        <v>188</v>
      </c>
      <c r="EF12" s="636" t="s">
        <v>188</v>
      </c>
      <c r="EG12" s="636" t="s">
        <v>188</v>
      </c>
      <c r="EH12" s="8">
        <v>65</v>
      </c>
      <c r="EI12" s="359"/>
    </row>
    <row r="13" spans="1:139" s="8" customFormat="1" x14ac:dyDescent="0.25">
      <c r="A13" s="16">
        <v>9</v>
      </c>
      <c r="B13" s="19" t="s">
        <v>1075</v>
      </c>
      <c r="C13" s="19" t="s">
        <v>1076</v>
      </c>
      <c r="D13" s="19" t="s">
        <v>52</v>
      </c>
      <c r="E13" s="19" t="s">
        <v>73</v>
      </c>
      <c r="F13" s="19" t="s">
        <v>8</v>
      </c>
      <c r="G13" s="19" t="s">
        <v>837</v>
      </c>
      <c r="H13" s="539">
        <v>-99</v>
      </c>
      <c r="I13" s="539">
        <v>-99</v>
      </c>
      <c r="J13" s="539">
        <v>-99</v>
      </c>
      <c r="K13" s="539">
        <v>-99</v>
      </c>
      <c r="L13" s="539">
        <v>-98</v>
      </c>
      <c r="M13" s="539">
        <v>-99</v>
      </c>
      <c r="N13" s="539">
        <v>-99</v>
      </c>
      <c r="O13" s="539">
        <v>-99</v>
      </c>
      <c r="P13" s="539">
        <v>-99</v>
      </c>
      <c r="Q13" s="539">
        <v>-98</v>
      </c>
      <c r="R13" s="539">
        <v>-99</v>
      </c>
      <c r="S13" s="539">
        <v>-99</v>
      </c>
      <c r="T13" s="539">
        <v>-99</v>
      </c>
      <c r="U13" s="539">
        <v>-99</v>
      </c>
      <c r="V13" s="539">
        <v>-98</v>
      </c>
      <c r="W13" s="539">
        <v>-99</v>
      </c>
      <c r="X13" s="539">
        <v>-99</v>
      </c>
      <c r="Y13" s="539">
        <v>-99</v>
      </c>
      <c r="Z13" s="539">
        <v>-99</v>
      </c>
      <c r="AA13" s="539">
        <v>-99</v>
      </c>
      <c r="AB13" s="539">
        <v>-99</v>
      </c>
      <c r="AC13" s="539">
        <v>-99</v>
      </c>
      <c r="AD13" s="539">
        <v>-99</v>
      </c>
      <c r="AE13" s="539">
        <v>-99</v>
      </c>
      <c r="AF13" s="539">
        <v>-98</v>
      </c>
      <c r="AG13" s="539">
        <v>-99</v>
      </c>
      <c r="AH13" s="540">
        <v>-99</v>
      </c>
      <c r="AI13" s="539">
        <v>-99</v>
      </c>
      <c r="AJ13" s="540">
        <v>-99</v>
      </c>
      <c r="AK13" s="539">
        <v>-99</v>
      </c>
      <c r="AL13" s="539">
        <v>-99</v>
      </c>
      <c r="AM13" s="540">
        <v>-99</v>
      </c>
      <c r="AN13" s="539">
        <v>-99</v>
      </c>
      <c r="AO13" s="540">
        <v>-99</v>
      </c>
      <c r="AP13" s="541">
        <v>-99</v>
      </c>
      <c r="AQ13" s="539">
        <v>-99</v>
      </c>
      <c r="AR13" s="540">
        <v>-99</v>
      </c>
      <c r="AS13" s="539">
        <v>-99</v>
      </c>
      <c r="AT13" s="540">
        <v>-99</v>
      </c>
      <c r="AU13" s="539">
        <v>-99</v>
      </c>
      <c r="AV13" s="540">
        <v>-99</v>
      </c>
      <c r="AW13" s="540">
        <v>-99</v>
      </c>
      <c r="AX13" s="540">
        <v>-99</v>
      </c>
      <c r="AY13" s="540">
        <v>-99</v>
      </c>
      <c r="AZ13" s="539">
        <v>-99</v>
      </c>
      <c r="BA13" s="539">
        <v>-99</v>
      </c>
      <c r="BB13" s="540">
        <v>-99</v>
      </c>
      <c r="BC13" s="539">
        <v>-99</v>
      </c>
      <c r="BD13" s="540">
        <v>-99</v>
      </c>
      <c r="BE13" s="541">
        <v>-99</v>
      </c>
      <c r="BF13" s="542"/>
      <c r="BG13" s="541"/>
      <c r="BH13" s="542">
        <v>0</v>
      </c>
      <c r="BI13" s="636">
        <v>65</v>
      </c>
      <c r="BJ13" s="636" t="s">
        <v>681</v>
      </c>
      <c r="BK13" s="612">
        <v>47</v>
      </c>
      <c r="BL13" s="612">
        <v>0</v>
      </c>
      <c r="BM13" s="612">
        <v>18</v>
      </c>
      <c r="BN13" s="612">
        <v>0</v>
      </c>
      <c r="BO13" s="611"/>
      <c r="BP13" s="623"/>
      <c r="BQ13" s="563"/>
      <c r="BR13" s="636" t="s">
        <v>676</v>
      </c>
      <c r="BS13" s="648" t="s">
        <v>188</v>
      </c>
      <c r="BT13" s="648" t="s">
        <v>188</v>
      </c>
      <c r="BU13" s="648" t="s">
        <v>188</v>
      </c>
      <c r="BV13" s="648" t="s">
        <v>188</v>
      </c>
      <c r="BW13" s="648" t="s">
        <v>188</v>
      </c>
      <c r="BX13" s="648" t="s">
        <v>188</v>
      </c>
      <c r="BY13" s="648" t="s">
        <v>188</v>
      </c>
      <c r="BZ13" s="648" t="s">
        <v>188</v>
      </c>
      <c r="CA13" s="648" t="s">
        <v>188</v>
      </c>
      <c r="CB13" s="648" t="s">
        <v>188</v>
      </c>
      <c r="CC13" s="597" t="s">
        <v>188</v>
      </c>
      <c r="CD13" s="659"/>
      <c r="CE13" s="659" t="s">
        <v>188</v>
      </c>
      <c r="CF13" s="659" t="s">
        <v>188</v>
      </c>
      <c r="CG13" s="659" t="s">
        <v>188</v>
      </c>
      <c r="CH13" s="659" t="s">
        <v>188</v>
      </c>
      <c r="CI13" s="659" t="s">
        <v>188</v>
      </c>
      <c r="CJ13" s="659" t="s">
        <v>188</v>
      </c>
      <c r="CK13" s="659" t="s">
        <v>188</v>
      </c>
      <c r="CL13" s="659" t="s">
        <v>188</v>
      </c>
      <c r="CM13" s="659" t="s">
        <v>188</v>
      </c>
      <c r="CN13" s="660" t="s">
        <v>188</v>
      </c>
      <c r="CO13" s="623" t="s">
        <v>188</v>
      </c>
      <c r="CP13" s="623" t="s">
        <v>188</v>
      </c>
      <c r="CQ13" s="623" t="s">
        <v>188</v>
      </c>
      <c r="CR13" s="623" t="s">
        <v>188</v>
      </c>
      <c r="CS13" s="623" t="s">
        <v>188</v>
      </c>
      <c r="CT13" s="623" t="s">
        <v>188</v>
      </c>
      <c r="CU13" s="623" t="s">
        <v>188</v>
      </c>
      <c r="CV13" s="623" t="s">
        <v>188</v>
      </c>
      <c r="CW13" s="623" t="s">
        <v>188</v>
      </c>
      <c r="CX13" s="623" t="s">
        <v>188</v>
      </c>
      <c r="CY13" s="623" t="s">
        <v>188</v>
      </c>
      <c r="CZ13" s="623" t="s">
        <v>188</v>
      </c>
      <c r="DA13" s="623" t="s">
        <v>188</v>
      </c>
      <c r="DB13" s="623" t="s">
        <v>188</v>
      </c>
      <c r="DC13" s="623" t="s">
        <v>188</v>
      </c>
      <c r="DD13" s="623" t="s">
        <v>188</v>
      </c>
      <c r="DE13" s="623" t="s">
        <v>188</v>
      </c>
      <c r="DF13" s="623" t="s">
        <v>188</v>
      </c>
      <c r="DG13" s="623" t="s">
        <v>188</v>
      </c>
      <c r="DH13" s="623" t="s">
        <v>188</v>
      </c>
      <c r="DI13" s="550" t="str">
        <f>IFERROR(INDEX('Price Point Data'!O:O,MATCH($B13,'Price Point Data'!$A:$A,0)),-99)</f>
        <v>Unknown</v>
      </c>
      <c r="DJ13" s="550" t="str">
        <f>IFERROR(INDEX('Price Point Data'!P:P,MATCH($B13,'Price Point Data'!$A:$A,0)),-99)</f>
        <v>Unknown</v>
      </c>
      <c r="DK13" s="550" t="str">
        <f>IFERROR(INDEX('Price Point Data'!Q:Q,MATCH($B13,'Price Point Data'!$A:$A,0)),-99)</f>
        <v>Unknown</v>
      </c>
      <c r="DL13" s="550" t="str">
        <f>IFERROR(INDEX('Price Point Data'!I:I,MATCH($B13,'Price Point Data'!$A:$A,0)),-99)</f>
        <v>Unknown</v>
      </c>
      <c r="DM13" s="565" t="str">
        <f>IFERROR(INDEX('Price Point Data'!J:J,MATCH($B13,'Price Point Data'!$A:$A,0)),-99)</f>
        <v>Unknown</v>
      </c>
      <c r="DN13" s="550" t="str">
        <f>IFERROR(INDEX('Price Point Data'!K:K,MATCH($B13,'Price Point Data'!$A:$A,0)),-99)</f>
        <v>Unknown</v>
      </c>
      <c r="DO13" s="550" t="str">
        <f>IFERROR(INDEX('Price Point Data'!L:L,MATCH($B13,'Price Point Data'!$A:$A,0)),-99)</f>
        <v>Unknown</v>
      </c>
      <c r="DP13" s="550" t="str">
        <f>IFERROR(INDEX('Price Point Data'!M:M,MATCH($B13,'Price Point Data'!$A:$A,0)),-99)</f>
        <v>Unknown</v>
      </c>
      <c r="DQ13" s="550" t="str">
        <f>IFERROR(INDEX('Price Point Data'!N:N,MATCH($B13,'Price Point Data'!$A:$A,0)),-99)</f>
        <v>Unknown</v>
      </c>
      <c r="DR13" s="556" t="s">
        <v>281</v>
      </c>
      <c r="DS13" s="636" t="s">
        <v>188</v>
      </c>
      <c r="DT13" s="636" t="s">
        <v>188</v>
      </c>
      <c r="DU13" s="636" t="s">
        <v>188</v>
      </c>
      <c r="DV13" s="636" t="s">
        <v>188</v>
      </c>
      <c r="DW13" s="636" t="s">
        <v>188</v>
      </c>
      <c r="DX13" s="552">
        <v>41395</v>
      </c>
      <c r="DY13" s="636" t="s">
        <v>193</v>
      </c>
      <c r="DZ13" s="636" t="s">
        <v>188</v>
      </c>
      <c r="EA13" s="636" t="s">
        <v>188</v>
      </c>
      <c r="EB13" s="636" t="s">
        <v>188</v>
      </c>
      <c r="EC13" s="552" t="s">
        <v>188</v>
      </c>
      <c r="ED13" s="636" t="s">
        <v>188</v>
      </c>
      <c r="EE13" s="636" t="s">
        <v>188</v>
      </c>
      <c r="EF13" s="636" t="s">
        <v>188</v>
      </c>
      <c r="EG13" s="636" t="s">
        <v>188</v>
      </c>
      <c r="EH13" s="8">
        <v>133</v>
      </c>
      <c r="EI13" s="359"/>
    </row>
    <row r="14" spans="1:139" s="8" customFormat="1" x14ac:dyDescent="0.25">
      <c r="A14" s="16">
        <v>10</v>
      </c>
      <c r="B14" s="19" t="s">
        <v>700</v>
      </c>
      <c r="C14" s="19" t="s">
        <v>357</v>
      </c>
      <c r="D14" s="19" t="s">
        <v>51</v>
      </c>
      <c r="E14" s="19" t="s">
        <v>73</v>
      </c>
      <c r="F14" s="19" t="s">
        <v>8</v>
      </c>
      <c r="G14" s="19" t="s">
        <v>837</v>
      </c>
      <c r="H14" s="539">
        <v>-99</v>
      </c>
      <c r="I14" s="539">
        <v>-98</v>
      </c>
      <c r="J14" s="539">
        <v>-99</v>
      </c>
      <c r="K14" s="539">
        <v>0.53859045289216145</v>
      </c>
      <c r="L14" s="539">
        <v>0.40990600000000005</v>
      </c>
      <c r="M14" s="539">
        <v>-99</v>
      </c>
      <c r="N14" s="539">
        <v>-98</v>
      </c>
      <c r="O14" s="539">
        <v>-99</v>
      </c>
      <c r="P14" s="539">
        <v>0.53025432005734896</v>
      </c>
      <c r="Q14" s="539">
        <v>0.40303499999999998</v>
      </c>
      <c r="R14" s="539">
        <v>-99</v>
      </c>
      <c r="S14" s="539">
        <v>-98</v>
      </c>
      <c r="T14" s="539">
        <v>-99</v>
      </c>
      <c r="U14" s="539">
        <v>0.52968421746100303</v>
      </c>
      <c r="V14" s="539">
        <v>0.42166800000000004</v>
      </c>
      <c r="W14" s="539">
        <v>-99</v>
      </c>
      <c r="X14" s="539">
        <v>-98</v>
      </c>
      <c r="Y14" s="539">
        <v>-99</v>
      </c>
      <c r="Z14" s="539">
        <v>-99</v>
      </c>
      <c r="AA14" s="539">
        <v>-99</v>
      </c>
      <c r="AB14" s="539">
        <v>-99</v>
      </c>
      <c r="AC14" s="539">
        <v>-98</v>
      </c>
      <c r="AD14" s="539">
        <v>-99</v>
      </c>
      <c r="AE14" s="539">
        <v>0.6016477084268238</v>
      </c>
      <c r="AF14" s="539">
        <v>0.40137999999999996</v>
      </c>
      <c r="AG14" s="539">
        <v>-99</v>
      </c>
      <c r="AH14" s="540">
        <v>-98</v>
      </c>
      <c r="AI14" s="539">
        <v>-99</v>
      </c>
      <c r="AJ14" s="540">
        <v>0.75254778096811481</v>
      </c>
      <c r="AK14" s="539">
        <v>-99</v>
      </c>
      <c r="AL14" s="539">
        <v>-99</v>
      </c>
      <c r="AM14" s="540">
        <v>-98</v>
      </c>
      <c r="AN14" s="539">
        <v>-99</v>
      </c>
      <c r="AO14" s="540">
        <v>0.7549531924553774</v>
      </c>
      <c r="AP14" s="541">
        <v>-99</v>
      </c>
      <c r="AQ14" s="539">
        <v>-99</v>
      </c>
      <c r="AR14" s="540">
        <v>-98</v>
      </c>
      <c r="AS14" s="539">
        <v>-99</v>
      </c>
      <c r="AT14" s="540">
        <v>0.72607726753676438</v>
      </c>
      <c r="AU14" s="539">
        <v>-99</v>
      </c>
      <c r="AV14" s="540">
        <v>-99</v>
      </c>
      <c r="AW14" s="540">
        <v>-98</v>
      </c>
      <c r="AX14" s="540">
        <v>-99</v>
      </c>
      <c r="AY14" s="540">
        <v>-99</v>
      </c>
      <c r="AZ14" s="539">
        <v>-99</v>
      </c>
      <c r="BA14" s="539">
        <v>-99</v>
      </c>
      <c r="BB14" s="540">
        <v>-98</v>
      </c>
      <c r="BC14" s="539">
        <v>-99</v>
      </c>
      <c r="BD14" s="540">
        <v>0.83756072815249838</v>
      </c>
      <c r="BE14" s="541">
        <v>-99</v>
      </c>
      <c r="BF14" s="542"/>
      <c r="BG14" s="612"/>
      <c r="BH14" s="542">
        <v>0.74</v>
      </c>
      <c r="BI14" s="636">
        <v>70</v>
      </c>
      <c r="BJ14" s="636"/>
      <c r="BK14" s="636">
        <f>63-5.2</f>
        <v>57.8</v>
      </c>
      <c r="BL14" s="636">
        <v>0</v>
      </c>
      <c r="BM14" s="545">
        <v>12</v>
      </c>
      <c r="BN14" s="612">
        <v>0</v>
      </c>
      <c r="BO14" s="636"/>
      <c r="BP14" s="623"/>
      <c r="BQ14" s="611"/>
      <c r="BR14" s="636" t="s">
        <v>656</v>
      </c>
      <c r="BS14" s="648" t="s">
        <v>188</v>
      </c>
      <c r="BT14" s="648" t="s">
        <v>188</v>
      </c>
      <c r="BU14" s="648" t="s">
        <v>188</v>
      </c>
      <c r="BV14" s="648" t="s">
        <v>188</v>
      </c>
      <c r="BW14" s="648" t="s">
        <v>188</v>
      </c>
      <c r="BX14" s="648" t="s">
        <v>188</v>
      </c>
      <c r="BY14" s="648" t="s">
        <v>188</v>
      </c>
      <c r="BZ14" s="648" t="s">
        <v>188</v>
      </c>
      <c r="CA14" s="648" t="s">
        <v>188</v>
      </c>
      <c r="CB14" s="648" t="s">
        <v>188</v>
      </c>
      <c r="CC14" s="597" t="s">
        <v>188</v>
      </c>
      <c r="CD14" s="659"/>
      <c r="CE14" s="659" t="s">
        <v>188</v>
      </c>
      <c r="CF14" s="659" t="s">
        <v>188</v>
      </c>
      <c r="CG14" s="659" t="s">
        <v>188</v>
      </c>
      <c r="CH14" s="659" t="s">
        <v>188</v>
      </c>
      <c r="CI14" s="659" t="s">
        <v>188</v>
      </c>
      <c r="CJ14" s="659" t="s">
        <v>188</v>
      </c>
      <c r="CK14" s="659" t="s">
        <v>188</v>
      </c>
      <c r="CL14" s="659" t="s">
        <v>188</v>
      </c>
      <c r="CM14" s="659" t="s">
        <v>188</v>
      </c>
      <c r="CN14" s="660" t="s">
        <v>188</v>
      </c>
      <c r="CO14" s="636" t="s">
        <v>188</v>
      </c>
      <c r="CP14" s="636" t="s">
        <v>188</v>
      </c>
      <c r="CQ14" s="636" t="s">
        <v>188</v>
      </c>
      <c r="CR14" s="636" t="s">
        <v>188</v>
      </c>
      <c r="CS14" s="636" t="s">
        <v>188</v>
      </c>
      <c r="CT14" s="636" t="s">
        <v>188</v>
      </c>
      <c r="CU14" s="644" t="s">
        <v>929</v>
      </c>
      <c r="CV14" s="636">
        <v>37</v>
      </c>
      <c r="CW14" s="636">
        <v>0</v>
      </c>
      <c r="CX14" s="636">
        <f>CV14-CZ14</f>
        <v>19</v>
      </c>
      <c r="CY14" s="636">
        <v>0</v>
      </c>
      <c r="CZ14" s="636">
        <v>18</v>
      </c>
      <c r="DA14" s="636">
        <v>0</v>
      </c>
      <c r="DB14" s="645" t="s">
        <v>927</v>
      </c>
      <c r="DC14" s="645" t="s">
        <v>188</v>
      </c>
      <c r="DD14" s="645" t="s">
        <v>188</v>
      </c>
      <c r="DE14" s="645">
        <v>50</v>
      </c>
      <c r="DF14" s="645">
        <v>0</v>
      </c>
      <c r="DG14" s="665" t="s">
        <v>188</v>
      </c>
      <c r="DH14" s="665">
        <v>0.15429999999999999</v>
      </c>
      <c r="DI14" s="550" t="str">
        <f>IFERROR(INDEX('Price Point Data'!O:O,MATCH($B14,'Price Point Data'!$A:$A,0)),-99)</f>
        <v>Under $250 to $1999</v>
      </c>
      <c r="DJ14" s="551">
        <f>IFERROR(INDEX('Price Point Data'!P:P,MATCH($B14,'Price Point Data'!$A:$A,0)),-99)</f>
        <v>0.43620178041543028</v>
      </c>
      <c r="DK14" s="550">
        <f>IFERROR(INDEX('Price Point Data'!Q:Q,MATCH($B14,'Price Point Data'!$A:$A,0)),-99)</f>
        <v>337</v>
      </c>
      <c r="DL14" s="550" t="str">
        <f>IFERROR(INDEX('Price Point Data'!I:I,MATCH($B14,'Price Point Data'!$A:$A,0)),-99)</f>
        <v>No constraint</v>
      </c>
      <c r="DM14" s="550" t="str">
        <f>IFERROR(INDEX('Price Point Data'!J:J,MATCH($B14,'Price Point Data'!$A:$A,0)),-99)</f>
        <v>N/A</v>
      </c>
      <c r="DN14" s="550" t="str">
        <f>IFERROR(INDEX('Price Point Data'!K:K,MATCH($B14,'Price Point Data'!$A:$A,0)),-99)</f>
        <v>N/A</v>
      </c>
      <c r="DO14" s="550" t="str">
        <f>IFERROR(INDEX('Price Point Data'!L:L,MATCH($B14,'Price Point Data'!$A:$A,0)),-99)</f>
        <v>$1500 - $1999</v>
      </c>
      <c r="DP14" s="551">
        <f>IFERROR(INDEX('Price Point Data'!M:M,MATCH($B14,'Price Point Data'!$A:$A,0)),-99)</f>
        <v>0.19230769230769232</v>
      </c>
      <c r="DQ14" s="550">
        <f>IFERROR(INDEX('Price Point Data'!N:N,MATCH($B14,'Price Point Data'!$A:$A,0)),-99)</f>
        <v>26</v>
      </c>
      <c r="DR14" s="564" t="s">
        <v>342</v>
      </c>
      <c r="DS14" s="636" t="s">
        <v>188</v>
      </c>
      <c r="DT14" s="636" t="s">
        <v>188</v>
      </c>
      <c r="DU14" s="636" t="s">
        <v>188</v>
      </c>
      <c r="DV14" s="636" t="s">
        <v>188</v>
      </c>
      <c r="DW14" s="636" t="s">
        <v>188</v>
      </c>
      <c r="DX14" s="552">
        <v>41792</v>
      </c>
      <c r="DY14" s="636" t="s">
        <v>202</v>
      </c>
      <c r="DZ14" s="636" t="s">
        <v>188</v>
      </c>
      <c r="EA14" s="636" t="s">
        <v>188</v>
      </c>
      <c r="EB14" s="636" t="s">
        <v>188</v>
      </c>
      <c r="EC14" s="636" t="s">
        <v>188</v>
      </c>
      <c r="ED14" s="636" t="s">
        <v>188</v>
      </c>
      <c r="EE14" s="636" t="s">
        <v>923</v>
      </c>
      <c r="EF14" s="552">
        <v>42370</v>
      </c>
      <c r="EG14" s="636" t="s">
        <v>152</v>
      </c>
      <c r="EH14" s="8">
        <v>61</v>
      </c>
      <c r="EI14" s="359"/>
    </row>
    <row r="15" spans="1:139" s="8" customFormat="1" x14ac:dyDescent="0.25">
      <c r="A15" s="16">
        <v>11</v>
      </c>
      <c r="B15" s="19" t="s">
        <v>742</v>
      </c>
      <c r="C15" s="19" t="s">
        <v>639</v>
      </c>
      <c r="D15" s="19" t="s">
        <v>53</v>
      </c>
      <c r="E15" s="19" t="s">
        <v>73</v>
      </c>
      <c r="F15" s="19" t="s">
        <v>8</v>
      </c>
      <c r="G15" s="19" t="s">
        <v>837</v>
      </c>
      <c r="H15" s="539">
        <v>-99</v>
      </c>
      <c r="I15" s="539">
        <v>9.3362613442261322E-2</v>
      </c>
      <c r="J15" s="539">
        <v>3.04E-2</v>
      </c>
      <c r="K15" s="539">
        <v>0.1074153783658072</v>
      </c>
      <c r="L15" s="539">
        <v>4.6955999999999998E-2</v>
      </c>
      <c r="M15" s="539">
        <v>-99</v>
      </c>
      <c r="N15" s="539">
        <v>8.2000000000000003E-2</v>
      </c>
      <c r="O15" s="539">
        <v>5.0300999999999998E-2</v>
      </c>
      <c r="P15" s="539">
        <v>9.7000000000000003E-2</v>
      </c>
      <c r="Q15" s="539">
        <v>6.2032999999999991E-2</v>
      </c>
      <c r="R15" s="539">
        <v>-99</v>
      </c>
      <c r="S15" s="539">
        <v>9.7000000000000003E-2</v>
      </c>
      <c r="T15" s="539">
        <v>1.1439999999999999E-2</v>
      </c>
      <c r="U15" s="539">
        <v>0.11</v>
      </c>
      <c r="V15" s="539">
        <v>3.1493999999999994E-2</v>
      </c>
      <c r="W15" s="539">
        <v>-99</v>
      </c>
      <c r="X15" s="539">
        <v>-99</v>
      </c>
      <c r="Y15" s="539">
        <v>-99</v>
      </c>
      <c r="Z15" s="539">
        <v>-99</v>
      </c>
      <c r="AA15" s="539">
        <v>-99</v>
      </c>
      <c r="AB15" s="539">
        <v>-99</v>
      </c>
      <c r="AC15" s="539">
        <v>0.12</v>
      </c>
      <c r="AD15" s="539">
        <v>2.0500000000000001E-2</v>
      </c>
      <c r="AE15" s="539">
        <v>0.13700000000000001</v>
      </c>
      <c r="AF15" s="539">
        <v>4.3927000000000001E-2</v>
      </c>
      <c r="AG15" s="539">
        <v>-99</v>
      </c>
      <c r="AH15" s="540">
        <v>-99</v>
      </c>
      <c r="AI15" s="539">
        <v>-99</v>
      </c>
      <c r="AJ15" s="540">
        <v>-99</v>
      </c>
      <c r="AK15" s="539">
        <v>-99</v>
      </c>
      <c r="AL15" s="539">
        <v>-99</v>
      </c>
      <c r="AM15" s="540">
        <v>-99</v>
      </c>
      <c r="AN15" s="539">
        <v>-99</v>
      </c>
      <c r="AO15" s="540">
        <v>-99</v>
      </c>
      <c r="AP15" s="541">
        <v>-99</v>
      </c>
      <c r="AQ15" s="539">
        <v>-99</v>
      </c>
      <c r="AR15" s="540">
        <v>-99</v>
      </c>
      <c r="AS15" s="539">
        <v>-99</v>
      </c>
      <c r="AT15" s="540">
        <v>-99</v>
      </c>
      <c r="AU15" s="539">
        <v>-99</v>
      </c>
      <c r="AV15" s="540">
        <v>-99</v>
      </c>
      <c r="AW15" s="540">
        <v>-99</v>
      </c>
      <c r="AX15" s="540">
        <v>-99</v>
      </c>
      <c r="AY15" s="540">
        <v>-99</v>
      </c>
      <c r="AZ15" s="539">
        <v>-99</v>
      </c>
      <c r="BA15" s="539">
        <v>-99</v>
      </c>
      <c r="BB15" s="540">
        <v>-99</v>
      </c>
      <c r="BC15" s="539">
        <v>-99</v>
      </c>
      <c r="BD15" s="540">
        <v>-99</v>
      </c>
      <c r="BE15" s="541">
        <v>-99</v>
      </c>
      <c r="BF15" s="612"/>
      <c r="BG15" s="612"/>
      <c r="BH15" s="612">
        <v>-99</v>
      </c>
      <c r="BI15" s="636">
        <v>-98</v>
      </c>
      <c r="BJ15" s="636"/>
      <c r="BK15" s="612">
        <f>900</f>
        <v>900</v>
      </c>
      <c r="BL15" s="612">
        <v>0</v>
      </c>
      <c r="BM15" s="612">
        <v>-99</v>
      </c>
      <c r="BN15" s="612">
        <v>-99</v>
      </c>
      <c r="BO15" s="612">
        <v>750</v>
      </c>
      <c r="BP15" s="623">
        <v>0</v>
      </c>
      <c r="BQ15" s="614" t="s">
        <v>625</v>
      </c>
      <c r="BR15" s="636" t="s">
        <v>657</v>
      </c>
      <c r="BS15" s="648" t="s">
        <v>188</v>
      </c>
      <c r="BT15" s="648" t="s">
        <v>188</v>
      </c>
      <c r="BU15" s="648" t="s">
        <v>188</v>
      </c>
      <c r="BV15" s="648" t="s">
        <v>188</v>
      </c>
      <c r="BW15" s="648" t="s">
        <v>188</v>
      </c>
      <c r="BX15" s="648" t="s">
        <v>188</v>
      </c>
      <c r="BY15" s="648" t="s">
        <v>188</v>
      </c>
      <c r="BZ15" s="648" t="s">
        <v>188</v>
      </c>
      <c r="CA15" s="648" t="s">
        <v>188</v>
      </c>
      <c r="CB15" s="648" t="s">
        <v>188</v>
      </c>
      <c r="CC15" s="597" t="s">
        <v>188</v>
      </c>
      <c r="CD15" s="659"/>
      <c r="CE15" s="659" t="s">
        <v>188</v>
      </c>
      <c r="CF15" s="659" t="s">
        <v>188</v>
      </c>
      <c r="CG15" s="659" t="s">
        <v>188</v>
      </c>
      <c r="CH15" s="659" t="s">
        <v>188</v>
      </c>
      <c r="CI15" s="659" t="s">
        <v>188</v>
      </c>
      <c r="CJ15" s="659" t="s">
        <v>188</v>
      </c>
      <c r="CK15" s="659" t="s">
        <v>188</v>
      </c>
      <c r="CL15" s="659" t="s">
        <v>188</v>
      </c>
      <c r="CM15" s="659" t="s">
        <v>188</v>
      </c>
      <c r="CN15" s="660" t="s">
        <v>188</v>
      </c>
      <c r="CO15" s="636">
        <v>2500</v>
      </c>
      <c r="CP15" s="636">
        <v>0</v>
      </c>
      <c r="CQ15" s="636">
        <f>CO15-CS15</f>
        <v>1500</v>
      </c>
      <c r="CR15" s="636">
        <v>0</v>
      </c>
      <c r="CS15" s="644">
        <v>1000</v>
      </c>
      <c r="CT15" s="636">
        <v>0</v>
      </c>
      <c r="CU15" s="644" t="s">
        <v>933</v>
      </c>
      <c r="CV15" s="636">
        <v>1800</v>
      </c>
      <c r="CW15" s="636">
        <v>0</v>
      </c>
      <c r="CX15" s="636">
        <f>CV15-CZ15</f>
        <v>1600</v>
      </c>
      <c r="CY15" s="636">
        <v>0</v>
      </c>
      <c r="CZ15" s="636">
        <v>200</v>
      </c>
      <c r="DA15" s="636">
        <v>0</v>
      </c>
      <c r="DB15" s="636" t="s">
        <v>932</v>
      </c>
      <c r="DC15" s="645">
        <v>375.8</v>
      </c>
      <c r="DD15" s="645">
        <v>0</v>
      </c>
      <c r="DE15" s="645">
        <v>240</v>
      </c>
      <c r="DF15" s="645">
        <v>0</v>
      </c>
      <c r="DG15" s="665">
        <v>0.3</v>
      </c>
      <c r="DH15" s="665">
        <v>0.15429999999999999</v>
      </c>
      <c r="DI15" s="550">
        <f>IFERROR(INDEX('Price Point Data'!O:O,MATCH($B15,'Price Point Data'!$A:$A,0)),-99)</f>
        <v>-99</v>
      </c>
      <c r="DJ15" s="550">
        <f>IFERROR(INDEX('Price Point Data'!P:P,MATCH($B15,'Price Point Data'!$A:$A,0)),-99)</f>
        <v>-99</v>
      </c>
      <c r="DK15" s="550">
        <f>IFERROR(INDEX('Price Point Data'!Q:Q,MATCH($B15,'Price Point Data'!$A:$A,0)),-99)</f>
        <v>-99</v>
      </c>
      <c r="DL15" s="550">
        <f>IFERROR(INDEX('Price Point Data'!I:I,MATCH($B15,'Price Point Data'!$A:$A,0)),-99)</f>
        <v>-99</v>
      </c>
      <c r="DM15" s="550">
        <f>IFERROR(INDEX('Price Point Data'!J:J,MATCH($B15,'Price Point Data'!$A:$A,0)),-99)</f>
        <v>-99</v>
      </c>
      <c r="DN15" s="550">
        <f>IFERROR(INDEX('Price Point Data'!K:K,MATCH($B15,'Price Point Data'!$A:$A,0)),-99)</f>
        <v>-99</v>
      </c>
      <c r="DO15" s="550">
        <f>IFERROR(INDEX('Price Point Data'!L:L,MATCH($B15,'Price Point Data'!$A:$A,0)),-99)</f>
        <v>-99</v>
      </c>
      <c r="DP15" s="550">
        <f>IFERROR(INDEX('Price Point Data'!M:M,MATCH($B15,'Price Point Data'!$A:$A,0)),-99)</f>
        <v>-99</v>
      </c>
      <c r="DQ15" s="550">
        <f>IFERROR(INDEX('Price Point Data'!N:N,MATCH($B15,'Price Point Data'!$A:$A,0)),-99)</f>
        <v>-99</v>
      </c>
      <c r="DR15" s="636"/>
      <c r="DS15" s="636" t="s">
        <v>188</v>
      </c>
      <c r="DT15" s="636" t="s">
        <v>188</v>
      </c>
      <c r="DU15" s="636" t="s">
        <v>188</v>
      </c>
      <c r="DV15" s="636" t="s">
        <v>188</v>
      </c>
      <c r="DW15" s="636" t="s">
        <v>188</v>
      </c>
      <c r="DX15" s="636" t="s">
        <v>188</v>
      </c>
      <c r="DY15" s="636" t="s">
        <v>188</v>
      </c>
      <c r="DZ15" s="636" t="s">
        <v>188</v>
      </c>
      <c r="EA15" s="636" t="s">
        <v>188</v>
      </c>
      <c r="EB15" s="636" t="s">
        <v>188</v>
      </c>
      <c r="EC15" s="552">
        <v>38718</v>
      </c>
      <c r="ED15" s="636" t="s">
        <v>205</v>
      </c>
      <c r="EE15" s="636" t="s">
        <v>923</v>
      </c>
      <c r="EF15" s="552">
        <v>42370</v>
      </c>
      <c r="EG15" s="636" t="s">
        <v>196</v>
      </c>
      <c r="EH15" s="8">
        <v>78</v>
      </c>
      <c r="EI15" s="359"/>
    </row>
    <row r="16" spans="1:139" s="8" customFormat="1" x14ac:dyDescent="0.25">
      <c r="A16" s="16">
        <v>12</v>
      </c>
      <c r="B16" s="19" t="s">
        <v>89</v>
      </c>
      <c r="C16" s="19" t="s">
        <v>107</v>
      </c>
      <c r="D16" s="19" t="s">
        <v>52</v>
      </c>
      <c r="E16" s="19" t="s">
        <v>73</v>
      </c>
      <c r="F16" s="19" t="s">
        <v>8</v>
      </c>
      <c r="G16" s="19" t="s">
        <v>837</v>
      </c>
      <c r="H16" s="539">
        <v>-99</v>
      </c>
      <c r="I16" s="539">
        <v>0.66939067709045774</v>
      </c>
      <c r="J16" s="539">
        <v>-99</v>
      </c>
      <c r="K16" s="539">
        <v>0.32373509479064932</v>
      </c>
      <c r="L16" s="539">
        <v>-99</v>
      </c>
      <c r="M16" s="539">
        <v>-99</v>
      </c>
      <c r="N16" s="539">
        <v>0.6696669937982993</v>
      </c>
      <c r="O16" s="539">
        <v>-99</v>
      </c>
      <c r="P16" s="539">
        <v>0.32373387517395574</v>
      </c>
      <c r="Q16" s="539">
        <v>-99</v>
      </c>
      <c r="R16" s="539">
        <v>-99</v>
      </c>
      <c r="S16" s="539">
        <v>0.67804757049442699</v>
      </c>
      <c r="T16" s="539">
        <v>-99</v>
      </c>
      <c r="U16" s="539">
        <v>0.32289089435119644</v>
      </c>
      <c r="V16" s="539">
        <v>-99</v>
      </c>
      <c r="W16" s="539">
        <v>-99</v>
      </c>
      <c r="X16" s="539">
        <v>-99</v>
      </c>
      <c r="Y16" s="539">
        <v>-99</v>
      </c>
      <c r="Z16" s="539">
        <v>-99</v>
      </c>
      <c r="AA16" s="539">
        <v>-99</v>
      </c>
      <c r="AB16" s="539">
        <v>-99</v>
      </c>
      <c r="AC16" s="539">
        <v>0.63922769606916452</v>
      </c>
      <c r="AD16" s="539">
        <v>-99</v>
      </c>
      <c r="AE16" s="539">
        <v>0.32673994162933817</v>
      </c>
      <c r="AF16" s="539">
        <v>-99</v>
      </c>
      <c r="AG16" s="539">
        <v>-99</v>
      </c>
      <c r="AH16" s="540">
        <v>0.88662016732526805</v>
      </c>
      <c r="AI16" s="539">
        <v>-99</v>
      </c>
      <c r="AJ16" s="540">
        <v>0.4418494481165896</v>
      </c>
      <c r="AK16" s="539">
        <v>-99</v>
      </c>
      <c r="AL16" s="539">
        <v>-99</v>
      </c>
      <c r="AM16" s="540">
        <v>0.88277364968812722</v>
      </c>
      <c r="AN16" s="539">
        <v>-99</v>
      </c>
      <c r="AO16" s="540">
        <v>0.44168606461561633</v>
      </c>
      <c r="AP16" s="541">
        <v>-99</v>
      </c>
      <c r="AQ16" s="539">
        <v>-99</v>
      </c>
      <c r="AR16" s="540">
        <v>0.89774338059137793</v>
      </c>
      <c r="AS16" s="539">
        <v>-99</v>
      </c>
      <c r="AT16" s="540">
        <v>0.44611809454444307</v>
      </c>
      <c r="AU16" s="539">
        <v>-99</v>
      </c>
      <c r="AV16" s="540">
        <v>-99</v>
      </c>
      <c r="AW16" s="540">
        <v>-99</v>
      </c>
      <c r="AX16" s="540">
        <v>-99</v>
      </c>
      <c r="AY16" s="540">
        <v>-99</v>
      </c>
      <c r="AZ16" s="539">
        <v>-99</v>
      </c>
      <c r="BA16" s="539">
        <v>-99</v>
      </c>
      <c r="BB16" s="540">
        <v>0.8628706819413462</v>
      </c>
      <c r="BC16" s="539">
        <v>-99</v>
      </c>
      <c r="BD16" s="540">
        <v>0.42729438162055816</v>
      </c>
      <c r="BE16" s="541">
        <v>-99</v>
      </c>
      <c r="BF16" s="542"/>
      <c r="BG16" s="541"/>
      <c r="BH16" s="690">
        <v>0.02</v>
      </c>
      <c r="BI16" s="636">
        <v>105</v>
      </c>
      <c r="BJ16" s="636" t="s">
        <v>682</v>
      </c>
      <c r="BK16" s="637">
        <v>36</v>
      </c>
      <c r="BL16" s="637">
        <v>0</v>
      </c>
      <c r="BM16" s="612">
        <v>70</v>
      </c>
      <c r="BN16" s="612">
        <v>0</v>
      </c>
      <c r="BO16" s="623"/>
      <c r="BP16" s="623"/>
      <c r="BQ16" s="563"/>
      <c r="BR16" s="623" t="s">
        <v>906</v>
      </c>
      <c r="BS16" s="648" t="s">
        <v>188</v>
      </c>
      <c r="BT16" s="648" t="s">
        <v>188</v>
      </c>
      <c r="BU16" s="648" t="s">
        <v>188</v>
      </c>
      <c r="BV16" s="648" t="s">
        <v>188</v>
      </c>
      <c r="BW16" s="648" t="s">
        <v>188</v>
      </c>
      <c r="BX16" s="648" t="s">
        <v>188</v>
      </c>
      <c r="BY16" s="648" t="s">
        <v>188</v>
      </c>
      <c r="BZ16" s="648" t="s">
        <v>188</v>
      </c>
      <c r="CA16" s="648" t="s">
        <v>188</v>
      </c>
      <c r="CB16" s="648" t="s">
        <v>188</v>
      </c>
      <c r="CC16" s="597" t="s">
        <v>188</v>
      </c>
      <c r="CD16" s="659"/>
      <c r="CE16" s="659" t="s">
        <v>188</v>
      </c>
      <c r="CF16" s="659" t="s">
        <v>188</v>
      </c>
      <c r="CG16" s="659" t="s">
        <v>188</v>
      </c>
      <c r="CH16" s="659" t="s">
        <v>188</v>
      </c>
      <c r="CI16" s="659" t="s">
        <v>188</v>
      </c>
      <c r="CJ16" s="659" t="s">
        <v>188</v>
      </c>
      <c r="CK16" s="659" t="s">
        <v>188</v>
      </c>
      <c r="CL16" s="659" t="s">
        <v>188</v>
      </c>
      <c r="CM16" s="659" t="s">
        <v>188</v>
      </c>
      <c r="CN16" s="660" t="s">
        <v>188</v>
      </c>
      <c r="CO16" s="623">
        <v>64.400000000000006</v>
      </c>
      <c r="CP16" s="623">
        <v>0</v>
      </c>
      <c r="CQ16" s="623">
        <f>CO16-CS16</f>
        <v>13.400000000000006</v>
      </c>
      <c r="CR16" s="623">
        <v>0</v>
      </c>
      <c r="CS16" s="636">
        <v>51</v>
      </c>
      <c r="CT16" s="623">
        <v>0</v>
      </c>
      <c r="CU16" s="636" t="s">
        <v>928</v>
      </c>
      <c r="CV16" s="623" t="s">
        <v>188</v>
      </c>
      <c r="CW16" s="623" t="s">
        <v>188</v>
      </c>
      <c r="CX16" s="623" t="s">
        <v>188</v>
      </c>
      <c r="CY16" s="623" t="s">
        <v>188</v>
      </c>
      <c r="CZ16" s="623" t="s">
        <v>188</v>
      </c>
      <c r="DA16" s="623" t="s">
        <v>188</v>
      </c>
      <c r="DB16" s="644" t="s">
        <v>930</v>
      </c>
      <c r="DC16" s="645">
        <v>44.676000000000002</v>
      </c>
      <c r="DD16" s="645">
        <v>0</v>
      </c>
      <c r="DE16" s="645" t="s">
        <v>188</v>
      </c>
      <c r="DF16" s="645" t="s">
        <v>188</v>
      </c>
      <c r="DG16" s="665">
        <v>0</v>
      </c>
      <c r="DH16" s="665" t="s">
        <v>188</v>
      </c>
      <c r="DI16" s="550" t="str">
        <f>IFERROR(INDEX('Price Point Data'!O:O,MATCH($B16,'Price Point Data'!$A:$A,0)),-99)</f>
        <v>Unknown</v>
      </c>
      <c r="DJ16" s="550" t="str">
        <f>IFERROR(INDEX('Price Point Data'!P:P,MATCH($B16,'Price Point Data'!$A:$A,0)),-99)</f>
        <v>Unknown</v>
      </c>
      <c r="DK16" s="550" t="str">
        <f>IFERROR(INDEX('Price Point Data'!Q:Q,MATCH($B16,'Price Point Data'!$A:$A,0)),-99)</f>
        <v>Unknown</v>
      </c>
      <c r="DL16" s="550" t="str">
        <f>IFERROR(INDEX('Price Point Data'!I:I,MATCH($B16,'Price Point Data'!$A:$A,0)),-99)</f>
        <v>Unknown</v>
      </c>
      <c r="DM16" s="551" t="str">
        <f>IFERROR(INDEX('Price Point Data'!J:J,MATCH($B16,'Price Point Data'!$A:$A,0)),-99)</f>
        <v>Unknown</v>
      </c>
      <c r="DN16" s="550" t="str">
        <f>IFERROR(INDEX('Price Point Data'!K:K,MATCH($B16,'Price Point Data'!$A:$A,0)),-99)</f>
        <v>Unknown</v>
      </c>
      <c r="DO16" s="550" t="str">
        <f>IFERROR(INDEX('Price Point Data'!L:L,MATCH($B16,'Price Point Data'!$A:$A,0)),-99)</f>
        <v>Unknown</v>
      </c>
      <c r="DP16" s="550" t="str">
        <f>IFERROR(INDEX('Price Point Data'!M:M,MATCH($B16,'Price Point Data'!$A:$A,0)),-99)</f>
        <v>Unknown</v>
      </c>
      <c r="DQ16" s="550" t="str">
        <f>IFERROR(INDEX('Price Point Data'!N:N,MATCH($B16,'Price Point Data'!$A:$A,0)),-99)</f>
        <v>Unknown</v>
      </c>
      <c r="DR16" s="556" t="s">
        <v>281</v>
      </c>
      <c r="DS16" s="636" t="s">
        <v>188</v>
      </c>
      <c r="DT16" s="636" t="s">
        <v>188</v>
      </c>
      <c r="DU16" s="636" t="s">
        <v>188</v>
      </c>
      <c r="DV16" s="636" t="s">
        <v>188</v>
      </c>
      <c r="DW16" s="636" t="s">
        <v>188</v>
      </c>
      <c r="DX16" s="552">
        <v>41395</v>
      </c>
      <c r="DY16" s="636" t="s">
        <v>193</v>
      </c>
      <c r="DZ16" s="636" t="s">
        <v>188</v>
      </c>
      <c r="EA16" s="636" t="s">
        <v>188</v>
      </c>
      <c r="EB16" s="636" t="s">
        <v>188</v>
      </c>
      <c r="EC16" s="552">
        <v>39083</v>
      </c>
      <c r="ED16" s="636" t="s">
        <v>194</v>
      </c>
      <c r="EE16" s="636" t="s">
        <v>188</v>
      </c>
      <c r="EF16" s="636" t="s">
        <v>188</v>
      </c>
      <c r="EG16" s="636" t="s">
        <v>188</v>
      </c>
      <c r="EH16" s="8">
        <v>114</v>
      </c>
      <c r="EI16" s="359"/>
    </row>
    <row r="17" spans="1:139" s="8" customFormat="1" x14ac:dyDescent="0.25">
      <c r="A17" s="16">
        <v>13</v>
      </c>
      <c r="B17" s="19" t="s">
        <v>702</v>
      </c>
      <c r="C17" s="19" t="s">
        <v>120</v>
      </c>
      <c r="D17" s="19" t="s">
        <v>52</v>
      </c>
      <c r="E17" s="19" t="s">
        <v>73</v>
      </c>
      <c r="F17" s="19" t="s">
        <v>8</v>
      </c>
      <c r="G17" s="19" t="s">
        <v>837</v>
      </c>
      <c r="H17" s="539">
        <v>-99</v>
      </c>
      <c r="I17" s="539">
        <v>-98</v>
      </c>
      <c r="J17" s="539">
        <v>-99</v>
      </c>
      <c r="K17" s="539">
        <v>-98</v>
      </c>
      <c r="L17" s="539">
        <v>-98</v>
      </c>
      <c r="M17" s="539">
        <v>-99</v>
      </c>
      <c r="N17" s="539">
        <v>-98</v>
      </c>
      <c r="O17" s="539">
        <v>-99</v>
      </c>
      <c r="P17" s="539">
        <v>-98</v>
      </c>
      <c r="Q17" s="539">
        <v>-98</v>
      </c>
      <c r="R17" s="539">
        <v>-99</v>
      </c>
      <c r="S17" s="539">
        <v>-98</v>
      </c>
      <c r="T17" s="539">
        <v>-99</v>
      </c>
      <c r="U17" s="539">
        <v>-98</v>
      </c>
      <c r="V17" s="539">
        <v>-98</v>
      </c>
      <c r="W17" s="539">
        <v>-99</v>
      </c>
      <c r="X17" s="539">
        <v>-98</v>
      </c>
      <c r="Y17" s="539">
        <v>-99</v>
      </c>
      <c r="Z17" s="539">
        <v>-98</v>
      </c>
      <c r="AA17" s="539">
        <v>-99</v>
      </c>
      <c r="AB17" s="539">
        <v>-99</v>
      </c>
      <c r="AC17" s="539">
        <v>-98</v>
      </c>
      <c r="AD17" s="539">
        <v>-99</v>
      </c>
      <c r="AE17" s="539">
        <v>-98</v>
      </c>
      <c r="AF17" s="539">
        <v>-98</v>
      </c>
      <c r="AG17" s="539">
        <v>-99</v>
      </c>
      <c r="AH17" s="540">
        <v>0.84714932044525826</v>
      </c>
      <c r="AI17" s="539">
        <v>-99</v>
      </c>
      <c r="AJ17" s="540">
        <v>1.582170066925229</v>
      </c>
      <c r="AK17" s="539">
        <v>1.6160000000000001</v>
      </c>
      <c r="AL17" s="539">
        <v>-99</v>
      </c>
      <c r="AM17" s="540">
        <v>0.71353085987300346</v>
      </c>
      <c r="AN17" s="539">
        <v>-99</v>
      </c>
      <c r="AO17" s="540">
        <v>1.5418398601138272</v>
      </c>
      <c r="AP17" s="541">
        <v>1.3699999999999999</v>
      </c>
      <c r="AQ17" s="539">
        <v>-99</v>
      </c>
      <c r="AR17" s="540">
        <v>0.94440725175385021</v>
      </c>
      <c r="AS17" s="539">
        <v>-99</v>
      </c>
      <c r="AT17" s="540">
        <v>1.6741512760707278</v>
      </c>
      <c r="AU17" s="539">
        <v>1.8880000000000003</v>
      </c>
      <c r="AV17" s="540">
        <v>-99</v>
      </c>
      <c r="AW17" s="540">
        <v>-99</v>
      </c>
      <c r="AX17" s="540">
        <v>-99</v>
      </c>
      <c r="AY17" s="540">
        <v>-99</v>
      </c>
      <c r="AZ17" s="539">
        <v>-99</v>
      </c>
      <c r="BA17" s="539">
        <v>-99</v>
      </c>
      <c r="BB17" s="540">
        <v>0.99661318563876433</v>
      </c>
      <c r="BC17" s="539">
        <v>-99</v>
      </c>
      <c r="BD17" s="540">
        <v>1.4072102157773072</v>
      </c>
      <c r="BE17" s="541">
        <v>1.569</v>
      </c>
      <c r="BF17" s="542"/>
      <c r="BG17" s="612"/>
      <c r="BH17" s="542">
        <v>0.89</v>
      </c>
      <c r="BI17" s="636">
        <v>138</v>
      </c>
      <c r="BJ17" s="636" t="s">
        <v>804</v>
      </c>
      <c r="BK17" s="623"/>
      <c r="BL17" s="623"/>
      <c r="BM17" s="545">
        <v>115</v>
      </c>
      <c r="BN17" s="612">
        <v>0</v>
      </c>
      <c r="BO17" s="623">
        <v>92</v>
      </c>
      <c r="BP17" s="623">
        <v>0</v>
      </c>
      <c r="BQ17" s="623" t="s">
        <v>830</v>
      </c>
      <c r="BR17" s="623" t="s">
        <v>831</v>
      </c>
      <c r="BS17" s="648" t="s">
        <v>188</v>
      </c>
      <c r="BT17" s="648" t="s">
        <v>188</v>
      </c>
      <c r="BU17" s="648" t="s">
        <v>188</v>
      </c>
      <c r="BV17" s="648" t="s">
        <v>188</v>
      </c>
      <c r="BW17" s="648" t="s">
        <v>188</v>
      </c>
      <c r="BX17" s="648" t="s">
        <v>188</v>
      </c>
      <c r="BY17" s="648" t="s">
        <v>188</v>
      </c>
      <c r="BZ17" s="648" t="s">
        <v>188</v>
      </c>
      <c r="CA17" s="648" t="s">
        <v>188</v>
      </c>
      <c r="CB17" s="648" t="s">
        <v>188</v>
      </c>
      <c r="CC17" s="597" t="s">
        <v>188</v>
      </c>
      <c r="CD17" s="659"/>
      <c r="CE17" s="659" t="s">
        <v>188</v>
      </c>
      <c r="CF17" s="659" t="s">
        <v>188</v>
      </c>
      <c r="CG17" s="659" t="s">
        <v>188</v>
      </c>
      <c r="CH17" s="659" t="s">
        <v>188</v>
      </c>
      <c r="CI17" s="659" t="s">
        <v>188</v>
      </c>
      <c r="CJ17" s="659" t="s">
        <v>188</v>
      </c>
      <c r="CK17" s="659" t="s">
        <v>188</v>
      </c>
      <c r="CL17" s="659" t="s">
        <v>188</v>
      </c>
      <c r="CM17" s="659" t="s">
        <v>188</v>
      </c>
      <c r="CN17" s="660" t="s">
        <v>188</v>
      </c>
      <c r="CO17" s="636" t="s">
        <v>188</v>
      </c>
      <c r="CP17" s="636" t="s">
        <v>188</v>
      </c>
      <c r="CQ17" s="636" t="s">
        <v>188</v>
      </c>
      <c r="CR17" s="636" t="s">
        <v>188</v>
      </c>
      <c r="CS17" s="636" t="s">
        <v>188</v>
      </c>
      <c r="CT17" s="636" t="s">
        <v>188</v>
      </c>
      <c r="CU17" s="644" t="s">
        <v>929</v>
      </c>
      <c r="CV17" s="623">
        <v>112.1</v>
      </c>
      <c r="CW17" s="623">
        <v>0</v>
      </c>
      <c r="CX17" s="636">
        <f>CV17-CZ17</f>
        <v>85.699999999999989</v>
      </c>
      <c r="CY17" s="623">
        <v>0</v>
      </c>
      <c r="CZ17" s="623">
        <v>26.4</v>
      </c>
      <c r="DA17" s="623">
        <v>0</v>
      </c>
      <c r="DB17" s="645" t="s">
        <v>922</v>
      </c>
      <c r="DC17" s="645" t="s">
        <v>188</v>
      </c>
      <c r="DD17" s="645" t="s">
        <v>188</v>
      </c>
      <c r="DE17" s="645">
        <v>37.26</v>
      </c>
      <c r="DF17" s="645">
        <v>0</v>
      </c>
      <c r="DG17" s="665" t="s">
        <v>188</v>
      </c>
      <c r="DH17" s="665">
        <v>0.15429999999999999</v>
      </c>
      <c r="DI17" s="550" t="str">
        <f>IFERROR(INDEX('Price Point Data'!O:O,MATCH($B17,'Price Point Data'!$A:$A,0)),-99)</f>
        <v>Unknown</v>
      </c>
      <c r="DJ17" s="550" t="str">
        <f>IFERROR(INDEX('Price Point Data'!P:P,MATCH($B17,'Price Point Data'!$A:$A,0)),-99)</f>
        <v>Unknown</v>
      </c>
      <c r="DK17" s="550" t="str">
        <f>IFERROR(INDEX('Price Point Data'!Q:Q,MATCH($B17,'Price Point Data'!$A:$A,0)),-99)</f>
        <v>Unknown</v>
      </c>
      <c r="DL17" s="550" t="str">
        <f>IFERROR(INDEX('Price Point Data'!I:I,MATCH($B17,'Price Point Data'!$A:$A,0)),-99)</f>
        <v>Unknown</v>
      </c>
      <c r="DM17" s="551" t="str">
        <f>IFERROR(INDEX('Price Point Data'!J:J,MATCH($B17,'Price Point Data'!$A:$A,0)),-99)</f>
        <v>Unknown</v>
      </c>
      <c r="DN17" s="550" t="str">
        <f>IFERROR(INDEX('Price Point Data'!K:K,MATCH($B17,'Price Point Data'!$A:$A,0)),-99)</f>
        <v>Unknown</v>
      </c>
      <c r="DO17" s="550" t="str">
        <f>IFERROR(INDEX('Price Point Data'!L:L,MATCH($B17,'Price Point Data'!$A:$A,0)),-99)</f>
        <v>Unknown</v>
      </c>
      <c r="DP17" s="550" t="str">
        <f>IFERROR(INDEX('Price Point Data'!M:M,MATCH($B17,'Price Point Data'!$A:$A,0)),-99)</f>
        <v>Unknown</v>
      </c>
      <c r="DQ17" s="550" t="str">
        <f>IFERROR(INDEX('Price Point Data'!N:N,MATCH($B17,'Price Point Data'!$A:$A,0)),-99)</f>
        <v>Unknown</v>
      </c>
      <c r="DR17" s="556" t="s">
        <v>282</v>
      </c>
      <c r="DS17" s="636" t="s">
        <v>188</v>
      </c>
      <c r="DT17" s="636" t="s">
        <v>188</v>
      </c>
      <c r="DU17" s="636" t="s">
        <v>188</v>
      </c>
      <c r="DV17" s="636" t="s">
        <v>188</v>
      </c>
      <c r="DW17" s="636" t="s">
        <v>188</v>
      </c>
      <c r="DX17" s="552">
        <v>40787</v>
      </c>
      <c r="DY17" s="636" t="s">
        <v>197</v>
      </c>
      <c r="DZ17" s="636" t="s">
        <v>457</v>
      </c>
      <c r="EA17" s="552">
        <v>41974</v>
      </c>
      <c r="EB17" s="636" t="s">
        <v>198</v>
      </c>
      <c r="EC17" s="636" t="s">
        <v>188</v>
      </c>
      <c r="ED17" s="636" t="s">
        <v>188</v>
      </c>
      <c r="EE17" s="636" t="s">
        <v>923</v>
      </c>
      <c r="EF17" s="552">
        <v>42370</v>
      </c>
      <c r="EG17" s="636" t="s">
        <v>152</v>
      </c>
      <c r="EH17" s="8">
        <v>35</v>
      </c>
      <c r="EI17" s="359"/>
    </row>
    <row r="18" spans="1:139" s="8" customFormat="1" x14ac:dyDescent="0.25">
      <c r="A18" s="16">
        <v>14</v>
      </c>
      <c r="B18" s="19" t="s">
        <v>88</v>
      </c>
      <c r="C18" s="16"/>
      <c r="D18" s="19" t="s">
        <v>52</v>
      </c>
      <c r="E18" s="19" t="s">
        <v>73</v>
      </c>
      <c r="F18" s="19" t="s">
        <v>8</v>
      </c>
      <c r="G18" s="19" t="s">
        <v>837</v>
      </c>
      <c r="H18" s="539">
        <v>-99</v>
      </c>
      <c r="I18" s="539">
        <v>0.94825099025602044</v>
      </c>
      <c r="J18" s="539">
        <v>-99</v>
      </c>
      <c r="K18" s="539">
        <v>0.96754869853464853</v>
      </c>
      <c r="L18" s="539">
        <v>0.98699999999999999</v>
      </c>
      <c r="M18" s="539">
        <v>-99</v>
      </c>
      <c r="N18" s="539">
        <v>0.94374363104821068</v>
      </c>
      <c r="O18" s="539">
        <v>-99</v>
      </c>
      <c r="P18" s="539">
        <v>0.94049629257667267</v>
      </c>
      <c r="Q18" s="539">
        <v>0.97899999999999998</v>
      </c>
      <c r="R18" s="539">
        <v>-99</v>
      </c>
      <c r="S18" s="539">
        <v>0.95550854957607367</v>
      </c>
      <c r="T18" s="539">
        <v>-99</v>
      </c>
      <c r="U18" s="539">
        <v>0.94249268806194864</v>
      </c>
      <c r="V18" s="539">
        <v>0.995</v>
      </c>
      <c r="W18" s="539">
        <v>-99</v>
      </c>
      <c r="X18" s="539">
        <v>-99</v>
      </c>
      <c r="Y18" s="539">
        <v>-99</v>
      </c>
      <c r="Z18" s="539">
        <v>-99</v>
      </c>
      <c r="AA18" s="539">
        <v>-99</v>
      </c>
      <c r="AB18" s="539">
        <v>-99</v>
      </c>
      <c r="AC18" s="539">
        <v>0.93989013648080499</v>
      </c>
      <c r="AD18" s="539">
        <v>-99</v>
      </c>
      <c r="AE18" s="539">
        <v>0.95413354188498067</v>
      </c>
      <c r="AF18" s="539">
        <v>0.99299999999999999</v>
      </c>
      <c r="AG18" s="539">
        <v>-99</v>
      </c>
      <c r="AH18" s="540">
        <v>1.9806353930334133</v>
      </c>
      <c r="AI18" s="539">
        <v>-99</v>
      </c>
      <c r="AJ18" s="540">
        <v>2.3271024065605226</v>
      </c>
      <c r="AK18" s="539">
        <v>2.4670000000000001</v>
      </c>
      <c r="AL18" s="539">
        <v>-99</v>
      </c>
      <c r="AM18" s="540">
        <v>1.8742323148969724</v>
      </c>
      <c r="AN18" s="539">
        <v>-99</v>
      </c>
      <c r="AO18" s="540">
        <v>2.2384198722465145</v>
      </c>
      <c r="AP18" s="541">
        <v>2.246</v>
      </c>
      <c r="AQ18" s="539">
        <v>-99</v>
      </c>
      <c r="AR18" s="540">
        <v>2.0789846708431909</v>
      </c>
      <c r="AS18" s="539">
        <v>-99</v>
      </c>
      <c r="AT18" s="540">
        <v>2.4314814331901826</v>
      </c>
      <c r="AU18" s="539">
        <v>2.6789999999999998</v>
      </c>
      <c r="AV18" s="540">
        <v>-99</v>
      </c>
      <c r="AW18" s="540">
        <v>-99</v>
      </c>
      <c r="AX18" s="540">
        <v>-99</v>
      </c>
      <c r="AY18" s="540">
        <v>-99</v>
      </c>
      <c r="AZ18" s="539">
        <v>-99</v>
      </c>
      <c r="BA18" s="539">
        <v>-99</v>
      </c>
      <c r="BB18" s="540">
        <v>2.0292151597541261</v>
      </c>
      <c r="BC18" s="539">
        <v>-99</v>
      </c>
      <c r="BD18" s="540">
        <v>2.2902401568689936</v>
      </c>
      <c r="BE18" s="541">
        <v>2.5449999999999999</v>
      </c>
      <c r="BF18" s="542"/>
      <c r="BG18" s="612"/>
      <c r="BH18" s="542">
        <v>0.84</v>
      </c>
      <c r="BI18" s="636">
        <v>230</v>
      </c>
      <c r="BJ18" s="636"/>
      <c r="BK18" s="623">
        <v>166</v>
      </c>
      <c r="BL18" s="623">
        <v>0</v>
      </c>
      <c r="BM18" s="545">
        <v>35</v>
      </c>
      <c r="BN18" s="612">
        <v>0</v>
      </c>
      <c r="BO18" s="623"/>
      <c r="BP18" s="623"/>
      <c r="BQ18" s="563"/>
      <c r="BR18" s="623" t="s">
        <v>832</v>
      </c>
      <c r="BS18" s="648" t="s">
        <v>188</v>
      </c>
      <c r="BT18" s="648" t="s">
        <v>188</v>
      </c>
      <c r="BU18" s="648" t="s">
        <v>188</v>
      </c>
      <c r="BV18" s="648" t="s">
        <v>188</v>
      </c>
      <c r="BW18" s="648" t="s">
        <v>188</v>
      </c>
      <c r="BX18" s="648" t="s">
        <v>188</v>
      </c>
      <c r="BY18" s="648" t="s">
        <v>188</v>
      </c>
      <c r="BZ18" s="648" t="s">
        <v>188</v>
      </c>
      <c r="CA18" s="648" t="s">
        <v>188</v>
      </c>
      <c r="CB18" s="648" t="s">
        <v>188</v>
      </c>
      <c r="CC18" s="654" t="s">
        <v>188</v>
      </c>
      <c r="CD18" s="659"/>
      <c r="CE18" s="659" t="s">
        <v>188</v>
      </c>
      <c r="CF18" s="659" t="s">
        <v>188</v>
      </c>
      <c r="CG18" s="659" t="s">
        <v>188</v>
      </c>
      <c r="CH18" s="659" t="s">
        <v>188</v>
      </c>
      <c r="CI18" s="659" t="s">
        <v>188</v>
      </c>
      <c r="CJ18" s="659" t="s">
        <v>188</v>
      </c>
      <c r="CK18" s="659" t="s">
        <v>188</v>
      </c>
      <c r="CL18" s="659" t="s">
        <v>188</v>
      </c>
      <c r="CM18" s="659" t="s">
        <v>188</v>
      </c>
      <c r="CN18" s="660" t="s">
        <v>188</v>
      </c>
      <c r="CO18" s="623">
        <v>335.2</v>
      </c>
      <c r="CP18" s="623">
        <v>0</v>
      </c>
      <c r="CQ18" s="623">
        <f>CO18-CS18</f>
        <v>196.89999999999998</v>
      </c>
      <c r="CR18" s="623">
        <v>0</v>
      </c>
      <c r="CS18" s="636">
        <v>138.30000000000001</v>
      </c>
      <c r="CT18" s="623">
        <v>0</v>
      </c>
      <c r="CU18" s="636" t="s">
        <v>940</v>
      </c>
      <c r="CV18" s="623" t="s">
        <v>188</v>
      </c>
      <c r="CW18" s="623" t="s">
        <v>188</v>
      </c>
      <c r="CX18" s="623" t="s">
        <v>188</v>
      </c>
      <c r="CY18" s="623" t="s">
        <v>188</v>
      </c>
      <c r="CZ18" s="623" t="s">
        <v>188</v>
      </c>
      <c r="DA18" s="623" t="s">
        <v>188</v>
      </c>
      <c r="DB18" s="644" t="s">
        <v>930</v>
      </c>
      <c r="DC18" s="645">
        <v>84</v>
      </c>
      <c r="DD18" s="645">
        <v>0</v>
      </c>
      <c r="DE18" s="645" t="s">
        <v>188</v>
      </c>
      <c r="DF18" s="645" t="s">
        <v>188</v>
      </c>
      <c r="DG18" s="665">
        <v>0.15429999999999999</v>
      </c>
      <c r="DH18" s="665" t="s">
        <v>188</v>
      </c>
      <c r="DI18" s="550" t="str">
        <f>IFERROR(INDEX('Price Point Data'!O:O,MATCH($B18,'Price Point Data'!$A:$A,0)),-99)</f>
        <v>Under $200 to $3000 or more</v>
      </c>
      <c r="DJ18" s="551">
        <f>IFERROR(INDEX('Price Point Data'!P:P,MATCH($B18,'Price Point Data'!$A:$A,0)),-99)</f>
        <v>0.57585139318885448</v>
      </c>
      <c r="DK18" s="550">
        <f>IFERROR(INDEX('Price Point Data'!Q:Q,MATCH($B18,'Price Point Data'!$A:$A,0)),-99)</f>
        <v>297</v>
      </c>
      <c r="DL18" s="550" t="str">
        <f>IFERROR(INDEX('Price Point Data'!I:I,MATCH($B18,'Price Point Data'!$A:$A,0)),-99)</f>
        <v>No constraint</v>
      </c>
      <c r="DM18" s="565" t="str">
        <f>IFERROR(INDEX('Price Point Data'!J:J,MATCH($B18,'Price Point Data'!$A:$A,0)),-99)</f>
        <v>N/A</v>
      </c>
      <c r="DN18" s="550" t="str">
        <f>IFERROR(INDEX('Price Point Data'!K:K,MATCH($B18,'Price Point Data'!$A:$A,0)),-99)</f>
        <v>N/A</v>
      </c>
      <c r="DO18" s="550" t="str">
        <f>IFERROR(INDEX('Price Point Data'!L:L,MATCH($B18,'Price Point Data'!$A:$A,0)),-99)</f>
        <v>$2500 or more</v>
      </c>
      <c r="DP18" s="551">
        <f>IFERROR(INDEX('Price Point Data'!M:M,MATCH($B18,'Price Point Data'!$A:$A,0)),-99)</f>
        <v>0.24390243902439024</v>
      </c>
      <c r="DQ18" s="550">
        <f>IFERROR(INDEX('Price Point Data'!N:N,MATCH($B18,'Price Point Data'!$A:$A,0)),-99)</f>
        <v>41</v>
      </c>
      <c r="DR18" s="551"/>
      <c r="DS18" s="636" t="s">
        <v>188</v>
      </c>
      <c r="DT18" s="636" t="s">
        <v>188</v>
      </c>
      <c r="DU18" s="636" t="s">
        <v>188</v>
      </c>
      <c r="DV18" s="636" t="s">
        <v>188</v>
      </c>
      <c r="DW18" s="636" t="s">
        <v>188</v>
      </c>
      <c r="DX18" s="552">
        <v>41426</v>
      </c>
      <c r="DY18" s="636" t="s">
        <v>199</v>
      </c>
      <c r="DZ18" s="636" t="s">
        <v>458</v>
      </c>
      <c r="EA18" s="552">
        <v>42186</v>
      </c>
      <c r="EB18" s="636" t="s">
        <v>200</v>
      </c>
      <c r="EC18" s="552">
        <v>41275</v>
      </c>
      <c r="ED18" s="636" t="s">
        <v>201</v>
      </c>
      <c r="EE18" s="636" t="s">
        <v>188</v>
      </c>
      <c r="EF18" s="636" t="s">
        <v>188</v>
      </c>
      <c r="EG18" s="636" t="s">
        <v>188</v>
      </c>
      <c r="EH18" s="8">
        <v>22</v>
      </c>
      <c r="EI18" s="359"/>
    </row>
    <row r="19" spans="1:139" s="8" customFormat="1" x14ac:dyDescent="0.25">
      <c r="A19" s="16">
        <v>15</v>
      </c>
      <c r="B19" s="19" t="s">
        <v>11</v>
      </c>
      <c r="C19" s="19" t="s">
        <v>90</v>
      </c>
      <c r="D19" s="19" t="s">
        <v>51</v>
      </c>
      <c r="E19" s="19" t="s">
        <v>73</v>
      </c>
      <c r="F19" s="19" t="s">
        <v>8</v>
      </c>
      <c r="G19" s="19" t="s">
        <v>837</v>
      </c>
      <c r="H19" s="539">
        <v>-99</v>
      </c>
      <c r="I19" s="539">
        <v>0.31656002225626545</v>
      </c>
      <c r="J19" s="539">
        <v>-99</v>
      </c>
      <c r="K19" s="539">
        <v>0.6363562558276038</v>
      </c>
      <c r="L19" s="539">
        <v>-99</v>
      </c>
      <c r="M19" s="539">
        <v>-99</v>
      </c>
      <c r="N19" s="539">
        <v>0.31989505752758524</v>
      </c>
      <c r="O19" s="539">
        <v>-99</v>
      </c>
      <c r="P19" s="539">
        <v>0.63353006421986668</v>
      </c>
      <c r="Q19" s="539">
        <v>-99</v>
      </c>
      <c r="R19" s="539">
        <v>-99</v>
      </c>
      <c r="S19" s="539">
        <v>0.27798318305411873</v>
      </c>
      <c r="T19" s="539">
        <v>-99</v>
      </c>
      <c r="U19" s="539">
        <v>0.6320642910849692</v>
      </c>
      <c r="V19" s="539">
        <v>-99</v>
      </c>
      <c r="W19" s="539">
        <v>-99</v>
      </c>
      <c r="X19" s="539">
        <v>-99</v>
      </c>
      <c r="Y19" s="539">
        <v>-99</v>
      </c>
      <c r="Z19" s="539">
        <v>-99</v>
      </c>
      <c r="AA19" s="539">
        <v>-99</v>
      </c>
      <c r="AB19" s="539">
        <v>-99</v>
      </c>
      <c r="AC19" s="539">
        <v>0.43466257397380181</v>
      </c>
      <c r="AD19" s="539">
        <v>-99</v>
      </c>
      <c r="AE19" s="539">
        <v>0.66225689411424216</v>
      </c>
      <c r="AF19" s="539">
        <v>-99</v>
      </c>
      <c r="AG19" s="539">
        <v>-99</v>
      </c>
      <c r="AH19" s="540">
        <v>0.35040677506377932</v>
      </c>
      <c r="AI19" s="539">
        <v>-99</v>
      </c>
      <c r="AJ19" s="540">
        <v>0.67710747254138626</v>
      </c>
      <c r="AK19" s="539">
        <v>-99</v>
      </c>
      <c r="AL19" s="539">
        <v>-99</v>
      </c>
      <c r="AM19" s="540">
        <v>0.35694836925391626</v>
      </c>
      <c r="AN19" s="539">
        <v>-99</v>
      </c>
      <c r="AO19" s="540">
        <v>0.67397951696992719</v>
      </c>
      <c r="AP19" s="541">
        <v>-99</v>
      </c>
      <c r="AQ19" s="539">
        <v>-99</v>
      </c>
      <c r="AR19" s="540">
        <v>0.30731149990614043</v>
      </c>
      <c r="AS19" s="539">
        <v>-99</v>
      </c>
      <c r="AT19" s="540">
        <v>0.67710734952307117</v>
      </c>
      <c r="AU19" s="539">
        <v>-99</v>
      </c>
      <c r="AV19" s="540">
        <v>-99</v>
      </c>
      <c r="AW19" s="540">
        <v>-99</v>
      </c>
      <c r="AX19" s="540">
        <v>-99</v>
      </c>
      <c r="AY19" s="540">
        <v>-99</v>
      </c>
      <c r="AZ19" s="539">
        <v>-99</v>
      </c>
      <c r="BA19" s="539">
        <v>-99</v>
      </c>
      <c r="BB19" s="540">
        <v>0.47228470757878971</v>
      </c>
      <c r="BC19" s="539">
        <v>-99</v>
      </c>
      <c r="BD19" s="540">
        <v>0.68889194200985149</v>
      </c>
      <c r="BE19" s="541">
        <v>-99</v>
      </c>
      <c r="BF19" s="612"/>
      <c r="BG19" s="612"/>
      <c r="BH19" s="612">
        <v>-98</v>
      </c>
      <c r="BI19" s="636">
        <v>59</v>
      </c>
      <c r="BJ19" s="636" t="s">
        <v>803</v>
      </c>
      <c r="BK19" s="566"/>
      <c r="BL19" s="566"/>
      <c r="BM19" s="545">
        <v>15</v>
      </c>
      <c r="BN19" s="612">
        <v>0</v>
      </c>
      <c r="BO19" s="566">
        <v>25</v>
      </c>
      <c r="BP19" s="623">
        <v>0</v>
      </c>
      <c r="BQ19" s="614" t="s">
        <v>629</v>
      </c>
      <c r="BR19" s="623" t="s">
        <v>658</v>
      </c>
      <c r="BS19" s="648" t="s">
        <v>188</v>
      </c>
      <c r="BT19" s="648" t="s">
        <v>188</v>
      </c>
      <c r="BU19" s="648" t="s">
        <v>188</v>
      </c>
      <c r="BV19" s="648" t="s">
        <v>188</v>
      </c>
      <c r="BW19" s="648" t="s">
        <v>188</v>
      </c>
      <c r="BX19" s="648" t="s">
        <v>188</v>
      </c>
      <c r="BY19" s="648" t="s">
        <v>188</v>
      </c>
      <c r="BZ19" s="648" t="s">
        <v>188</v>
      </c>
      <c r="CA19" s="648" t="s">
        <v>188</v>
      </c>
      <c r="CB19" s="648" t="s">
        <v>188</v>
      </c>
      <c r="CC19" s="597" t="s">
        <v>188</v>
      </c>
      <c r="CD19" s="659"/>
      <c r="CE19" s="659" t="s">
        <v>188</v>
      </c>
      <c r="CF19" s="659" t="s">
        <v>188</v>
      </c>
      <c r="CG19" s="659" t="s">
        <v>188</v>
      </c>
      <c r="CH19" s="659" t="s">
        <v>188</v>
      </c>
      <c r="CI19" s="659" t="s">
        <v>188</v>
      </c>
      <c r="CJ19" s="659" t="s">
        <v>188</v>
      </c>
      <c r="CK19" s="659" t="s">
        <v>188</v>
      </c>
      <c r="CL19" s="659" t="s">
        <v>188</v>
      </c>
      <c r="CM19" s="659" t="s">
        <v>188</v>
      </c>
      <c r="CN19" s="660" t="s">
        <v>188</v>
      </c>
      <c r="CO19" s="636" t="s">
        <v>188</v>
      </c>
      <c r="CP19" s="636" t="s">
        <v>188</v>
      </c>
      <c r="CQ19" s="636" t="s">
        <v>188</v>
      </c>
      <c r="CR19" s="636" t="s">
        <v>188</v>
      </c>
      <c r="CS19" s="636" t="s">
        <v>188</v>
      </c>
      <c r="CT19" s="636" t="s">
        <v>188</v>
      </c>
      <c r="CU19" s="644" t="s">
        <v>929</v>
      </c>
      <c r="CV19" s="623">
        <v>66.400000000000006</v>
      </c>
      <c r="CW19" s="623">
        <v>0</v>
      </c>
      <c r="CX19" s="636">
        <f>CV19-CZ19</f>
        <v>41.7</v>
      </c>
      <c r="CY19" s="623">
        <v>0</v>
      </c>
      <c r="CZ19" s="623">
        <v>24.7</v>
      </c>
      <c r="DA19" s="623">
        <v>0</v>
      </c>
      <c r="DB19" s="645" t="s">
        <v>924</v>
      </c>
      <c r="DC19" s="645" t="s">
        <v>188</v>
      </c>
      <c r="DD19" s="645" t="s">
        <v>188</v>
      </c>
      <c r="DE19" s="645">
        <v>35.58</v>
      </c>
      <c r="DF19" s="645">
        <v>0</v>
      </c>
      <c r="DG19" s="665" t="s">
        <v>188</v>
      </c>
      <c r="DH19" s="665">
        <v>0.15429999999999999</v>
      </c>
      <c r="DI19" s="550" t="str">
        <f>IFERROR(INDEX('Price Point Data'!O:O,MATCH($B19,'Price Point Data'!$A:$A,0)),-99)</f>
        <v>Unknown</v>
      </c>
      <c r="DJ19" s="550" t="str">
        <f>IFERROR(INDEX('Price Point Data'!P:P,MATCH($B19,'Price Point Data'!$A:$A,0)),-99)</f>
        <v>Unknown</v>
      </c>
      <c r="DK19" s="550" t="str">
        <f>IFERROR(INDEX('Price Point Data'!Q:Q,MATCH($B19,'Price Point Data'!$A:$A,0)),-99)</f>
        <v>Unknown</v>
      </c>
      <c r="DL19" s="550" t="str">
        <f>IFERROR(INDEX('Price Point Data'!I:I,MATCH($B19,'Price Point Data'!$A:$A,0)),-99)</f>
        <v>Unknown</v>
      </c>
      <c r="DM19" s="551" t="str">
        <f>IFERROR(INDEX('Price Point Data'!J:J,MATCH($B19,'Price Point Data'!$A:$A,0)),-99)</f>
        <v>Unknown</v>
      </c>
      <c r="DN19" s="550" t="str">
        <f>IFERROR(INDEX('Price Point Data'!K:K,MATCH($B19,'Price Point Data'!$A:$A,0)),-99)</f>
        <v>Unknown</v>
      </c>
      <c r="DO19" s="550" t="str">
        <f>IFERROR(INDEX('Price Point Data'!L:L,MATCH($B19,'Price Point Data'!$A:$A,0)),-99)</f>
        <v>Unknown</v>
      </c>
      <c r="DP19" s="550" t="str">
        <f>IFERROR(INDEX('Price Point Data'!M:M,MATCH($B19,'Price Point Data'!$A:$A,0)),-99)</f>
        <v>Unknown</v>
      </c>
      <c r="DQ19" s="550" t="str">
        <f>IFERROR(INDEX('Price Point Data'!N:N,MATCH($B19,'Price Point Data'!$A:$A,0)),-99)</f>
        <v>Unknown</v>
      </c>
      <c r="DR19" s="556" t="s">
        <v>281</v>
      </c>
      <c r="DS19" s="636" t="s">
        <v>188</v>
      </c>
      <c r="DT19" s="636" t="s">
        <v>188</v>
      </c>
      <c r="DU19" s="636" t="s">
        <v>188</v>
      </c>
      <c r="DV19" s="636" t="s">
        <v>188</v>
      </c>
      <c r="DW19" s="636" t="s">
        <v>188</v>
      </c>
      <c r="DX19" s="552">
        <v>41520</v>
      </c>
      <c r="DY19" s="636" t="s">
        <v>226</v>
      </c>
      <c r="DZ19" s="636" t="s">
        <v>188</v>
      </c>
      <c r="EA19" s="636" t="s">
        <v>188</v>
      </c>
      <c r="EB19" s="636" t="s">
        <v>188</v>
      </c>
      <c r="EC19" s="636" t="s">
        <v>188</v>
      </c>
      <c r="ED19" s="636" t="s">
        <v>188</v>
      </c>
      <c r="EE19" s="636" t="s">
        <v>923</v>
      </c>
      <c r="EF19" s="552">
        <v>42370</v>
      </c>
      <c r="EG19" s="636" t="s">
        <v>152</v>
      </c>
      <c r="EH19" s="8">
        <v>62</v>
      </c>
      <c r="EI19" s="359"/>
    </row>
    <row r="20" spans="1:139" s="8" customFormat="1" x14ac:dyDescent="0.25">
      <c r="A20" s="16">
        <v>16</v>
      </c>
      <c r="B20" s="526" t="s">
        <v>9</v>
      </c>
      <c r="C20" s="526"/>
      <c r="D20" s="19" t="s">
        <v>53</v>
      </c>
      <c r="E20" s="19" t="s">
        <v>73</v>
      </c>
      <c r="F20" s="19" t="s">
        <v>8</v>
      </c>
      <c r="G20" s="19" t="s">
        <v>837</v>
      </c>
      <c r="H20" s="539">
        <v>-99</v>
      </c>
      <c r="I20" s="539">
        <v>8.981819405146052E-2</v>
      </c>
      <c r="J20" s="539">
        <v>7.0588235294117646E-2</v>
      </c>
      <c r="K20" s="539">
        <v>0.10602847719599769</v>
      </c>
      <c r="L20" s="539">
        <v>8.4000000000000005E-2</v>
      </c>
      <c r="M20" s="539">
        <v>-99</v>
      </c>
      <c r="N20" s="539">
        <v>7.9000000000000001E-2</v>
      </c>
      <c r="O20" s="539">
        <v>7.848101265822785E-2</v>
      </c>
      <c r="P20" s="539">
        <v>9.7000000000000003E-2</v>
      </c>
      <c r="Q20" s="539">
        <v>8.5999999999999993E-2</v>
      </c>
      <c r="R20" s="539">
        <v>-99</v>
      </c>
      <c r="S20" s="539">
        <v>9.4E-2</v>
      </c>
      <c r="T20" s="539">
        <v>4.788732394366197E-2</v>
      </c>
      <c r="U20" s="539">
        <v>0.111</v>
      </c>
      <c r="V20" s="539">
        <v>8.1000000000000003E-2</v>
      </c>
      <c r="W20" s="539">
        <v>-99</v>
      </c>
      <c r="X20" s="539">
        <v>-99</v>
      </c>
      <c r="Y20" s="539">
        <v>-99</v>
      </c>
      <c r="Z20" s="539">
        <v>-99</v>
      </c>
      <c r="AA20" s="539">
        <v>-99</v>
      </c>
      <c r="AB20" s="539">
        <v>-99</v>
      </c>
      <c r="AC20" s="539">
        <v>0.11700000000000001</v>
      </c>
      <c r="AD20" s="539">
        <v>0.12</v>
      </c>
      <c r="AE20" s="539">
        <v>0.12</v>
      </c>
      <c r="AF20" s="539">
        <v>0.09</v>
      </c>
      <c r="AG20" s="539">
        <v>-99</v>
      </c>
      <c r="AH20" s="540">
        <v>-99</v>
      </c>
      <c r="AI20" s="539">
        <v>-99</v>
      </c>
      <c r="AJ20" s="540">
        <v>-99</v>
      </c>
      <c r="AK20" s="539">
        <v>-99</v>
      </c>
      <c r="AL20" s="539">
        <v>-99</v>
      </c>
      <c r="AM20" s="540">
        <v>-99</v>
      </c>
      <c r="AN20" s="539">
        <v>-99</v>
      </c>
      <c r="AO20" s="540">
        <v>-99</v>
      </c>
      <c r="AP20" s="541">
        <v>-99</v>
      </c>
      <c r="AQ20" s="539">
        <v>-99</v>
      </c>
      <c r="AR20" s="540">
        <v>-99</v>
      </c>
      <c r="AS20" s="539">
        <v>-99</v>
      </c>
      <c r="AT20" s="540">
        <v>-99</v>
      </c>
      <c r="AU20" s="539">
        <v>-99</v>
      </c>
      <c r="AV20" s="540">
        <v>-99</v>
      </c>
      <c r="AW20" s="540">
        <v>-99</v>
      </c>
      <c r="AX20" s="540">
        <v>-99</v>
      </c>
      <c r="AY20" s="540">
        <v>-99</v>
      </c>
      <c r="AZ20" s="539">
        <v>-99</v>
      </c>
      <c r="BA20" s="539">
        <v>-99</v>
      </c>
      <c r="BB20" s="540">
        <v>-99</v>
      </c>
      <c r="BC20" s="539">
        <v>-99</v>
      </c>
      <c r="BD20" s="540">
        <v>-99</v>
      </c>
      <c r="BE20" s="541">
        <v>-99</v>
      </c>
      <c r="BF20" s="612"/>
      <c r="BG20" s="612"/>
      <c r="BH20" s="612">
        <v>-98</v>
      </c>
      <c r="BI20" s="636">
        <v>-98</v>
      </c>
      <c r="BJ20" s="636"/>
      <c r="BK20" s="623"/>
      <c r="BL20" s="623"/>
      <c r="BM20" s="612">
        <v>2800</v>
      </c>
      <c r="BN20" s="612">
        <v>0</v>
      </c>
      <c r="BO20" s="623">
        <v>1169</v>
      </c>
      <c r="BP20" s="623">
        <v>0</v>
      </c>
      <c r="BQ20" s="612" t="s">
        <v>801</v>
      </c>
      <c r="BR20" s="623" t="s">
        <v>827</v>
      </c>
      <c r="BS20" s="648">
        <v>1685.9999988335173</v>
      </c>
      <c r="BT20" s="648">
        <v>0</v>
      </c>
      <c r="BU20" s="648">
        <v>1685.9999983140001</v>
      </c>
      <c r="BV20" s="648">
        <v>0</v>
      </c>
      <c r="BW20" s="648">
        <v>1686</v>
      </c>
      <c r="BX20" s="648">
        <v>0</v>
      </c>
      <c r="BY20" s="648" t="s">
        <v>188</v>
      </c>
      <c r="BZ20" s="648" t="s">
        <v>188</v>
      </c>
      <c r="CA20" s="648">
        <v>1685.99999662799</v>
      </c>
      <c r="CB20" s="648">
        <v>0</v>
      </c>
      <c r="CC20" s="597" t="s">
        <v>988</v>
      </c>
      <c r="CD20" s="748"/>
      <c r="CE20" s="749">
        <v>526493249.09489399</v>
      </c>
      <c r="CF20" s="748">
        <v>0</v>
      </c>
      <c r="CG20" s="748">
        <v>211200844.00209501</v>
      </c>
      <c r="CH20" s="748">
        <v>0</v>
      </c>
      <c r="CI20" s="748">
        <v>232388594.480562</v>
      </c>
      <c r="CJ20" s="748" t="s">
        <v>188</v>
      </c>
      <c r="CK20" s="748" t="s">
        <v>188</v>
      </c>
      <c r="CL20" s="748">
        <v>0</v>
      </c>
      <c r="CM20" s="748">
        <v>82903810.612237006</v>
      </c>
      <c r="CN20" s="752">
        <v>0</v>
      </c>
      <c r="CO20" s="623">
        <v>2600</v>
      </c>
      <c r="CP20" s="623">
        <v>0</v>
      </c>
      <c r="CQ20" s="623">
        <f>CO20-CS20</f>
        <v>1560</v>
      </c>
      <c r="CR20" s="623">
        <v>0</v>
      </c>
      <c r="CS20" s="636">
        <v>1040</v>
      </c>
      <c r="CT20" s="623">
        <v>0</v>
      </c>
      <c r="CU20" s="636" t="s">
        <v>936</v>
      </c>
      <c r="CV20" s="623">
        <v>3174.6</v>
      </c>
      <c r="CW20" s="623">
        <v>0</v>
      </c>
      <c r="CX20" s="636">
        <f>CV20-CZ20</f>
        <v>2836</v>
      </c>
      <c r="CY20" s="623">
        <v>0</v>
      </c>
      <c r="CZ20" s="623">
        <v>338.6</v>
      </c>
      <c r="DA20" s="623">
        <v>0</v>
      </c>
      <c r="DB20" s="623" t="s">
        <v>925</v>
      </c>
      <c r="DC20" s="645">
        <v>725.16</v>
      </c>
      <c r="DD20" s="645">
        <v>0</v>
      </c>
      <c r="DE20" s="645">
        <v>240</v>
      </c>
      <c r="DF20" s="645">
        <v>0</v>
      </c>
      <c r="DG20" s="665">
        <v>6.4000000000000001E-2</v>
      </c>
      <c r="DH20" s="665">
        <v>0.15429999999999999</v>
      </c>
      <c r="DI20" s="550" t="str">
        <f>IFERROR(INDEX('Price Point Data'!O:O,MATCH($B20,'Price Point Data'!$A:$A,0)),-99)</f>
        <v>Under $800 to $800 or more</v>
      </c>
      <c r="DJ20" s="551">
        <f>IFERROR(INDEX('Price Point Data'!P:P,MATCH($B20,'Price Point Data'!$A:$A,0)),-99)</f>
        <v>0.36363636363636365</v>
      </c>
      <c r="DK20" s="550">
        <f>IFERROR(INDEX('Price Point Data'!Q:Q,MATCH($B20,'Price Point Data'!$A:$A,0)),-99)</f>
        <v>22</v>
      </c>
      <c r="DL20" s="550" t="str">
        <f>IFERROR(INDEX('Price Point Data'!I:I,MATCH($B20,'Price Point Data'!$A:$A,0)),-99)</f>
        <v>Under $800</v>
      </c>
      <c r="DM20" s="551">
        <f>IFERROR(INDEX('Price Point Data'!J:J,MATCH($B20,'Price Point Data'!$A:$A,0)),-99)</f>
        <v>0.15384615384615385</v>
      </c>
      <c r="DN20" s="550">
        <f>IFERROR(INDEX('Price Point Data'!K:K,MATCH($B20,'Price Point Data'!$A:$A,0)),-99)</f>
        <v>13</v>
      </c>
      <c r="DO20" s="550" t="str">
        <f>IFERROR(INDEX('Price Point Data'!L:L,MATCH($B20,'Price Point Data'!$A:$A,0)),-99)</f>
        <v>No constraint</v>
      </c>
      <c r="DP20" s="550" t="str">
        <f>IFERROR(INDEX('Price Point Data'!M:M,MATCH($B20,'Price Point Data'!$A:$A,0)),-99)</f>
        <v>N/A</v>
      </c>
      <c r="DQ20" s="550" t="str">
        <f>IFERROR(INDEX('Price Point Data'!N:N,MATCH($B20,'Price Point Data'!$A:$A,0)),-99)</f>
        <v>N/A</v>
      </c>
      <c r="DR20" s="551" t="s">
        <v>343</v>
      </c>
      <c r="DS20" s="636" t="s">
        <v>188</v>
      </c>
      <c r="DT20" s="636" t="s">
        <v>188</v>
      </c>
      <c r="DU20" s="636" t="s">
        <v>188</v>
      </c>
      <c r="DV20" s="636" t="s">
        <v>188</v>
      </c>
      <c r="DW20" s="636" t="s">
        <v>188</v>
      </c>
      <c r="DX20" s="552">
        <v>41320</v>
      </c>
      <c r="DY20" s="636" t="s">
        <v>195</v>
      </c>
      <c r="DZ20" s="636" t="s">
        <v>188</v>
      </c>
      <c r="EA20" s="636" t="s">
        <v>188</v>
      </c>
      <c r="EB20" s="636" t="s">
        <v>188</v>
      </c>
      <c r="EC20" s="552">
        <v>39448</v>
      </c>
      <c r="ED20" s="636" t="s">
        <v>196</v>
      </c>
      <c r="EE20" s="636" t="s">
        <v>923</v>
      </c>
      <c r="EF20" s="552">
        <v>42370</v>
      </c>
      <c r="EG20" s="636" t="s">
        <v>196</v>
      </c>
      <c r="EH20" s="8">
        <v>54</v>
      </c>
      <c r="EI20" s="359"/>
    </row>
    <row r="21" spans="1:139" s="8" customFormat="1" x14ac:dyDescent="0.25">
      <c r="A21" s="16">
        <v>17</v>
      </c>
      <c r="B21" s="19" t="s">
        <v>10</v>
      </c>
      <c r="C21" s="19"/>
      <c r="D21" s="19" t="s">
        <v>77</v>
      </c>
      <c r="E21" s="19" t="s">
        <v>73</v>
      </c>
      <c r="F21" s="19" t="s">
        <v>8</v>
      </c>
      <c r="G21" s="19" t="s">
        <v>837</v>
      </c>
      <c r="H21" s="539">
        <v>0.58269199999999999</v>
      </c>
      <c r="I21" s="539">
        <v>0.67590187079030495</v>
      </c>
      <c r="J21" s="539">
        <v>0.69460800000000011</v>
      </c>
      <c r="K21" s="539">
        <v>0.76206924418829702</v>
      </c>
      <c r="L21" s="539">
        <v>0.68936399999999998</v>
      </c>
      <c r="M21" s="539">
        <v>0.56742400000000004</v>
      </c>
      <c r="N21" s="539">
        <v>0.68600000000000017</v>
      </c>
      <c r="O21" s="539">
        <v>0.71828100000000006</v>
      </c>
      <c r="P21" s="539">
        <v>0.76200000000000023</v>
      </c>
      <c r="Q21" s="539">
        <v>0.68191200000000007</v>
      </c>
      <c r="R21" s="539">
        <v>0.62798999999999994</v>
      </c>
      <c r="S21" s="539">
        <v>0.65500000000000014</v>
      </c>
      <c r="T21" s="539">
        <v>0.66600000000000004</v>
      </c>
      <c r="U21" s="539">
        <v>0.77400000000000002</v>
      </c>
      <c r="V21" s="539">
        <v>0.69962399999999991</v>
      </c>
      <c r="W21" s="539">
        <v>-99</v>
      </c>
      <c r="X21" s="539">
        <v>-99</v>
      </c>
      <c r="Y21" s="539">
        <v>-99</v>
      </c>
      <c r="Z21" s="539">
        <v>-99</v>
      </c>
      <c r="AA21" s="539">
        <v>-99</v>
      </c>
      <c r="AB21" s="539">
        <v>0.47713799999999995</v>
      </c>
      <c r="AC21" s="539">
        <v>0.70700000000000007</v>
      </c>
      <c r="AD21" s="539">
        <v>0.73036699999999999</v>
      </c>
      <c r="AE21" s="539">
        <v>0.71000000000000008</v>
      </c>
      <c r="AF21" s="539">
        <v>0.71694214876033069</v>
      </c>
      <c r="AG21" s="539">
        <v>-99</v>
      </c>
      <c r="AH21" s="540">
        <v>-99</v>
      </c>
      <c r="AI21" s="539">
        <v>-99</v>
      </c>
      <c r="AJ21" s="540">
        <v>-99</v>
      </c>
      <c r="AK21" s="539">
        <v>-99</v>
      </c>
      <c r="AL21" s="539">
        <v>-99</v>
      </c>
      <c r="AM21" s="540">
        <v>-99</v>
      </c>
      <c r="AN21" s="539">
        <v>-99</v>
      </c>
      <c r="AO21" s="540">
        <v>-99</v>
      </c>
      <c r="AP21" s="541">
        <v>-99</v>
      </c>
      <c r="AQ21" s="539">
        <v>-99</v>
      </c>
      <c r="AR21" s="540">
        <v>-99</v>
      </c>
      <c r="AS21" s="539">
        <v>-99</v>
      </c>
      <c r="AT21" s="540">
        <v>-99</v>
      </c>
      <c r="AU21" s="539">
        <v>-99</v>
      </c>
      <c r="AV21" s="540">
        <v>-99</v>
      </c>
      <c r="AW21" s="540">
        <v>-99</v>
      </c>
      <c r="AX21" s="540">
        <v>-99</v>
      </c>
      <c r="AY21" s="540">
        <v>-99</v>
      </c>
      <c r="AZ21" s="539">
        <v>-99</v>
      </c>
      <c r="BA21" s="539">
        <v>-99</v>
      </c>
      <c r="BB21" s="540">
        <v>-99</v>
      </c>
      <c r="BC21" s="539">
        <v>-99</v>
      </c>
      <c r="BD21" s="540">
        <v>-99</v>
      </c>
      <c r="BE21" s="541">
        <v>-99</v>
      </c>
      <c r="BF21" s="612"/>
      <c r="BG21" s="612"/>
      <c r="BH21" s="612">
        <v>-98</v>
      </c>
      <c r="BI21" s="636">
        <v>-98</v>
      </c>
      <c r="BJ21" s="636"/>
      <c r="BK21" s="555"/>
      <c r="BL21" s="617"/>
      <c r="BM21" s="545">
        <v>55</v>
      </c>
      <c r="BN21" s="612">
        <v>0</v>
      </c>
      <c r="BO21" s="555">
        <v>249</v>
      </c>
      <c r="BP21" s="623">
        <v>0</v>
      </c>
      <c r="BQ21" s="612" t="s">
        <v>625</v>
      </c>
      <c r="BR21" s="623" t="s">
        <v>659</v>
      </c>
      <c r="BS21" s="648" t="s">
        <v>188</v>
      </c>
      <c r="BT21" s="648" t="s">
        <v>188</v>
      </c>
      <c r="BU21" s="648" t="s">
        <v>188</v>
      </c>
      <c r="BV21" s="648" t="s">
        <v>188</v>
      </c>
      <c r="BW21" s="648" t="s">
        <v>188</v>
      </c>
      <c r="BX21" s="648" t="s">
        <v>188</v>
      </c>
      <c r="BY21" s="648" t="s">
        <v>188</v>
      </c>
      <c r="BZ21" s="648" t="s">
        <v>188</v>
      </c>
      <c r="CA21" s="648" t="s">
        <v>188</v>
      </c>
      <c r="CB21" s="648" t="s">
        <v>188</v>
      </c>
      <c r="CC21" s="597" t="s">
        <v>188</v>
      </c>
      <c r="CD21" s="659"/>
      <c r="CE21" s="659" t="s">
        <v>188</v>
      </c>
      <c r="CF21" s="659" t="s">
        <v>188</v>
      </c>
      <c r="CG21" s="659" t="s">
        <v>188</v>
      </c>
      <c r="CH21" s="659" t="s">
        <v>188</v>
      </c>
      <c r="CI21" s="659" t="s">
        <v>188</v>
      </c>
      <c r="CJ21" s="659" t="s">
        <v>188</v>
      </c>
      <c r="CK21" s="659" t="s">
        <v>188</v>
      </c>
      <c r="CL21" s="659" t="s">
        <v>188</v>
      </c>
      <c r="CM21" s="659" t="s">
        <v>188</v>
      </c>
      <c r="CN21" s="660" t="s">
        <v>188</v>
      </c>
      <c r="CO21" s="623" t="s">
        <v>188</v>
      </c>
      <c r="CP21" s="623" t="s">
        <v>188</v>
      </c>
      <c r="CQ21" s="623" t="s">
        <v>188</v>
      </c>
      <c r="CR21" s="623" t="s">
        <v>188</v>
      </c>
      <c r="CS21" s="623" t="s">
        <v>188</v>
      </c>
      <c r="CT21" s="623" t="s">
        <v>188</v>
      </c>
      <c r="CU21" s="623" t="s">
        <v>188</v>
      </c>
      <c r="CV21" s="623" t="s">
        <v>188</v>
      </c>
      <c r="CW21" s="623" t="s">
        <v>188</v>
      </c>
      <c r="CX21" s="623" t="s">
        <v>188</v>
      </c>
      <c r="CY21" s="623" t="s">
        <v>188</v>
      </c>
      <c r="CZ21" s="623" t="s">
        <v>188</v>
      </c>
      <c r="DA21" s="623" t="s">
        <v>188</v>
      </c>
      <c r="DB21" s="623" t="s">
        <v>188</v>
      </c>
      <c r="DC21" s="623" t="s">
        <v>188</v>
      </c>
      <c r="DD21" s="623" t="s">
        <v>188</v>
      </c>
      <c r="DE21" s="623" t="s">
        <v>188</v>
      </c>
      <c r="DF21" s="623" t="s">
        <v>188</v>
      </c>
      <c r="DG21" s="623" t="s">
        <v>188</v>
      </c>
      <c r="DH21" s="623" t="s">
        <v>188</v>
      </c>
      <c r="DI21" s="550">
        <f>IFERROR(INDEX('Price Point Data'!O:O,MATCH($B21,'Price Point Data'!$A:$A,0)),-99)</f>
        <v>-99</v>
      </c>
      <c r="DJ21" s="550">
        <f>IFERROR(INDEX('Price Point Data'!P:P,MATCH($B21,'Price Point Data'!$A:$A,0)),-99)</f>
        <v>-99</v>
      </c>
      <c r="DK21" s="550">
        <f>IFERROR(INDEX('Price Point Data'!Q:Q,MATCH($B21,'Price Point Data'!$A:$A,0)),-99)</f>
        <v>-99</v>
      </c>
      <c r="DL21" s="550">
        <f>IFERROR(INDEX('Price Point Data'!I:I,MATCH($B21,'Price Point Data'!$A:$A,0)),-99)</f>
        <v>-99</v>
      </c>
      <c r="DM21" s="550">
        <f>IFERROR(INDEX('Price Point Data'!J:J,MATCH($B21,'Price Point Data'!$A:$A,0)),-99)</f>
        <v>-99</v>
      </c>
      <c r="DN21" s="550">
        <f>IFERROR(INDEX('Price Point Data'!K:K,MATCH($B21,'Price Point Data'!$A:$A,0)),-99)</f>
        <v>-99</v>
      </c>
      <c r="DO21" s="550">
        <f>IFERROR(INDEX('Price Point Data'!L:L,MATCH($B21,'Price Point Data'!$A:$A,0)),-99)</f>
        <v>-99</v>
      </c>
      <c r="DP21" s="550">
        <f>IFERROR(INDEX('Price Point Data'!M:M,MATCH($B21,'Price Point Data'!$A:$A,0)),-99)</f>
        <v>-99</v>
      </c>
      <c r="DQ21" s="550">
        <f>IFERROR(INDEX('Price Point Data'!N:N,MATCH($B21,'Price Point Data'!$A:$A,0)),-99)</f>
        <v>-99</v>
      </c>
      <c r="DR21" s="550"/>
      <c r="DS21" s="636" t="s">
        <v>188</v>
      </c>
      <c r="DT21" s="636" t="s">
        <v>188</v>
      </c>
      <c r="DU21" s="636" t="s">
        <v>457</v>
      </c>
      <c r="DV21" s="552">
        <v>44197</v>
      </c>
      <c r="DW21" s="567" t="s">
        <v>536</v>
      </c>
      <c r="DX21" s="636" t="s">
        <v>188</v>
      </c>
      <c r="DY21" s="636" t="s">
        <v>188</v>
      </c>
      <c r="DZ21" s="636" t="s">
        <v>188</v>
      </c>
      <c r="EA21" s="636" t="s">
        <v>188</v>
      </c>
      <c r="EB21" s="636" t="s">
        <v>188</v>
      </c>
      <c r="EC21" s="636" t="s">
        <v>188</v>
      </c>
      <c r="ED21" s="636" t="s">
        <v>188</v>
      </c>
      <c r="EE21" s="636" t="s">
        <v>188</v>
      </c>
      <c r="EF21" s="636" t="s">
        <v>188</v>
      </c>
      <c r="EG21" s="636" t="s">
        <v>188</v>
      </c>
      <c r="EH21" s="8">
        <v>88</v>
      </c>
      <c r="EI21" s="359"/>
    </row>
    <row r="22" spans="1:139" s="8" customFormat="1" x14ac:dyDescent="0.25">
      <c r="A22" s="16">
        <v>18</v>
      </c>
      <c r="B22" s="19" t="s">
        <v>699</v>
      </c>
      <c r="C22" s="19"/>
      <c r="D22" s="19" t="s">
        <v>51</v>
      </c>
      <c r="E22" s="19" t="s">
        <v>73</v>
      </c>
      <c r="F22" s="19" t="s">
        <v>8</v>
      </c>
      <c r="G22" s="19" t="s">
        <v>837</v>
      </c>
      <c r="H22" s="539">
        <v>-99</v>
      </c>
      <c r="I22" s="539">
        <v>-98</v>
      </c>
      <c r="J22" s="539">
        <v>-99</v>
      </c>
      <c r="K22" s="539">
        <v>0.67522694191320654</v>
      </c>
      <c r="L22" s="539">
        <v>0.43874800000000003</v>
      </c>
      <c r="M22" s="539">
        <v>-99</v>
      </c>
      <c r="N22" s="539">
        <v>-98</v>
      </c>
      <c r="O22" s="539">
        <v>-99</v>
      </c>
      <c r="P22" s="539">
        <v>0.67878679720963009</v>
      </c>
      <c r="Q22" s="539">
        <v>0.38225999999999999</v>
      </c>
      <c r="R22" s="539">
        <v>-99</v>
      </c>
      <c r="S22" s="539">
        <v>-98</v>
      </c>
      <c r="T22" s="539">
        <v>-99</v>
      </c>
      <c r="U22" s="539">
        <v>0.67160412268503855</v>
      </c>
      <c r="V22" s="539">
        <v>0.47302500000000003</v>
      </c>
      <c r="W22" s="539">
        <v>-99</v>
      </c>
      <c r="X22" s="539">
        <v>-98</v>
      </c>
      <c r="Y22" s="539">
        <v>-99</v>
      </c>
      <c r="Z22" s="539">
        <v>-99</v>
      </c>
      <c r="AA22" s="539">
        <v>-99</v>
      </c>
      <c r="AB22" s="539">
        <v>-99</v>
      </c>
      <c r="AC22" s="539">
        <v>-98</v>
      </c>
      <c r="AD22" s="539">
        <v>-99</v>
      </c>
      <c r="AE22" s="539">
        <v>0.67469113571493022</v>
      </c>
      <c r="AF22" s="539">
        <v>0.53016000000000008</v>
      </c>
      <c r="AG22" s="539">
        <v>-99</v>
      </c>
      <c r="AH22" s="540">
        <v>-98</v>
      </c>
      <c r="AI22" s="539">
        <v>-99</v>
      </c>
      <c r="AJ22" s="540">
        <v>0.85004380227807019</v>
      </c>
      <c r="AK22" s="539">
        <v>-99</v>
      </c>
      <c r="AL22" s="539">
        <v>-99</v>
      </c>
      <c r="AM22" s="540">
        <v>-98</v>
      </c>
      <c r="AN22" s="539">
        <v>-99</v>
      </c>
      <c r="AO22" s="540">
        <v>0.85487413793587119</v>
      </c>
      <c r="AP22" s="541">
        <v>-99</v>
      </c>
      <c r="AQ22" s="539">
        <v>-99</v>
      </c>
      <c r="AR22" s="540">
        <v>-98</v>
      </c>
      <c r="AS22" s="539">
        <v>-99</v>
      </c>
      <c r="AT22" s="540">
        <v>0.84856312892918118</v>
      </c>
      <c r="AU22" s="539">
        <v>-99</v>
      </c>
      <c r="AV22" s="540">
        <v>-99</v>
      </c>
      <c r="AW22" s="540">
        <v>-98</v>
      </c>
      <c r="AX22" s="540">
        <v>-99</v>
      </c>
      <c r="AY22" s="540">
        <v>-99</v>
      </c>
      <c r="AZ22" s="539">
        <v>-99</v>
      </c>
      <c r="BA22" s="539">
        <v>-99</v>
      </c>
      <c r="BB22" s="540">
        <v>-98</v>
      </c>
      <c r="BC22" s="539">
        <v>-99</v>
      </c>
      <c r="BD22" s="540">
        <v>0.83710858966677537</v>
      </c>
      <c r="BE22" s="541">
        <v>-99</v>
      </c>
      <c r="BF22" s="542"/>
      <c r="BG22" s="541"/>
      <c r="BH22" s="542">
        <v>0.25</v>
      </c>
      <c r="BI22" s="636">
        <v>183</v>
      </c>
      <c r="BJ22" s="636"/>
      <c r="BK22" s="624">
        <f>220-42.9</f>
        <v>177.1</v>
      </c>
      <c r="BL22" s="617">
        <v>0</v>
      </c>
      <c r="BM22" s="639">
        <v>66</v>
      </c>
      <c r="BN22" s="612">
        <v>0</v>
      </c>
      <c r="BO22" s="624"/>
      <c r="BP22" s="623"/>
      <c r="BQ22" s="563"/>
      <c r="BR22" s="624" t="s">
        <v>235</v>
      </c>
      <c r="BS22" s="648">
        <v>106.24095160323077</v>
      </c>
      <c r="BT22" s="648">
        <v>1.440296685461411</v>
      </c>
      <c r="BU22" s="648">
        <v>106.00141037885901</v>
      </c>
      <c r="BV22" s="648">
        <v>2.7519999972479998</v>
      </c>
      <c r="BW22" s="648">
        <v>106.938510324693</v>
      </c>
      <c r="BX22" s="648">
        <v>2.3856343493763301</v>
      </c>
      <c r="BY22" s="648" t="s">
        <v>188</v>
      </c>
      <c r="BZ22" s="648" t="s">
        <v>188</v>
      </c>
      <c r="CA22" s="648">
        <v>104.63909444358001</v>
      </c>
      <c r="CB22" s="648">
        <v>2.5158921107032599</v>
      </c>
      <c r="CC22" s="597" t="s">
        <v>988</v>
      </c>
      <c r="CD22" s="748"/>
      <c r="CE22" s="749">
        <v>532705861.22803903</v>
      </c>
      <c r="CF22" s="748">
        <v>7835739.8954117401</v>
      </c>
      <c r="CG22" s="748">
        <v>236955211.24013001</v>
      </c>
      <c r="CH22" s="748">
        <v>6151811.9273136696</v>
      </c>
      <c r="CI22" s="748">
        <v>225713983.09731299</v>
      </c>
      <c r="CJ22" s="748" t="s">
        <v>188</v>
      </c>
      <c r="CK22" s="748" t="s">
        <v>188</v>
      </c>
      <c r="CL22" s="748">
        <v>0</v>
      </c>
      <c r="CM22" s="748">
        <v>70036666.890595302</v>
      </c>
      <c r="CN22" s="752">
        <v>1683927.96809807</v>
      </c>
      <c r="CO22" s="636" t="s">
        <v>188</v>
      </c>
      <c r="CP22" s="636" t="s">
        <v>188</v>
      </c>
      <c r="CQ22" s="636" t="s">
        <v>188</v>
      </c>
      <c r="CR22" s="636" t="s">
        <v>188</v>
      </c>
      <c r="CS22" s="636" t="s">
        <v>188</v>
      </c>
      <c r="CT22" s="636" t="s">
        <v>188</v>
      </c>
      <c r="CU22" s="644" t="s">
        <v>929</v>
      </c>
      <c r="CV22" s="624">
        <v>127</v>
      </c>
      <c r="CW22" s="624">
        <v>0</v>
      </c>
      <c r="CX22" s="624">
        <f>CV22-CZ22</f>
        <v>46</v>
      </c>
      <c r="CY22" s="624">
        <v>0</v>
      </c>
      <c r="CZ22" s="624">
        <v>81</v>
      </c>
      <c r="DA22" s="624">
        <v>0</v>
      </c>
      <c r="DB22" s="645" t="s">
        <v>927</v>
      </c>
      <c r="DC22" s="645" t="s">
        <v>188</v>
      </c>
      <c r="DD22" s="645" t="s">
        <v>188</v>
      </c>
      <c r="DE22" s="645">
        <v>50</v>
      </c>
      <c r="DF22" s="645">
        <v>0</v>
      </c>
      <c r="DG22" s="665" t="s">
        <v>188</v>
      </c>
      <c r="DH22" s="665">
        <v>0.15429999999999999</v>
      </c>
      <c r="DI22" s="550" t="str">
        <f>IFERROR(INDEX('Price Point Data'!O:O,MATCH($B22,'Price Point Data'!$A:$A,0)),-99)</f>
        <v>Under $250 to $1000 or more</v>
      </c>
      <c r="DJ22" s="551">
        <f>IFERROR(INDEX('Price Point Data'!P:P,MATCH($B22,'Price Point Data'!$A:$A,0)),-99)</f>
        <v>0.21782178217821782</v>
      </c>
      <c r="DK22" s="550">
        <f>IFERROR(INDEX('Price Point Data'!Q:Q,MATCH($B22,'Price Point Data'!$A:$A,0)),-99)</f>
        <v>101</v>
      </c>
      <c r="DL22" s="550" t="str">
        <f>IFERROR(INDEX('Price Point Data'!I:I,MATCH($B22,'Price Point Data'!$A:$A,0)),-99)</f>
        <v>No constraint</v>
      </c>
      <c r="DM22" s="550" t="str">
        <f>IFERROR(INDEX('Price Point Data'!J:J,MATCH($B22,'Price Point Data'!$A:$A,0)),-99)</f>
        <v>N/A</v>
      </c>
      <c r="DN22" s="550" t="str">
        <f>IFERROR(INDEX('Price Point Data'!K:K,MATCH($B22,'Price Point Data'!$A:$A,0)),-99)</f>
        <v>N/A</v>
      </c>
      <c r="DO22" s="550" t="str">
        <f>IFERROR(INDEX('Price Point Data'!L:L,MATCH($B22,'Price Point Data'!$A:$A,0)),-99)</f>
        <v>$1000 or more</v>
      </c>
      <c r="DP22" s="551">
        <f>IFERROR(INDEX('Price Point Data'!M:M,MATCH($B22,'Price Point Data'!$A:$A,0)),-99)</f>
        <v>0</v>
      </c>
      <c r="DQ22" s="550">
        <f>IFERROR(INDEX('Price Point Data'!N:N,MATCH($B22,'Price Point Data'!$A:$A,0)),-99)</f>
        <v>6</v>
      </c>
      <c r="DR22" s="551"/>
      <c r="DS22" s="636" t="s">
        <v>188</v>
      </c>
      <c r="DT22" s="636" t="s">
        <v>188</v>
      </c>
      <c r="DU22" s="636" t="s">
        <v>188</v>
      </c>
      <c r="DV22" s="636" t="s">
        <v>188</v>
      </c>
      <c r="DW22" s="636" t="s">
        <v>188</v>
      </c>
      <c r="DX22" s="552">
        <v>41792</v>
      </c>
      <c r="DY22" s="636" t="s">
        <v>202</v>
      </c>
      <c r="DZ22" s="636" t="s">
        <v>188</v>
      </c>
      <c r="EA22" s="636" t="s">
        <v>188</v>
      </c>
      <c r="EB22" s="636" t="s">
        <v>188</v>
      </c>
      <c r="EC22" s="636" t="s">
        <v>188</v>
      </c>
      <c r="ED22" s="636" t="s">
        <v>188</v>
      </c>
      <c r="EE22" s="636" t="s">
        <v>937</v>
      </c>
      <c r="EF22" s="552">
        <v>42370</v>
      </c>
      <c r="EG22" s="636" t="s">
        <v>152</v>
      </c>
      <c r="EH22" s="8">
        <v>107</v>
      </c>
      <c r="EI22" s="359"/>
    </row>
    <row r="23" spans="1:139" x14ac:dyDescent="0.25">
      <c r="A23" s="16">
        <v>19</v>
      </c>
      <c r="B23" s="19" t="s">
        <v>703</v>
      </c>
      <c r="C23" s="19"/>
      <c r="D23" s="19" t="s">
        <v>51</v>
      </c>
      <c r="E23" s="19" t="s">
        <v>73</v>
      </c>
      <c r="F23" s="19" t="s">
        <v>8</v>
      </c>
      <c r="G23" s="19" t="s">
        <v>837</v>
      </c>
      <c r="H23" s="539">
        <v>-99</v>
      </c>
      <c r="I23" s="539">
        <v>-99</v>
      </c>
      <c r="J23" s="539">
        <v>-99</v>
      </c>
      <c r="K23" s="539">
        <v>-99</v>
      </c>
      <c r="L23" s="539">
        <v>-99</v>
      </c>
      <c r="M23" s="539">
        <v>-99</v>
      </c>
      <c r="N23" s="539">
        <v>-99</v>
      </c>
      <c r="O23" s="539">
        <v>-99</v>
      </c>
      <c r="P23" s="539">
        <v>-99</v>
      </c>
      <c r="Q23" s="539">
        <v>-99</v>
      </c>
      <c r="R23" s="539">
        <v>-99</v>
      </c>
      <c r="S23" s="539">
        <v>-99</v>
      </c>
      <c r="T23" s="539">
        <v>-99</v>
      </c>
      <c r="U23" s="539">
        <v>-99</v>
      </c>
      <c r="V23" s="539">
        <v>-99</v>
      </c>
      <c r="W23" s="539">
        <v>-99</v>
      </c>
      <c r="X23" s="539">
        <v>-99</v>
      </c>
      <c r="Y23" s="539">
        <v>-99</v>
      </c>
      <c r="Z23" s="539">
        <v>-99</v>
      </c>
      <c r="AA23" s="539">
        <v>-99</v>
      </c>
      <c r="AB23" s="539">
        <v>-99</v>
      </c>
      <c r="AC23" s="539">
        <v>-99</v>
      </c>
      <c r="AD23" s="539">
        <v>-99</v>
      </c>
      <c r="AE23" s="539">
        <v>-99</v>
      </c>
      <c r="AF23" s="539">
        <v>-99</v>
      </c>
      <c r="AG23" s="539">
        <v>-99</v>
      </c>
      <c r="AH23" s="540">
        <v>-99</v>
      </c>
      <c r="AI23" s="539">
        <v>-99</v>
      </c>
      <c r="AJ23" s="540">
        <v>-99</v>
      </c>
      <c r="AK23" s="539">
        <v>-99</v>
      </c>
      <c r="AL23" s="539">
        <v>-99</v>
      </c>
      <c r="AM23" s="540">
        <v>-99</v>
      </c>
      <c r="AN23" s="539">
        <v>-99</v>
      </c>
      <c r="AO23" s="540">
        <v>-99</v>
      </c>
      <c r="AP23" s="541">
        <v>-99</v>
      </c>
      <c r="AQ23" s="539">
        <v>-99</v>
      </c>
      <c r="AR23" s="540">
        <v>-99</v>
      </c>
      <c r="AS23" s="539">
        <v>-99</v>
      </c>
      <c r="AT23" s="540">
        <v>-99</v>
      </c>
      <c r="AU23" s="539">
        <v>-99</v>
      </c>
      <c r="AV23" s="540">
        <v>-99</v>
      </c>
      <c r="AW23" s="540">
        <v>-99</v>
      </c>
      <c r="AX23" s="540">
        <v>-99</v>
      </c>
      <c r="AY23" s="540">
        <v>-99</v>
      </c>
      <c r="AZ23" s="539">
        <v>-99</v>
      </c>
      <c r="BA23" s="539">
        <v>-99</v>
      </c>
      <c r="BB23" s="540">
        <v>-99</v>
      </c>
      <c r="BC23" s="539">
        <v>-99</v>
      </c>
      <c r="BD23" s="540">
        <v>-99</v>
      </c>
      <c r="BE23" s="541">
        <v>-99</v>
      </c>
      <c r="BF23" s="542"/>
      <c r="BG23" s="612"/>
      <c r="BH23" s="542">
        <v>0.82</v>
      </c>
      <c r="BI23" s="636">
        <v>70</v>
      </c>
      <c r="BJ23" s="636"/>
      <c r="BK23" s="543">
        <f>96.2-37.7</f>
        <v>58.5</v>
      </c>
      <c r="BL23" s="617">
        <v>0</v>
      </c>
      <c r="BM23" s="553">
        <v>9</v>
      </c>
      <c r="BN23" s="553">
        <v>0</v>
      </c>
      <c r="BO23" s="543"/>
      <c r="BP23" s="544"/>
      <c r="BQ23" s="563"/>
      <c r="BR23" s="638" t="s">
        <v>838</v>
      </c>
      <c r="BS23" s="648">
        <v>21.043970129418529</v>
      </c>
      <c r="BT23" s="648">
        <v>0.27032563610671023</v>
      </c>
      <c r="BU23" s="648">
        <v>21.043970122934098</v>
      </c>
      <c r="BV23" s="648">
        <v>0.51149048791777996</v>
      </c>
      <c r="BW23" s="648">
        <v>21.0439701439781</v>
      </c>
      <c r="BX23" s="648">
        <v>0.49267009242783899</v>
      </c>
      <c r="BY23" s="648" t="s">
        <v>188</v>
      </c>
      <c r="BZ23" s="648" t="s">
        <v>188</v>
      </c>
      <c r="CA23" s="648">
        <v>21.0439701018901</v>
      </c>
      <c r="CB23" s="648">
        <v>0.493664006599078</v>
      </c>
      <c r="CC23" s="597" t="s">
        <v>988</v>
      </c>
      <c r="CD23" s="748"/>
      <c r="CE23" s="749">
        <v>53396357.2444622</v>
      </c>
      <c r="CF23" s="748">
        <v>744724.07232684596</v>
      </c>
      <c r="CG23" s="748">
        <v>23710998.727088101</v>
      </c>
      <c r="CH23" s="748">
        <v>576314.74655625399</v>
      </c>
      <c r="CI23" s="748">
        <v>22506385.027265001</v>
      </c>
      <c r="CJ23" s="748" t="s">
        <v>188</v>
      </c>
      <c r="CK23" s="748" t="s">
        <v>188</v>
      </c>
      <c r="CL23" s="748">
        <v>0</v>
      </c>
      <c r="CM23" s="748">
        <v>7178973.49010906</v>
      </c>
      <c r="CN23" s="752">
        <v>168409.32577059101</v>
      </c>
      <c r="CO23" s="636" t="s">
        <v>188</v>
      </c>
      <c r="CP23" s="636" t="s">
        <v>188</v>
      </c>
      <c r="CQ23" s="636" t="s">
        <v>188</v>
      </c>
      <c r="CR23" s="636" t="s">
        <v>188</v>
      </c>
      <c r="CS23" s="636" t="s">
        <v>188</v>
      </c>
      <c r="CT23" s="636" t="s">
        <v>188</v>
      </c>
      <c r="CU23" s="644" t="s">
        <v>929</v>
      </c>
      <c r="CV23" s="638">
        <v>51</v>
      </c>
      <c r="CW23" s="638">
        <v>0</v>
      </c>
      <c r="CX23" s="624">
        <f>CV23-CZ23</f>
        <v>26.1</v>
      </c>
      <c r="CY23" s="638">
        <v>0</v>
      </c>
      <c r="CZ23" s="638">
        <v>24.9</v>
      </c>
      <c r="DA23" s="638">
        <v>0</v>
      </c>
      <c r="DB23" s="645" t="s">
        <v>926</v>
      </c>
      <c r="DC23" s="645" t="s">
        <v>188</v>
      </c>
      <c r="DD23" s="645" t="s">
        <v>188</v>
      </c>
      <c r="DE23" s="645">
        <v>17</v>
      </c>
      <c r="DF23" s="645">
        <v>0</v>
      </c>
      <c r="DG23" s="665" t="s">
        <v>188</v>
      </c>
      <c r="DH23" s="665">
        <v>0.15429999999999999</v>
      </c>
      <c r="DI23" s="550" t="str">
        <f>IFERROR(INDEX('Price Point Data'!O:O,MATCH($B23,'Price Point Data'!$A:$A,0)),-99)</f>
        <v>$50 to $750 or more</v>
      </c>
      <c r="DJ23" s="551">
        <f>IFERROR(INDEX('Price Point Data'!P:P,MATCH($B23,'Price Point Data'!$A:$A,0)),-99)</f>
        <v>0.49816849816849818</v>
      </c>
      <c r="DK23" s="550">
        <f>IFERROR(INDEX('Price Point Data'!Q:Q,MATCH($B23,'Price Point Data'!$A:$A,0)),-99)</f>
        <v>273</v>
      </c>
      <c r="DL23" s="550" t="str">
        <f>IFERROR(INDEX('Price Point Data'!I:I,MATCH($B23,'Price Point Data'!$A:$A,0)),-99)</f>
        <v>No constraint</v>
      </c>
      <c r="DM23" s="550" t="str">
        <f>IFERROR(INDEX('Price Point Data'!J:J,MATCH($B23,'Price Point Data'!$A:$A,0)),-99)</f>
        <v>N/A</v>
      </c>
      <c r="DN23" s="550" t="str">
        <f>IFERROR(INDEX('Price Point Data'!K:K,MATCH($B23,'Price Point Data'!$A:$A,0)),-99)</f>
        <v>N/A</v>
      </c>
      <c r="DO23" s="550" t="str">
        <f>IFERROR(INDEX('Price Point Data'!L:L,MATCH($B23,'Price Point Data'!$A:$A,0)),-99)</f>
        <v>No constraint</v>
      </c>
      <c r="DP23" s="550" t="str">
        <f>IFERROR(INDEX('Price Point Data'!M:M,MATCH($B23,'Price Point Data'!$A:$A,0)),-99)</f>
        <v>N/A</v>
      </c>
      <c r="DQ23" s="550" t="str">
        <f>IFERROR(INDEX('Price Point Data'!N:N,MATCH($B23,'Price Point Data'!$A:$A,0)),-99)</f>
        <v>N/A</v>
      </c>
      <c r="DR23" s="551"/>
      <c r="DS23" s="636" t="s">
        <v>188</v>
      </c>
      <c r="DT23" s="543" t="s">
        <v>188</v>
      </c>
      <c r="DU23" s="543" t="s">
        <v>188</v>
      </c>
      <c r="DV23" s="636" t="s">
        <v>188</v>
      </c>
      <c r="DW23" s="543" t="s">
        <v>188</v>
      </c>
      <c r="DX23" s="562">
        <v>41426</v>
      </c>
      <c r="DY23" s="638" t="s">
        <v>204</v>
      </c>
      <c r="DZ23" s="638" t="s">
        <v>458</v>
      </c>
      <c r="EA23" s="562">
        <v>42248</v>
      </c>
      <c r="EB23" s="638" t="s">
        <v>450</v>
      </c>
      <c r="EC23" s="638" t="s">
        <v>188</v>
      </c>
      <c r="ED23" s="638" t="s">
        <v>188</v>
      </c>
      <c r="EE23" s="636" t="s">
        <v>937</v>
      </c>
      <c r="EF23" s="638" t="s">
        <v>152</v>
      </c>
      <c r="EG23" s="638" t="s">
        <v>152</v>
      </c>
      <c r="EH23" s="8">
        <v>104</v>
      </c>
    </row>
    <row r="24" spans="1:139" s="14" customFormat="1" x14ac:dyDescent="0.25">
      <c r="A24" s="16">
        <v>20</v>
      </c>
      <c r="B24" s="18" t="s">
        <v>72</v>
      </c>
      <c r="C24" s="18" t="s">
        <v>840</v>
      </c>
      <c r="D24" s="19" t="s">
        <v>53</v>
      </c>
      <c r="E24" s="19" t="s">
        <v>73</v>
      </c>
      <c r="F24" s="19" t="s">
        <v>8</v>
      </c>
      <c r="G24" s="19" t="s">
        <v>837</v>
      </c>
      <c r="H24" s="539">
        <v>7.2999999999999995E-2</v>
      </c>
      <c r="I24" s="539">
        <v>8.1475309560136114E-2</v>
      </c>
      <c r="J24" s="539">
        <v>0.06</v>
      </c>
      <c r="K24" s="539">
        <v>8.8999273039475593E-2</v>
      </c>
      <c r="L24" s="539">
        <v>7.3999999999999996E-2</v>
      </c>
      <c r="M24" s="539">
        <v>6.7000000000000004E-2</v>
      </c>
      <c r="N24" s="539">
        <v>0.10299999999999999</v>
      </c>
      <c r="O24" s="539">
        <v>7.0000000000000007E-2</v>
      </c>
      <c r="P24" s="539">
        <v>0.109</v>
      </c>
      <c r="Q24" s="539">
        <v>7.2999999999999995E-2</v>
      </c>
      <c r="R24" s="539">
        <v>7.1999999999999995E-2</v>
      </c>
      <c r="S24" s="539">
        <v>5.6000000000000001E-2</v>
      </c>
      <c r="T24" s="539">
        <v>5.8999999999999997E-2</v>
      </c>
      <c r="U24" s="539">
        <v>7.0000000000000007E-2</v>
      </c>
      <c r="V24" s="539">
        <v>7.8E-2</v>
      </c>
      <c r="W24" s="539">
        <v>-99</v>
      </c>
      <c r="X24" s="539">
        <v>-99</v>
      </c>
      <c r="Y24" s="539">
        <v>-99</v>
      </c>
      <c r="Z24" s="539">
        <v>-99</v>
      </c>
      <c r="AA24" s="539">
        <v>-99</v>
      </c>
      <c r="AB24" s="539">
        <v>0.108</v>
      </c>
      <c r="AC24" s="539">
        <v>9.1999999999999998E-2</v>
      </c>
      <c r="AD24" s="539">
        <v>2.3E-2</v>
      </c>
      <c r="AE24" s="539">
        <v>8.2000000000000003E-2</v>
      </c>
      <c r="AF24" s="539">
        <v>6.9000000000000006E-2</v>
      </c>
      <c r="AG24" s="539">
        <v>-99</v>
      </c>
      <c r="AH24" s="540">
        <v>-99</v>
      </c>
      <c r="AI24" s="539">
        <v>-99</v>
      </c>
      <c r="AJ24" s="540">
        <v>-99</v>
      </c>
      <c r="AK24" s="539">
        <v>-99</v>
      </c>
      <c r="AL24" s="539">
        <v>-99</v>
      </c>
      <c r="AM24" s="540">
        <v>-99</v>
      </c>
      <c r="AN24" s="539">
        <v>-99</v>
      </c>
      <c r="AO24" s="540">
        <v>-99</v>
      </c>
      <c r="AP24" s="541">
        <v>-99</v>
      </c>
      <c r="AQ24" s="539">
        <v>-99</v>
      </c>
      <c r="AR24" s="540">
        <v>-99</v>
      </c>
      <c r="AS24" s="539">
        <v>-99</v>
      </c>
      <c r="AT24" s="540">
        <v>-99</v>
      </c>
      <c r="AU24" s="539">
        <v>-99</v>
      </c>
      <c r="AV24" s="540">
        <v>-99</v>
      </c>
      <c r="AW24" s="540">
        <v>-99</v>
      </c>
      <c r="AX24" s="540">
        <v>-99</v>
      </c>
      <c r="AY24" s="540">
        <v>-99</v>
      </c>
      <c r="AZ24" s="539">
        <v>-99</v>
      </c>
      <c r="BA24" s="539">
        <v>-99</v>
      </c>
      <c r="BB24" s="540">
        <v>-99</v>
      </c>
      <c r="BC24" s="539">
        <v>-99</v>
      </c>
      <c r="BD24" s="540">
        <v>-99</v>
      </c>
      <c r="BE24" s="541">
        <v>-99</v>
      </c>
      <c r="BF24" s="569">
        <v>5.3999999999999999E-2</v>
      </c>
      <c r="BG24" s="569">
        <v>0.06</v>
      </c>
      <c r="BH24" s="569">
        <v>0.01</v>
      </c>
      <c r="BI24" s="640">
        <v>-98</v>
      </c>
      <c r="BJ24" s="640"/>
      <c r="BK24" s="617">
        <f>4878-2195</f>
        <v>2683</v>
      </c>
      <c r="BL24" s="617">
        <v>0</v>
      </c>
      <c r="BM24" s="617">
        <v>2700</v>
      </c>
      <c r="BN24" s="617">
        <v>0</v>
      </c>
      <c r="BO24" s="618"/>
      <c r="BP24" s="544"/>
      <c r="BQ24" s="563"/>
      <c r="BR24" s="573" t="s">
        <v>637</v>
      </c>
      <c r="BS24" s="648">
        <v>1139.4449239663506</v>
      </c>
      <c r="BT24" s="648">
        <v>0</v>
      </c>
      <c r="BU24" s="648">
        <v>1143.9251474801399</v>
      </c>
      <c r="BV24" s="648">
        <v>0</v>
      </c>
      <c r="BW24" s="648">
        <v>1133.9652356179199</v>
      </c>
      <c r="BX24" s="648">
        <v>0</v>
      </c>
      <c r="BY24" s="648" t="s">
        <v>188</v>
      </c>
      <c r="BZ24" s="648" t="s">
        <v>188</v>
      </c>
      <c r="CA24" s="648">
        <v>1141.69191589764</v>
      </c>
      <c r="CB24" s="648">
        <v>0</v>
      </c>
      <c r="CC24" s="597" t="s">
        <v>988</v>
      </c>
      <c r="CD24" s="748"/>
      <c r="CE24" s="749">
        <v>157412636.60087502</v>
      </c>
      <c r="CF24" s="748">
        <v>0</v>
      </c>
      <c r="CG24" s="748">
        <v>71455457.0991133</v>
      </c>
      <c r="CH24" s="748">
        <v>0</v>
      </c>
      <c r="CI24" s="748">
        <v>65241952.329666696</v>
      </c>
      <c r="CJ24" s="748" t="s">
        <v>188</v>
      </c>
      <c r="CK24" s="748" t="s">
        <v>188</v>
      </c>
      <c r="CL24" s="748">
        <v>0</v>
      </c>
      <c r="CM24" s="748">
        <v>20715227.17209509</v>
      </c>
      <c r="CN24" s="752">
        <v>0</v>
      </c>
      <c r="CO24" s="623" t="s">
        <v>188</v>
      </c>
      <c r="CP24" s="623" t="s">
        <v>188</v>
      </c>
      <c r="CQ24" s="623" t="s">
        <v>188</v>
      </c>
      <c r="CR24" s="623" t="s">
        <v>188</v>
      </c>
      <c r="CS24" s="623" t="s">
        <v>188</v>
      </c>
      <c r="CT24" s="623" t="s">
        <v>188</v>
      </c>
      <c r="CU24" s="623" t="s">
        <v>188</v>
      </c>
      <c r="CV24" s="623" t="s">
        <v>188</v>
      </c>
      <c r="CW24" s="623" t="s">
        <v>188</v>
      </c>
      <c r="CX24" s="623" t="s">
        <v>188</v>
      </c>
      <c r="CY24" s="623" t="s">
        <v>188</v>
      </c>
      <c r="CZ24" s="623" t="s">
        <v>188</v>
      </c>
      <c r="DA24" s="623" t="s">
        <v>188</v>
      </c>
      <c r="DB24" s="623" t="s">
        <v>188</v>
      </c>
      <c r="DC24" s="623" t="s">
        <v>188</v>
      </c>
      <c r="DD24" s="623" t="s">
        <v>188</v>
      </c>
      <c r="DE24" s="623" t="s">
        <v>188</v>
      </c>
      <c r="DF24" s="623" t="s">
        <v>188</v>
      </c>
      <c r="DG24" s="623" t="s">
        <v>188</v>
      </c>
      <c r="DH24" s="623" t="s">
        <v>188</v>
      </c>
      <c r="DI24" s="550" t="str">
        <f>IFERROR(INDEX('Price Point Data'!O:O,MATCH($B24,'Price Point Data'!$A:$A,0)),-99)</f>
        <v>Under $300 to $700 or more</v>
      </c>
      <c r="DJ24" s="551">
        <f>IFERROR(INDEX('Price Point Data'!P:P,MATCH($B24,'Price Point Data'!$A:$A,0)),-99)</f>
        <v>5.2631578947368418E-2</v>
      </c>
      <c r="DK24" s="550">
        <f>IFERROR(INDEX('Price Point Data'!Q:Q,MATCH($B24,'Price Point Data'!$A:$A,0)),-99)</f>
        <v>19</v>
      </c>
      <c r="DL24" s="550" t="str">
        <f>IFERROR(INDEX('Price Point Data'!I:I,MATCH($B24,'Price Point Data'!$A:$A,0)),-99)</f>
        <v>Under $700</v>
      </c>
      <c r="DM24" s="551">
        <f>IFERROR(INDEX('Price Point Data'!J:J,MATCH($B24,'Price Point Data'!$A:$A,0)),-99)</f>
        <v>0</v>
      </c>
      <c r="DN24" s="550">
        <f>IFERROR(INDEX('Price Point Data'!K:K,MATCH($B24,'Price Point Data'!$A:$A,0)),-99)</f>
        <v>18</v>
      </c>
      <c r="DO24" s="550" t="str">
        <f>IFERROR(INDEX('Price Point Data'!L:L,MATCH($B24,'Price Point Data'!$A:$A,0)),-99)</f>
        <v>No constraint</v>
      </c>
      <c r="DP24" s="550" t="str">
        <f>IFERROR(INDEX('Price Point Data'!M:M,MATCH($B24,'Price Point Data'!$A:$A,0)),-99)</f>
        <v>N/A</v>
      </c>
      <c r="DQ24" s="550" t="str">
        <f>IFERROR(INDEX('Price Point Data'!N:N,MATCH($B24,'Price Point Data'!$A:$A,0)),-99)</f>
        <v>N/A</v>
      </c>
      <c r="DR24" s="574" t="s">
        <v>808</v>
      </c>
      <c r="DS24" s="575">
        <v>36908</v>
      </c>
      <c r="DT24" s="640" t="s">
        <v>203</v>
      </c>
      <c r="DU24" s="640" t="s">
        <v>457</v>
      </c>
      <c r="DV24" s="575">
        <v>42110</v>
      </c>
      <c r="DW24" s="640" t="s">
        <v>674</v>
      </c>
      <c r="DX24" s="562">
        <v>41456</v>
      </c>
      <c r="DY24" s="638" t="s">
        <v>207</v>
      </c>
      <c r="DZ24" s="638" t="s">
        <v>458</v>
      </c>
      <c r="EA24" s="562">
        <v>42110</v>
      </c>
      <c r="EB24" s="638" t="s">
        <v>671</v>
      </c>
      <c r="EC24" s="562" t="s">
        <v>191</v>
      </c>
      <c r="ED24" s="638" t="s">
        <v>191</v>
      </c>
      <c r="EE24" s="622" t="s">
        <v>188</v>
      </c>
      <c r="EF24" s="638" t="s">
        <v>188</v>
      </c>
      <c r="EG24" s="638" t="s">
        <v>188</v>
      </c>
      <c r="EH24" s="8">
        <v>76</v>
      </c>
      <c r="EI24" s="360"/>
    </row>
    <row r="25" spans="1:139" s="14" customFormat="1" x14ac:dyDescent="0.25">
      <c r="A25" s="16">
        <v>21</v>
      </c>
      <c r="B25" s="19" t="s">
        <v>71</v>
      </c>
      <c r="C25" s="19" t="s">
        <v>841</v>
      </c>
      <c r="D25" s="19" t="s">
        <v>53</v>
      </c>
      <c r="E25" s="19" t="s">
        <v>73</v>
      </c>
      <c r="F25" s="19" t="s">
        <v>8</v>
      </c>
      <c r="G25" s="19" t="s">
        <v>6</v>
      </c>
      <c r="H25" s="539">
        <v>0.89800000000000002</v>
      </c>
      <c r="I25" s="539">
        <v>0.80796419319027146</v>
      </c>
      <c r="J25" s="539">
        <v>0.89300000000000002</v>
      </c>
      <c r="K25" s="539">
        <v>0.8415056712360397</v>
      </c>
      <c r="L25" s="539">
        <v>0.88200000000000001</v>
      </c>
      <c r="M25" s="539">
        <v>0.88600000000000001</v>
      </c>
      <c r="N25" s="539">
        <v>0.81699999999999995</v>
      </c>
      <c r="O25" s="539">
        <v>0.85099999999999998</v>
      </c>
      <c r="P25" s="539">
        <v>0.83099999999999996</v>
      </c>
      <c r="Q25" s="539">
        <v>0.98199999999999998</v>
      </c>
      <c r="R25" s="539">
        <v>-99</v>
      </c>
      <c r="S25" s="539">
        <v>-99</v>
      </c>
      <c r="T25" s="539">
        <v>-99</v>
      </c>
      <c r="U25" s="539">
        <v>-99</v>
      </c>
      <c r="V25" s="539">
        <v>-99</v>
      </c>
      <c r="W25" s="539">
        <v>-99</v>
      </c>
      <c r="X25" s="539">
        <v>0.79800000000000004</v>
      </c>
      <c r="Y25" s="539">
        <v>-99</v>
      </c>
      <c r="Z25" s="539">
        <v>0.85399999999999998</v>
      </c>
      <c r="AA25" s="539">
        <v>0.98899999999999999</v>
      </c>
      <c r="AB25" s="539">
        <v>0.89200000000000002</v>
      </c>
      <c r="AC25" s="539">
        <v>0.82399999999999995</v>
      </c>
      <c r="AD25" s="539">
        <v>0.92800000000000005</v>
      </c>
      <c r="AE25" s="539">
        <v>0.82299999999999995</v>
      </c>
      <c r="AF25" s="746">
        <v>0.99</v>
      </c>
      <c r="AG25" s="539">
        <v>-99</v>
      </c>
      <c r="AH25" s="540">
        <v>-99</v>
      </c>
      <c r="AI25" s="539">
        <v>-99</v>
      </c>
      <c r="AJ25" s="540">
        <v>-99</v>
      </c>
      <c r="AK25" s="539">
        <v>-99</v>
      </c>
      <c r="AL25" s="539">
        <v>-99</v>
      </c>
      <c r="AM25" s="540">
        <v>-99</v>
      </c>
      <c r="AN25" s="539">
        <v>-99</v>
      </c>
      <c r="AO25" s="540">
        <v>-99</v>
      </c>
      <c r="AP25" s="541">
        <v>-99</v>
      </c>
      <c r="AQ25" s="539">
        <v>-99</v>
      </c>
      <c r="AR25" s="540">
        <v>-99</v>
      </c>
      <c r="AS25" s="539">
        <v>-99</v>
      </c>
      <c r="AT25" s="540">
        <v>-99</v>
      </c>
      <c r="AU25" s="539">
        <v>-99</v>
      </c>
      <c r="AV25" s="540">
        <v>-99</v>
      </c>
      <c r="AW25" s="540">
        <v>-99</v>
      </c>
      <c r="AX25" s="540">
        <v>-99</v>
      </c>
      <c r="AY25" s="540">
        <v>-99</v>
      </c>
      <c r="AZ25" s="539">
        <v>-99</v>
      </c>
      <c r="BA25" s="539">
        <v>-99</v>
      </c>
      <c r="BB25" s="540">
        <v>-99</v>
      </c>
      <c r="BC25" s="539">
        <v>-99</v>
      </c>
      <c r="BD25" s="540">
        <v>-99</v>
      </c>
      <c r="BE25" s="541">
        <v>-99</v>
      </c>
      <c r="BF25" s="569">
        <v>5.3999999999999999E-2</v>
      </c>
      <c r="BG25" s="569">
        <v>0.03</v>
      </c>
      <c r="BH25" s="569">
        <v>0.04</v>
      </c>
      <c r="BI25" s="640">
        <v>-98</v>
      </c>
      <c r="BJ25" s="640"/>
      <c r="BK25" s="617">
        <v>0</v>
      </c>
      <c r="BL25" s="573">
        <f>248-152</f>
        <v>96</v>
      </c>
      <c r="BM25" s="617">
        <v>0</v>
      </c>
      <c r="BN25" s="617">
        <v>80</v>
      </c>
      <c r="BO25" s="573"/>
      <c r="BP25" s="623"/>
      <c r="BQ25" s="563"/>
      <c r="BR25" s="573" t="s">
        <v>834</v>
      </c>
      <c r="BS25" s="648">
        <v>0</v>
      </c>
      <c r="BT25" s="648">
        <v>68.395359247106498</v>
      </c>
      <c r="BU25" s="648">
        <v>0</v>
      </c>
      <c r="BV25" s="648">
        <v>73.931596047026403</v>
      </c>
      <c r="BW25" s="648" t="s">
        <v>188</v>
      </c>
      <c r="BX25" s="648" t="s">
        <v>188</v>
      </c>
      <c r="BY25" s="648" t="s">
        <v>188</v>
      </c>
      <c r="BZ25" s="648">
        <v>62.8845579810028</v>
      </c>
      <c r="CA25" s="648">
        <v>0</v>
      </c>
      <c r="CB25" s="648">
        <v>70.300810994374103</v>
      </c>
      <c r="CC25" s="597" t="s">
        <v>995</v>
      </c>
      <c r="CD25" s="748"/>
      <c r="CE25" s="749">
        <v>0</v>
      </c>
      <c r="CF25" s="748">
        <v>304182720.0915646</v>
      </c>
      <c r="CG25" s="748">
        <v>0</v>
      </c>
      <c r="CH25" s="748">
        <v>134690894.22124398</v>
      </c>
      <c r="CI25" s="748">
        <v>0</v>
      </c>
      <c r="CJ25" s="748" t="s">
        <v>188</v>
      </c>
      <c r="CK25" s="748" t="s">
        <v>188</v>
      </c>
      <c r="CL25" s="748">
        <v>130435235.80372541</v>
      </c>
      <c r="CM25" s="748">
        <v>0</v>
      </c>
      <c r="CN25" s="752">
        <v>39056590.066594355</v>
      </c>
      <c r="CO25" s="623" t="s">
        <v>188</v>
      </c>
      <c r="CP25" s="623" t="s">
        <v>188</v>
      </c>
      <c r="CQ25" s="623" t="s">
        <v>188</v>
      </c>
      <c r="CR25" s="623" t="s">
        <v>188</v>
      </c>
      <c r="CS25" s="623" t="s">
        <v>188</v>
      </c>
      <c r="CT25" s="623" t="s">
        <v>188</v>
      </c>
      <c r="CU25" s="623" t="s">
        <v>188</v>
      </c>
      <c r="CV25" s="623" t="s">
        <v>188</v>
      </c>
      <c r="CW25" s="623" t="s">
        <v>188</v>
      </c>
      <c r="CX25" s="623" t="s">
        <v>188</v>
      </c>
      <c r="CY25" s="623" t="s">
        <v>188</v>
      </c>
      <c r="CZ25" s="623" t="s">
        <v>188</v>
      </c>
      <c r="DA25" s="623" t="s">
        <v>188</v>
      </c>
      <c r="DB25" s="623" t="s">
        <v>188</v>
      </c>
      <c r="DC25" s="623" t="s">
        <v>188</v>
      </c>
      <c r="DD25" s="623" t="s">
        <v>188</v>
      </c>
      <c r="DE25" s="623" t="s">
        <v>188</v>
      </c>
      <c r="DF25" s="623" t="s">
        <v>188</v>
      </c>
      <c r="DG25" s="623" t="s">
        <v>188</v>
      </c>
      <c r="DH25" s="623" t="s">
        <v>188</v>
      </c>
      <c r="DI25" s="550" t="str">
        <f>IFERROR(INDEX('Price Point Data'!O:O,MATCH($B25,'Price Point Data'!$A:$A,0)),-99)</f>
        <v>Under $400 to $1000 or more</v>
      </c>
      <c r="DJ25" s="551">
        <f>IFERROR(INDEX('Price Point Data'!P:P,MATCH($B25,'Price Point Data'!$A:$A,0)),-99)</f>
        <v>0.2</v>
      </c>
      <c r="DK25" s="550">
        <f>IFERROR(INDEX('Price Point Data'!Q:Q,MATCH($B25,'Price Point Data'!$A:$A,0)),-99)</f>
        <v>30</v>
      </c>
      <c r="DL25" s="550" t="str">
        <f>IFERROR(INDEX('Price Point Data'!I:I,MATCH($B25,'Price Point Data'!$A:$A,0)),-99)</f>
        <v>Under $600</v>
      </c>
      <c r="DM25" s="551">
        <f>IFERROR(INDEX('Price Point Data'!J:J,MATCH($B25,'Price Point Data'!$A:$A,0)),-99)</f>
        <v>0</v>
      </c>
      <c r="DN25" s="550">
        <f>IFERROR(INDEX('Price Point Data'!K:K,MATCH($B25,'Price Point Data'!$A:$A,0)),-99)</f>
        <v>18</v>
      </c>
      <c r="DO25" s="550" t="str">
        <f>IFERROR(INDEX('Price Point Data'!L:L,MATCH($B25,'Price Point Data'!$A:$A,0)),-99)</f>
        <v>$1000 or more</v>
      </c>
      <c r="DP25" s="551">
        <f>IFERROR(INDEX('Price Point Data'!M:M,MATCH($B25,'Price Point Data'!$A:$A,0)),-99)</f>
        <v>0</v>
      </c>
      <c r="DQ25" s="550">
        <f>IFERROR(INDEX('Price Point Data'!N:N,MATCH($B25,'Price Point Data'!$A:$A,0)),-99)</f>
        <v>2</v>
      </c>
      <c r="DR25" s="574" t="s">
        <v>806</v>
      </c>
      <c r="DS25" s="575">
        <v>36908</v>
      </c>
      <c r="DT25" s="640" t="s">
        <v>203</v>
      </c>
      <c r="DU25" s="640" t="s">
        <v>457</v>
      </c>
      <c r="DV25" s="575">
        <v>42110</v>
      </c>
      <c r="DW25" s="640" t="s">
        <v>674</v>
      </c>
      <c r="DX25" s="562">
        <v>41456</v>
      </c>
      <c r="DY25" s="638" t="s">
        <v>207</v>
      </c>
      <c r="DZ25" s="638" t="s">
        <v>458</v>
      </c>
      <c r="EA25" s="562">
        <v>42110</v>
      </c>
      <c r="EB25" s="638" t="s">
        <v>671</v>
      </c>
      <c r="EC25" s="562" t="s">
        <v>191</v>
      </c>
      <c r="ED25" s="638" t="s">
        <v>191</v>
      </c>
      <c r="EE25" s="636" t="s">
        <v>188</v>
      </c>
      <c r="EF25" s="638" t="s">
        <v>188</v>
      </c>
      <c r="EG25" s="638" t="s">
        <v>188</v>
      </c>
      <c r="EH25" s="8">
        <v>75</v>
      </c>
      <c r="EI25" s="360"/>
    </row>
    <row r="26" spans="1:139" x14ac:dyDescent="0.25">
      <c r="A26" s="16">
        <v>22</v>
      </c>
      <c r="B26" s="19" t="s">
        <v>697</v>
      </c>
      <c r="C26" s="19"/>
      <c r="D26" s="19" t="s">
        <v>78</v>
      </c>
      <c r="E26" s="19" t="s">
        <v>75</v>
      </c>
      <c r="F26" s="19" t="s">
        <v>8</v>
      </c>
      <c r="G26" s="19" t="s">
        <v>837</v>
      </c>
      <c r="H26" s="539">
        <v>-99</v>
      </c>
      <c r="I26" s="539">
        <v>-99</v>
      </c>
      <c r="J26" s="539">
        <v>-99</v>
      </c>
      <c r="K26" s="539">
        <v>-99</v>
      </c>
      <c r="L26" s="539">
        <v>-99</v>
      </c>
      <c r="M26" s="539">
        <v>-99</v>
      </c>
      <c r="N26" s="539">
        <v>-99</v>
      </c>
      <c r="O26" s="539">
        <v>-99</v>
      </c>
      <c r="P26" s="539">
        <v>-99</v>
      </c>
      <c r="Q26" s="539">
        <v>-99</v>
      </c>
      <c r="R26" s="539">
        <v>-99</v>
      </c>
      <c r="S26" s="539">
        <v>-99</v>
      </c>
      <c r="T26" s="539">
        <v>-99</v>
      </c>
      <c r="U26" s="539">
        <v>-99</v>
      </c>
      <c r="V26" s="539">
        <v>-99</v>
      </c>
      <c r="W26" s="539">
        <v>-99</v>
      </c>
      <c r="X26" s="539">
        <v>-99</v>
      </c>
      <c r="Y26" s="539">
        <v>-99</v>
      </c>
      <c r="Z26" s="539">
        <v>-99</v>
      </c>
      <c r="AA26" s="539">
        <v>-99</v>
      </c>
      <c r="AB26" s="539">
        <v>-99</v>
      </c>
      <c r="AC26" s="539">
        <v>-99</v>
      </c>
      <c r="AD26" s="539">
        <v>-99</v>
      </c>
      <c r="AE26" s="539">
        <v>-99</v>
      </c>
      <c r="AF26" s="539">
        <v>-99</v>
      </c>
      <c r="AG26" s="539">
        <v>-99</v>
      </c>
      <c r="AH26" s="540">
        <v>-99</v>
      </c>
      <c r="AI26" s="539">
        <v>-99</v>
      </c>
      <c r="AJ26" s="540">
        <v>-99</v>
      </c>
      <c r="AK26" s="539">
        <v>-99</v>
      </c>
      <c r="AL26" s="539">
        <v>-99</v>
      </c>
      <c r="AM26" s="540">
        <v>-99</v>
      </c>
      <c r="AN26" s="539">
        <v>-99</v>
      </c>
      <c r="AO26" s="540">
        <v>-99</v>
      </c>
      <c r="AP26" s="541">
        <v>-99</v>
      </c>
      <c r="AQ26" s="539">
        <v>-99</v>
      </c>
      <c r="AR26" s="540">
        <v>-99</v>
      </c>
      <c r="AS26" s="539">
        <v>-99</v>
      </c>
      <c r="AT26" s="540">
        <v>-99</v>
      </c>
      <c r="AU26" s="539">
        <v>-99</v>
      </c>
      <c r="AV26" s="540">
        <v>-99</v>
      </c>
      <c r="AW26" s="540">
        <v>-99</v>
      </c>
      <c r="AX26" s="540">
        <v>-99</v>
      </c>
      <c r="AY26" s="540">
        <v>-99</v>
      </c>
      <c r="AZ26" s="539">
        <v>-99</v>
      </c>
      <c r="BA26" s="539">
        <v>-99</v>
      </c>
      <c r="BB26" s="540">
        <v>-99</v>
      </c>
      <c r="BC26" s="539">
        <v>-99</v>
      </c>
      <c r="BD26" s="540">
        <v>-99</v>
      </c>
      <c r="BE26" s="541">
        <v>-99</v>
      </c>
      <c r="BF26" s="612"/>
      <c r="BG26" s="541"/>
      <c r="BH26" s="612">
        <v>-99</v>
      </c>
      <c r="BI26" s="641"/>
      <c r="BJ26" s="641"/>
      <c r="BK26" s="641"/>
      <c r="BL26" s="641"/>
      <c r="BM26" s="545">
        <v>-99</v>
      </c>
      <c r="BN26" s="545">
        <v>-99</v>
      </c>
      <c r="BO26" s="641"/>
      <c r="BP26" s="641"/>
      <c r="BQ26" s="641"/>
      <c r="BR26" s="640"/>
      <c r="BS26" s="547" t="s">
        <v>188</v>
      </c>
      <c r="BT26" s="549" t="s">
        <v>188</v>
      </c>
      <c r="BU26" s="549" t="s">
        <v>188</v>
      </c>
      <c r="BV26" s="549" t="s">
        <v>188</v>
      </c>
      <c r="BW26" s="549" t="s">
        <v>188</v>
      </c>
      <c r="BX26" s="549" t="s">
        <v>188</v>
      </c>
      <c r="BY26" s="549" t="s">
        <v>188</v>
      </c>
      <c r="BZ26" s="549" t="s">
        <v>188</v>
      </c>
      <c r="CA26" s="549" t="s">
        <v>188</v>
      </c>
      <c r="CB26" s="549" t="s">
        <v>188</v>
      </c>
      <c r="CC26" s="549" t="s">
        <v>188</v>
      </c>
      <c r="CD26" s="662"/>
      <c r="CE26" s="661" t="s">
        <v>188</v>
      </c>
      <c r="CF26" s="662" t="s">
        <v>188</v>
      </c>
      <c r="CG26" s="662" t="s">
        <v>188</v>
      </c>
      <c r="CH26" s="662" t="s">
        <v>188</v>
      </c>
      <c r="CI26" s="662" t="s">
        <v>188</v>
      </c>
      <c r="CJ26" s="662" t="s">
        <v>188</v>
      </c>
      <c r="CK26" s="662" t="s">
        <v>188</v>
      </c>
      <c r="CL26" s="662" t="s">
        <v>188</v>
      </c>
      <c r="CM26" s="662" t="s">
        <v>188</v>
      </c>
      <c r="CN26" s="662" t="s">
        <v>188</v>
      </c>
      <c r="CO26" s="640"/>
      <c r="CP26" s="640"/>
      <c r="CQ26" s="640"/>
      <c r="CR26" s="640"/>
      <c r="CS26" s="640"/>
      <c r="CT26" s="640"/>
      <c r="CU26" s="640"/>
      <c r="CV26" s="640"/>
      <c r="CW26" s="640"/>
      <c r="CX26" s="640"/>
      <c r="CY26" s="640"/>
      <c r="CZ26" s="640"/>
      <c r="DA26" s="640"/>
      <c r="DB26" s="640"/>
      <c r="DC26" s="640"/>
      <c r="DD26" s="640"/>
      <c r="DE26" s="640"/>
      <c r="DF26" s="640"/>
      <c r="DG26" s="640"/>
      <c r="DH26" s="640"/>
      <c r="DI26" s="641"/>
      <c r="DJ26" s="641"/>
      <c r="DK26" s="641"/>
      <c r="DL26" s="641"/>
      <c r="DM26" s="641"/>
      <c r="DN26" s="641"/>
      <c r="DO26" s="641"/>
      <c r="DP26" s="641"/>
      <c r="DQ26" s="641"/>
      <c r="DR26" s="641"/>
      <c r="DS26" s="641"/>
      <c r="DT26" s="641"/>
      <c r="DU26" s="641"/>
      <c r="DV26" s="641"/>
      <c r="DW26" s="641"/>
      <c r="DX26" s="607"/>
      <c r="DY26" s="607"/>
      <c r="DZ26" s="607"/>
      <c r="EA26" s="607"/>
      <c r="EB26" s="607"/>
      <c r="EC26" s="607"/>
      <c r="ED26" s="607"/>
      <c r="EE26" s="607"/>
      <c r="EF26" s="607"/>
      <c r="EG26" s="607"/>
      <c r="EH26" s="8">
        <v>117</v>
      </c>
    </row>
    <row r="27" spans="1:139" x14ac:dyDescent="0.25">
      <c r="A27" s="16">
        <v>23</v>
      </c>
      <c r="B27" s="19" t="s">
        <v>101</v>
      </c>
      <c r="C27" s="19"/>
      <c r="D27" s="19" t="s">
        <v>78</v>
      </c>
      <c r="E27" s="19" t="s">
        <v>74</v>
      </c>
      <c r="F27" s="19" t="s">
        <v>8</v>
      </c>
      <c r="G27" s="19" t="s">
        <v>6</v>
      </c>
      <c r="H27" s="539">
        <v>0.69699999999999995</v>
      </c>
      <c r="I27" s="539">
        <v>0.63564418108614706</v>
      </c>
      <c r="J27" s="539">
        <v>0.68799999999999994</v>
      </c>
      <c r="K27" s="539">
        <v>0.69530310814947072</v>
      </c>
      <c r="L27" s="539">
        <v>0.71</v>
      </c>
      <c r="M27" s="539">
        <v>0.70099999999999996</v>
      </c>
      <c r="N27" s="539">
        <v>0.65700000000000003</v>
      </c>
      <c r="O27" s="539">
        <v>0.68300000000000005</v>
      </c>
      <c r="P27" s="539">
        <v>0.71899999999999997</v>
      </c>
      <c r="Q27" s="539">
        <v>0.69499999999999995</v>
      </c>
      <c r="R27" s="539">
        <v>0.69899999999999995</v>
      </c>
      <c r="S27" s="539">
        <v>0.59599999999999997</v>
      </c>
      <c r="T27" s="539">
        <v>0.65800000000000003</v>
      </c>
      <c r="U27" s="539">
        <v>0.67</v>
      </c>
      <c r="V27" s="539">
        <v>0.71599999999999997</v>
      </c>
      <c r="W27" s="539">
        <v>-99</v>
      </c>
      <c r="X27" s="539">
        <v>-99</v>
      </c>
      <c r="Y27" s="539">
        <v>-99</v>
      </c>
      <c r="Z27" s="539">
        <v>-99</v>
      </c>
      <c r="AA27" s="539">
        <v>-99</v>
      </c>
      <c r="AB27" s="539">
        <v>0.67</v>
      </c>
      <c r="AC27" s="539">
        <v>0.69199999999999995</v>
      </c>
      <c r="AD27" s="539">
        <v>0.81200000000000006</v>
      </c>
      <c r="AE27" s="539">
        <v>0.69499999999999995</v>
      </c>
      <c r="AF27" s="539">
        <v>0.74399999999999999</v>
      </c>
      <c r="AG27" s="539">
        <v>-99</v>
      </c>
      <c r="AH27" s="540">
        <v>-99</v>
      </c>
      <c r="AI27" s="539">
        <v>-99</v>
      </c>
      <c r="AJ27" s="540">
        <v>-99</v>
      </c>
      <c r="AK27" s="539">
        <v>-99</v>
      </c>
      <c r="AL27" s="539">
        <v>-99</v>
      </c>
      <c r="AM27" s="540">
        <v>-99</v>
      </c>
      <c r="AN27" s="539">
        <v>-99</v>
      </c>
      <c r="AO27" s="540">
        <v>-99</v>
      </c>
      <c r="AP27" s="541">
        <v>-99</v>
      </c>
      <c r="AQ27" s="539">
        <v>-99</v>
      </c>
      <c r="AR27" s="540">
        <v>-99</v>
      </c>
      <c r="AS27" s="539">
        <v>-99</v>
      </c>
      <c r="AT27" s="540">
        <v>-99</v>
      </c>
      <c r="AU27" s="539">
        <v>-99</v>
      </c>
      <c r="AV27" s="540">
        <v>-99</v>
      </c>
      <c r="AW27" s="540">
        <v>-99</v>
      </c>
      <c r="AX27" s="540">
        <v>-99</v>
      </c>
      <c r="AY27" s="540">
        <v>-99</v>
      </c>
      <c r="AZ27" s="539">
        <v>-99</v>
      </c>
      <c r="BA27" s="539">
        <v>-99</v>
      </c>
      <c r="BB27" s="540">
        <v>-99</v>
      </c>
      <c r="BC27" s="539">
        <v>-99</v>
      </c>
      <c r="BD27" s="540">
        <v>-99</v>
      </c>
      <c r="BE27" s="541">
        <v>-99</v>
      </c>
      <c r="BF27" s="542">
        <v>0.85699999999999998</v>
      </c>
      <c r="BG27" s="542">
        <v>0.96</v>
      </c>
      <c r="BH27" s="542">
        <v>0.9</v>
      </c>
      <c r="BI27" s="576"/>
      <c r="BJ27" s="576"/>
      <c r="BK27" s="576"/>
      <c r="BL27" s="576"/>
      <c r="BM27" s="545">
        <v>8</v>
      </c>
      <c r="BN27" s="545">
        <v>1.4</v>
      </c>
      <c r="BO27" s="576"/>
      <c r="BP27" s="576"/>
      <c r="BQ27" s="576"/>
      <c r="BR27" s="640" t="s">
        <v>839</v>
      </c>
      <c r="BS27" s="547" t="s">
        <v>188</v>
      </c>
      <c r="BT27" s="549" t="s">
        <v>188</v>
      </c>
      <c r="BU27" s="549" t="s">
        <v>188</v>
      </c>
      <c r="BV27" s="549" t="s">
        <v>188</v>
      </c>
      <c r="BW27" s="549" t="s">
        <v>188</v>
      </c>
      <c r="BX27" s="549" t="s">
        <v>188</v>
      </c>
      <c r="BY27" s="549" t="s">
        <v>188</v>
      </c>
      <c r="BZ27" s="549" t="s">
        <v>188</v>
      </c>
      <c r="CA27" s="549" t="s">
        <v>188</v>
      </c>
      <c r="CB27" s="549" t="s">
        <v>188</v>
      </c>
      <c r="CC27" s="549" t="s">
        <v>188</v>
      </c>
      <c r="CD27" s="662"/>
      <c r="CE27" s="661" t="s">
        <v>188</v>
      </c>
      <c r="CF27" s="662" t="s">
        <v>188</v>
      </c>
      <c r="CG27" s="662" t="s">
        <v>188</v>
      </c>
      <c r="CH27" s="662" t="s">
        <v>188</v>
      </c>
      <c r="CI27" s="662" t="s">
        <v>188</v>
      </c>
      <c r="CJ27" s="662" t="s">
        <v>188</v>
      </c>
      <c r="CK27" s="662" t="s">
        <v>188</v>
      </c>
      <c r="CL27" s="662" t="s">
        <v>188</v>
      </c>
      <c r="CM27" s="662" t="s">
        <v>188</v>
      </c>
      <c r="CN27" s="662" t="s">
        <v>188</v>
      </c>
      <c r="CO27" s="640"/>
      <c r="CP27" s="640"/>
      <c r="CQ27" s="640"/>
      <c r="CR27" s="640"/>
      <c r="CS27" s="640"/>
      <c r="CT27" s="640"/>
      <c r="CU27" s="640"/>
      <c r="CV27" s="640"/>
      <c r="CW27" s="640"/>
      <c r="CX27" s="640"/>
      <c r="CY27" s="640"/>
      <c r="CZ27" s="640"/>
      <c r="DA27" s="640"/>
      <c r="DB27" s="640"/>
      <c r="DC27" s="640"/>
      <c r="DD27" s="640"/>
      <c r="DE27" s="640"/>
      <c r="DF27" s="640"/>
      <c r="DG27" s="640"/>
      <c r="DH27" s="640"/>
      <c r="DI27" s="576"/>
      <c r="DJ27" s="576"/>
      <c r="DK27" s="576"/>
      <c r="DL27" s="576"/>
      <c r="DM27" s="576"/>
      <c r="DN27" s="576"/>
      <c r="DO27" s="576"/>
      <c r="DP27" s="576"/>
      <c r="DQ27" s="576"/>
      <c r="DR27" s="576"/>
      <c r="DS27" s="576"/>
      <c r="DT27" s="576"/>
      <c r="DU27" s="576"/>
      <c r="DV27" s="576"/>
      <c r="DW27" s="576"/>
      <c r="DX27" s="577"/>
      <c r="DY27" s="577"/>
      <c r="DZ27" s="577"/>
      <c r="EA27" s="577"/>
      <c r="EB27" s="577"/>
      <c r="EC27" s="577"/>
      <c r="ED27" s="577"/>
      <c r="EE27" s="577"/>
      <c r="EF27" s="577"/>
      <c r="EG27" s="577"/>
      <c r="EH27" s="8">
        <v>105</v>
      </c>
    </row>
    <row r="28" spans="1:139" x14ac:dyDescent="0.25">
      <c r="A28" s="16">
        <v>24</v>
      </c>
      <c r="B28" s="19" t="s">
        <v>20</v>
      </c>
      <c r="C28" s="19"/>
      <c r="D28" s="19" t="s">
        <v>78</v>
      </c>
      <c r="E28" s="19" t="s">
        <v>75</v>
      </c>
      <c r="F28" s="19" t="s">
        <v>8</v>
      </c>
      <c r="G28" s="19" t="s">
        <v>837</v>
      </c>
      <c r="H28" s="539">
        <v>-99</v>
      </c>
      <c r="I28" s="539">
        <v>-99</v>
      </c>
      <c r="J28" s="539">
        <v>-99</v>
      </c>
      <c r="K28" s="539">
        <v>-99</v>
      </c>
      <c r="L28" s="539">
        <v>-99</v>
      </c>
      <c r="M28" s="539">
        <v>-99</v>
      </c>
      <c r="N28" s="539">
        <v>-99</v>
      </c>
      <c r="O28" s="539">
        <v>-99</v>
      </c>
      <c r="P28" s="539">
        <v>-99</v>
      </c>
      <c r="Q28" s="539">
        <v>-99</v>
      </c>
      <c r="R28" s="539">
        <v>-99</v>
      </c>
      <c r="S28" s="539">
        <v>-99</v>
      </c>
      <c r="T28" s="539">
        <v>-99</v>
      </c>
      <c r="U28" s="539">
        <v>-99</v>
      </c>
      <c r="V28" s="539">
        <v>-99</v>
      </c>
      <c r="W28" s="539">
        <v>-99</v>
      </c>
      <c r="X28" s="539">
        <v>-99</v>
      </c>
      <c r="Y28" s="539">
        <v>-99</v>
      </c>
      <c r="Z28" s="539">
        <v>-99</v>
      </c>
      <c r="AA28" s="539">
        <v>-99</v>
      </c>
      <c r="AB28" s="539">
        <v>-99</v>
      </c>
      <c r="AC28" s="539">
        <v>-99</v>
      </c>
      <c r="AD28" s="539">
        <v>-99</v>
      </c>
      <c r="AE28" s="539">
        <v>-99</v>
      </c>
      <c r="AF28" s="539">
        <v>-99</v>
      </c>
      <c r="AG28" s="539">
        <v>-99</v>
      </c>
      <c r="AH28" s="540">
        <v>-99</v>
      </c>
      <c r="AI28" s="539">
        <v>-99</v>
      </c>
      <c r="AJ28" s="540">
        <v>-99</v>
      </c>
      <c r="AK28" s="539">
        <v>-99</v>
      </c>
      <c r="AL28" s="539">
        <v>-99</v>
      </c>
      <c r="AM28" s="540">
        <v>-99</v>
      </c>
      <c r="AN28" s="539">
        <v>-99</v>
      </c>
      <c r="AO28" s="540">
        <v>-99</v>
      </c>
      <c r="AP28" s="541">
        <v>-99</v>
      </c>
      <c r="AQ28" s="539">
        <v>-99</v>
      </c>
      <c r="AR28" s="540">
        <v>-99</v>
      </c>
      <c r="AS28" s="539">
        <v>-99</v>
      </c>
      <c r="AT28" s="540">
        <v>-99</v>
      </c>
      <c r="AU28" s="539">
        <v>-99</v>
      </c>
      <c r="AV28" s="540">
        <v>-99</v>
      </c>
      <c r="AW28" s="540">
        <v>-99</v>
      </c>
      <c r="AX28" s="540">
        <v>-99</v>
      </c>
      <c r="AY28" s="540">
        <v>-99</v>
      </c>
      <c r="AZ28" s="539">
        <v>-99</v>
      </c>
      <c r="BA28" s="539">
        <v>-99</v>
      </c>
      <c r="BB28" s="540">
        <v>-99</v>
      </c>
      <c r="BC28" s="539">
        <v>-99</v>
      </c>
      <c r="BD28" s="540">
        <v>-99</v>
      </c>
      <c r="BE28" s="541">
        <v>-99</v>
      </c>
      <c r="BF28" s="612"/>
      <c r="BG28" s="612"/>
      <c r="BH28" s="612">
        <v>-99</v>
      </c>
      <c r="BI28" s="641"/>
      <c r="BJ28" s="641"/>
      <c r="BK28" s="641"/>
      <c r="BL28" s="641"/>
      <c r="BM28" s="545">
        <v>-99</v>
      </c>
      <c r="BN28" s="545">
        <v>-99</v>
      </c>
      <c r="BO28" s="641"/>
      <c r="BP28" s="641"/>
      <c r="BQ28" s="641"/>
      <c r="BR28" s="640"/>
      <c r="BS28" s="547" t="s">
        <v>188</v>
      </c>
      <c r="BT28" s="549" t="s">
        <v>188</v>
      </c>
      <c r="BU28" s="549" t="s">
        <v>188</v>
      </c>
      <c r="BV28" s="549" t="s">
        <v>188</v>
      </c>
      <c r="BW28" s="549" t="s">
        <v>188</v>
      </c>
      <c r="BX28" s="549" t="s">
        <v>188</v>
      </c>
      <c r="BY28" s="549" t="s">
        <v>188</v>
      </c>
      <c r="BZ28" s="549" t="s">
        <v>188</v>
      </c>
      <c r="CA28" s="549" t="s">
        <v>188</v>
      </c>
      <c r="CB28" s="549" t="s">
        <v>188</v>
      </c>
      <c r="CC28" s="549" t="s">
        <v>188</v>
      </c>
      <c r="CD28" s="662"/>
      <c r="CE28" s="661" t="s">
        <v>188</v>
      </c>
      <c r="CF28" s="662" t="s">
        <v>188</v>
      </c>
      <c r="CG28" s="662" t="s">
        <v>188</v>
      </c>
      <c r="CH28" s="662" t="s">
        <v>188</v>
      </c>
      <c r="CI28" s="662" t="s">
        <v>188</v>
      </c>
      <c r="CJ28" s="662" t="s">
        <v>188</v>
      </c>
      <c r="CK28" s="662" t="s">
        <v>188</v>
      </c>
      <c r="CL28" s="662" t="s">
        <v>188</v>
      </c>
      <c r="CM28" s="662" t="s">
        <v>188</v>
      </c>
      <c r="CN28" s="662" t="s">
        <v>188</v>
      </c>
      <c r="CO28" s="640"/>
      <c r="CP28" s="640"/>
      <c r="CQ28" s="640"/>
      <c r="CR28" s="640"/>
      <c r="CS28" s="640"/>
      <c r="CT28" s="640"/>
      <c r="CU28" s="640"/>
      <c r="CV28" s="640"/>
      <c r="CW28" s="640"/>
      <c r="CX28" s="640"/>
      <c r="CY28" s="640"/>
      <c r="CZ28" s="640"/>
      <c r="DA28" s="640"/>
      <c r="DB28" s="640"/>
      <c r="DC28" s="640"/>
      <c r="DD28" s="640"/>
      <c r="DE28" s="640"/>
      <c r="DF28" s="640"/>
      <c r="DG28" s="640"/>
      <c r="DH28" s="640"/>
      <c r="DI28" s="641"/>
      <c r="DJ28" s="641"/>
      <c r="DK28" s="641"/>
      <c r="DL28" s="641"/>
      <c r="DM28" s="641"/>
      <c r="DN28" s="641"/>
      <c r="DO28" s="641"/>
      <c r="DP28" s="641"/>
      <c r="DQ28" s="641"/>
      <c r="DR28" s="641"/>
      <c r="DS28" s="641"/>
      <c r="DT28" s="641"/>
      <c r="DU28" s="641"/>
      <c r="DV28" s="641"/>
      <c r="DW28" s="641"/>
      <c r="DX28" s="607"/>
      <c r="DY28" s="607"/>
      <c r="DZ28" s="607"/>
      <c r="EA28" s="607"/>
      <c r="EB28" s="607"/>
      <c r="EC28" s="607"/>
      <c r="ED28" s="607"/>
      <c r="EE28" s="607"/>
      <c r="EF28" s="607"/>
      <c r="EG28" s="607"/>
      <c r="EH28" s="8">
        <v>39</v>
      </c>
    </row>
    <row r="29" spans="1:139" x14ac:dyDescent="0.25">
      <c r="A29" s="16">
        <v>25</v>
      </c>
      <c r="B29" s="526" t="s">
        <v>21</v>
      </c>
      <c r="C29" s="526"/>
      <c r="D29" s="19" t="s">
        <v>78</v>
      </c>
      <c r="E29" s="19" t="s">
        <v>75</v>
      </c>
      <c r="F29" s="19" t="s">
        <v>8</v>
      </c>
      <c r="G29" s="19" t="s">
        <v>837</v>
      </c>
      <c r="H29" s="539">
        <v>-99</v>
      </c>
      <c r="I29" s="539">
        <v>6.421953903505552E-2</v>
      </c>
      <c r="J29" s="539">
        <v>-99</v>
      </c>
      <c r="K29" s="539">
        <v>6.9025004374366011E-2</v>
      </c>
      <c r="L29" s="539">
        <v>-99</v>
      </c>
      <c r="M29" s="539">
        <v>-99</v>
      </c>
      <c r="N29" s="539">
        <v>6.3911123050529858E-2</v>
      </c>
      <c r="O29" s="539">
        <v>-99</v>
      </c>
      <c r="P29" s="539">
        <v>7.1814670481590626E-2</v>
      </c>
      <c r="Q29" s="539">
        <v>-99</v>
      </c>
      <c r="R29" s="539">
        <v>-99</v>
      </c>
      <c r="S29" s="539">
        <v>6.4053606401097696E-2</v>
      </c>
      <c r="T29" s="539">
        <v>-99</v>
      </c>
      <c r="U29" s="539">
        <v>6.0336955487398709E-2</v>
      </c>
      <c r="V29" s="539">
        <v>-99</v>
      </c>
      <c r="W29" s="539">
        <v>-99</v>
      </c>
      <c r="X29" s="539">
        <v>-99</v>
      </c>
      <c r="Y29" s="539">
        <v>-99</v>
      </c>
      <c r="Z29" s="539">
        <v>-99</v>
      </c>
      <c r="AA29" s="539">
        <v>-99</v>
      </c>
      <c r="AB29" s="539">
        <v>-99</v>
      </c>
      <c r="AC29" s="539">
        <v>6.5880358224605376E-2</v>
      </c>
      <c r="AD29" s="539">
        <v>-99</v>
      </c>
      <c r="AE29" s="539">
        <v>8.9392328253955863E-2</v>
      </c>
      <c r="AF29" s="539">
        <v>-99</v>
      </c>
      <c r="AG29" s="539">
        <v>-99</v>
      </c>
      <c r="AH29" s="540">
        <v>6.4555425244636241E-2</v>
      </c>
      <c r="AI29" s="539">
        <v>-99</v>
      </c>
      <c r="AJ29" s="540">
        <v>6.9628964858429301E-2</v>
      </c>
      <c r="AK29" s="539">
        <v>-99</v>
      </c>
      <c r="AL29" s="539">
        <v>-99</v>
      </c>
      <c r="AM29" s="540">
        <v>6.4251271026661158E-2</v>
      </c>
      <c r="AN29" s="539">
        <v>-99</v>
      </c>
      <c r="AO29" s="540">
        <v>7.2734809771344097E-2</v>
      </c>
      <c r="AP29" s="541">
        <v>-99</v>
      </c>
      <c r="AQ29" s="539">
        <v>-99</v>
      </c>
      <c r="AR29" s="540">
        <v>6.420692282225865E-2</v>
      </c>
      <c r="AS29" s="539">
        <v>-99</v>
      </c>
      <c r="AT29" s="540">
        <v>6.06956329192683E-2</v>
      </c>
      <c r="AU29" s="539">
        <v>-99</v>
      </c>
      <c r="AV29" s="540">
        <v>-99</v>
      </c>
      <c r="AW29" s="540">
        <v>-99</v>
      </c>
      <c r="AX29" s="540">
        <v>-99</v>
      </c>
      <c r="AY29" s="540">
        <v>-99</v>
      </c>
      <c r="AZ29" s="539">
        <v>-99</v>
      </c>
      <c r="BA29" s="539">
        <v>-99</v>
      </c>
      <c r="BB29" s="540">
        <v>6.6816333012099619E-2</v>
      </c>
      <c r="BC29" s="539">
        <v>-99</v>
      </c>
      <c r="BD29" s="540">
        <v>8.9676864443707358E-2</v>
      </c>
      <c r="BE29" s="541">
        <v>-99</v>
      </c>
      <c r="BF29" s="612"/>
      <c r="BG29" s="612"/>
      <c r="BH29" s="612">
        <v>-99</v>
      </c>
      <c r="BI29" s="576"/>
      <c r="BJ29" s="576"/>
      <c r="BK29" s="576"/>
      <c r="BL29" s="576"/>
      <c r="BM29" s="545">
        <v>-99</v>
      </c>
      <c r="BN29" s="545">
        <v>-99</v>
      </c>
      <c r="BO29" s="576"/>
      <c r="BP29" s="576"/>
      <c r="BQ29" s="576"/>
      <c r="BR29" s="640"/>
      <c r="BS29" s="547" t="s">
        <v>188</v>
      </c>
      <c r="BT29" s="549" t="s">
        <v>188</v>
      </c>
      <c r="BU29" s="549" t="s">
        <v>188</v>
      </c>
      <c r="BV29" s="549" t="s">
        <v>188</v>
      </c>
      <c r="BW29" s="549" t="s">
        <v>188</v>
      </c>
      <c r="BX29" s="549" t="s">
        <v>188</v>
      </c>
      <c r="BY29" s="549" t="s">
        <v>188</v>
      </c>
      <c r="BZ29" s="549" t="s">
        <v>188</v>
      </c>
      <c r="CA29" s="549" t="s">
        <v>188</v>
      </c>
      <c r="CB29" s="549" t="s">
        <v>188</v>
      </c>
      <c r="CC29" s="549" t="s">
        <v>188</v>
      </c>
      <c r="CD29" s="662"/>
      <c r="CE29" s="661" t="s">
        <v>188</v>
      </c>
      <c r="CF29" s="662" t="s">
        <v>188</v>
      </c>
      <c r="CG29" s="662" t="s">
        <v>188</v>
      </c>
      <c r="CH29" s="662" t="s">
        <v>188</v>
      </c>
      <c r="CI29" s="662" t="s">
        <v>188</v>
      </c>
      <c r="CJ29" s="662" t="s">
        <v>188</v>
      </c>
      <c r="CK29" s="662" t="s">
        <v>188</v>
      </c>
      <c r="CL29" s="662" t="s">
        <v>188</v>
      </c>
      <c r="CM29" s="662" t="s">
        <v>188</v>
      </c>
      <c r="CN29" s="662" t="s">
        <v>188</v>
      </c>
      <c r="CO29" s="640"/>
      <c r="CP29" s="640"/>
      <c r="CQ29" s="640"/>
      <c r="CR29" s="640"/>
      <c r="CS29" s="640"/>
      <c r="CT29" s="640"/>
      <c r="CU29" s="640"/>
      <c r="CV29" s="640"/>
      <c r="CW29" s="640"/>
      <c r="CX29" s="640"/>
      <c r="CY29" s="640"/>
      <c r="CZ29" s="640"/>
      <c r="DA29" s="640"/>
      <c r="DB29" s="640"/>
      <c r="DC29" s="640"/>
      <c r="DD29" s="640"/>
      <c r="DE29" s="640"/>
      <c r="DF29" s="640"/>
      <c r="DG29" s="640"/>
      <c r="DH29" s="640"/>
      <c r="DI29" s="576"/>
      <c r="DJ29" s="576"/>
      <c r="DK29" s="576"/>
      <c r="DL29" s="576"/>
      <c r="DM29" s="576"/>
      <c r="DN29" s="576"/>
      <c r="DO29" s="576"/>
      <c r="DP29" s="576"/>
      <c r="DQ29" s="576"/>
      <c r="DR29" s="576"/>
      <c r="DS29" s="576"/>
      <c r="DT29" s="576"/>
      <c r="DU29" s="576"/>
      <c r="DV29" s="576"/>
      <c r="DW29" s="576"/>
      <c r="DX29" s="577"/>
      <c r="DY29" s="577"/>
      <c r="DZ29" s="577"/>
      <c r="EA29" s="577"/>
      <c r="EB29" s="577"/>
      <c r="EC29" s="577"/>
      <c r="ED29" s="577"/>
      <c r="EE29" s="577"/>
      <c r="EF29" s="577"/>
      <c r="EG29" s="577"/>
      <c r="EH29" s="8">
        <v>16</v>
      </c>
    </row>
    <row r="30" spans="1:139" x14ac:dyDescent="0.25">
      <c r="A30" s="16">
        <v>26</v>
      </c>
      <c r="B30" s="19" t="s">
        <v>22</v>
      </c>
      <c r="C30" s="19"/>
      <c r="D30" s="19" t="s">
        <v>78</v>
      </c>
      <c r="E30" s="19" t="s">
        <v>75</v>
      </c>
      <c r="F30" s="19" t="s">
        <v>8</v>
      </c>
      <c r="G30" s="19" t="s">
        <v>837</v>
      </c>
      <c r="H30" s="539">
        <v>-99</v>
      </c>
      <c r="I30" s="539">
        <v>-99</v>
      </c>
      <c r="J30" s="539">
        <v>-99</v>
      </c>
      <c r="K30" s="539">
        <v>-99</v>
      </c>
      <c r="L30" s="539">
        <v>-99</v>
      </c>
      <c r="M30" s="539">
        <v>-99</v>
      </c>
      <c r="N30" s="539">
        <v>-99</v>
      </c>
      <c r="O30" s="539">
        <v>-99</v>
      </c>
      <c r="P30" s="539">
        <v>-99</v>
      </c>
      <c r="Q30" s="539">
        <v>-99</v>
      </c>
      <c r="R30" s="539">
        <v>-99</v>
      </c>
      <c r="S30" s="539">
        <v>-99</v>
      </c>
      <c r="T30" s="539">
        <v>-99</v>
      </c>
      <c r="U30" s="539">
        <v>-99</v>
      </c>
      <c r="V30" s="539">
        <v>-99</v>
      </c>
      <c r="W30" s="539">
        <v>-99</v>
      </c>
      <c r="X30" s="539">
        <v>-99</v>
      </c>
      <c r="Y30" s="539">
        <v>-99</v>
      </c>
      <c r="Z30" s="539">
        <v>-99</v>
      </c>
      <c r="AA30" s="539">
        <v>-99</v>
      </c>
      <c r="AB30" s="539">
        <v>-99</v>
      </c>
      <c r="AC30" s="539">
        <v>-99</v>
      </c>
      <c r="AD30" s="539">
        <v>-99</v>
      </c>
      <c r="AE30" s="539">
        <v>-99</v>
      </c>
      <c r="AF30" s="539">
        <v>-99</v>
      </c>
      <c r="AG30" s="539">
        <v>-99</v>
      </c>
      <c r="AH30" s="540">
        <v>-99</v>
      </c>
      <c r="AI30" s="539">
        <v>-99</v>
      </c>
      <c r="AJ30" s="540">
        <v>-99</v>
      </c>
      <c r="AK30" s="539">
        <v>-99</v>
      </c>
      <c r="AL30" s="539">
        <v>-99</v>
      </c>
      <c r="AM30" s="540">
        <v>-99</v>
      </c>
      <c r="AN30" s="539">
        <v>-99</v>
      </c>
      <c r="AO30" s="540">
        <v>-99</v>
      </c>
      <c r="AP30" s="541">
        <v>-99</v>
      </c>
      <c r="AQ30" s="539">
        <v>-99</v>
      </c>
      <c r="AR30" s="540">
        <v>-99</v>
      </c>
      <c r="AS30" s="539">
        <v>-99</v>
      </c>
      <c r="AT30" s="540">
        <v>-99</v>
      </c>
      <c r="AU30" s="539">
        <v>-99</v>
      </c>
      <c r="AV30" s="540">
        <v>-99</v>
      </c>
      <c r="AW30" s="540">
        <v>-99</v>
      </c>
      <c r="AX30" s="540">
        <v>-99</v>
      </c>
      <c r="AY30" s="540">
        <v>-99</v>
      </c>
      <c r="AZ30" s="539">
        <v>-99</v>
      </c>
      <c r="BA30" s="539">
        <v>-99</v>
      </c>
      <c r="BB30" s="540">
        <v>-99</v>
      </c>
      <c r="BC30" s="539">
        <v>-99</v>
      </c>
      <c r="BD30" s="540">
        <v>-99</v>
      </c>
      <c r="BE30" s="541">
        <v>-99</v>
      </c>
      <c r="BF30" s="612"/>
      <c r="BG30" s="612"/>
      <c r="BH30" s="612">
        <v>-99</v>
      </c>
      <c r="BI30" s="576"/>
      <c r="BJ30" s="576"/>
      <c r="BK30" s="576"/>
      <c r="BL30" s="576"/>
      <c r="BM30" s="545">
        <v>-99</v>
      </c>
      <c r="BN30" s="545">
        <v>-99</v>
      </c>
      <c r="BO30" s="576"/>
      <c r="BP30" s="576"/>
      <c r="BQ30" s="576"/>
      <c r="BR30" s="570"/>
      <c r="BS30" s="547" t="s">
        <v>188</v>
      </c>
      <c r="BT30" s="549" t="s">
        <v>188</v>
      </c>
      <c r="BU30" s="549" t="s">
        <v>188</v>
      </c>
      <c r="BV30" s="549" t="s">
        <v>188</v>
      </c>
      <c r="BW30" s="549" t="s">
        <v>188</v>
      </c>
      <c r="BX30" s="549" t="s">
        <v>188</v>
      </c>
      <c r="BY30" s="549" t="s">
        <v>188</v>
      </c>
      <c r="BZ30" s="549" t="s">
        <v>188</v>
      </c>
      <c r="CA30" s="549" t="s">
        <v>188</v>
      </c>
      <c r="CB30" s="549" t="s">
        <v>188</v>
      </c>
      <c r="CC30" s="549" t="s">
        <v>188</v>
      </c>
      <c r="CD30" s="662"/>
      <c r="CE30" s="661" t="s">
        <v>188</v>
      </c>
      <c r="CF30" s="662" t="s">
        <v>188</v>
      </c>
      <c r="CG30" s="662" t="s">
        <v>188</v>
      </c>
      <c r="CH30" s="662" t="s">
        <v>188</v>
      </c>
      <c r="CI30" s="662" t="s">
        <v>188</v>
      </c>
      <c r="CJ30" s="662" t="s">
        <v>188</v>
      </c>
      <c r="CK30" s="662" t="s">
        <v>188</v>
      </c>
      <c r="CL30" s="662" t="s">
        <v>188</v>
      </c>
      <c r="CM30" s="662" t="s">
        <v>188</v>
      </c>
      <c r="CN30" s="662" t="s">
        <v>188</v>
      </c>
      <c r="CO30" s="640"/>
      <c r="CP30" s="640"/>
      <c r="CQ30" s="640"/>
      <c r="CR30" s="640"/>
      <c r="CS30" s="640"/>
      <c r="CT30" s="640"/>
      <c r="CU30" s="640"/>
      <c r="CV30" s="640"/>
      <c r="CW30" s="640"/>
      <c r="CX30" s="640"/>
      <c r="CY30" s="640"/>
      <c r="CZ30" s="640"/>
      <c r="DA30" s="640"/>
      <c r="DB30" s="640"/>
      <c r="DC30" s="640"/>
      <c r="DD30" s="640"/>
      <c r="DE30" s="640"/>
      <c r="DF30" s="640"/>
      <c r="DG30" s="640"/>
      <c r="DH30" s="640"/>
      <c r="DI30" s="576"/>
      <c r="DJ30" s="576"/>
      <c r="DK30" s="576"/>
      <c r="DL30" s="576"/>
      <c r="DM30" s="576"/>
      <c r="DN30" s="576"/>
      <c r="DO30" s="576"/>
      <c r="DP30" s="576"/>
      <c r="DQ30" s="576"/>
      <c r="DR30" s="576"/>
      <c r="DS30" s="576"/>
      <c r="DT30" s="576"/>
      <c r="DU30" s="576"/>
      <c r="DV30" s="576"/>
      <c r="DW30" s="576"/>
      <c r="DX30" s="577"/>
      <c r="DY30" s="577"/>
      <c r="DZ30" s="577"/>
      <c r="EA30" s="577"/>
      <c r="EB30" s="577"/>
      <c r="EC30" s="577"/>
      <c r="ED30" s="577"/>
      <c r="EE30" s="577"/>
      <c r="EF30" s="577"/>
      <c r="EG30" s="577"/>
      <c r="EH30" s="8">
        <v>14</v>
      </c>
    </row>
    <row r="31" spans="1:139" x14ac:dyDescent="0.25">
      <c r="A31" s="16">
        <v>27</v>
      </c>
      <c r="B31" s="526" t="s">
        <v>23</v>
      </c>
      <c r="C31" s="526"/>
      <c r="D31" s="19" t="s">
        <v>78</v>
      </c>
      <c r="E31" s="19" t="s">
        <v>75</v>
      </c>
      <c r="F31" s="19" t="s">
        <v>8</v>
      </c>
      <c r="G31" s="19" t="s">
        <v>837</v>
      </c>
      <c r="H31" s="539">
        <v>-99</v>
      </c>
      <c r="I31" s="539">
        <v>-99</v>
      </c>
      <c r="J31" s="539">
        <v>-99</v>
      </c>
      <c r="K31" s="539">
        <v>-99</v>
      </c>
      <c r="L31" s="539">
        <v>-99</v>
      </c>
      <c r="M31" s="539">
        <v>-99</v>
      </c>
      <c r="N31" s="539">
        <v>-99</v>
      </c>
      <c r="O31" s="539">
        <v>-99</v>
      </c>
      <c r="P31" s="539">
        <v>-99</v>
      </c>
      <c r="Q31" s="539">
        <v>-99</v>
      </c>
      <c r="R31" s="539">
        <v>-99</v>
      </c>
      <c r="S31" s="539">
        <v>-99</v>
      </c>
      <c r="T31" s="539">
        <v>-99</v>
      </c>
      <c r="U31" s="539">
        <v>-99</v>
      </c>
      <c r="V31" s="539">
        <v>-99</v>
      </c>
      <c r="W31" s="539">
        <v>-99</v>
      </c>
      <c r="X31" s="539">
        <v>-99</v>
      </c>
      <c r="Y31" s="539">
        <v>-99</v>
      </c>
      <c r="Z31" s="539">
        <v>-99</v>
      </c>
      <c r="AA31" s="539">
        <v>-99</v>
      </c>
      <c r="AB31" s="539">
        <v>-99</v>
      </c>
      <c r="AC31" s="539">
        <v>-99</v>
      </c>
      <c r="AD31" s="539">
        <v>-99</v>
      </c>
      <c r="AE31" s="539">
        <v>-99</v>
      </c>
      <c r="AF31" s="539">
        <v>-99</v>
      </c>
      <c r="AG31" s="539">
        <v>-99</v>
      </c>
      <c r="AH31" s="540">
        <v>-99</v>
      </c>
      <c r="AI31" s="539">
        <v>-99</v>
      </c>
      <c r="AJ31" s="540">
        <v>-99</v>
      </c>
      <c r="AK31" s="539">
        <v>-99</v>
      </c>
      <c r="AL31" s="539">
        <v>-99</v>
      </c>
      <c r="AM31" s="540">
        <v>-99</v>
      </c>
      <c r="AN31" s="539">
        <v>-99</v>
      </c>
      <c r="AO31" s="540">
        <v>-99</v>
      </c>
      <c r="AP31" s="541">
        <v>-99</v>
      </c>
      <c r="AQ31" s="539">
        <v>-99</v>
      </c>
      <c r="AR31" s="540">
        <v>-99</v>
      </c>
      <c r="AS31" s="539">
        <v>-99</v>
      </c>
      <c r="AT31" s="540">
        <v>-99</v>
      </c>
      <c r="AU31" s="539">
        <v>-99</v>
      </c>
      <c r="AV31" s="540">
        <v>-99</v>
      </c>
      <c r="AW31" s="540">
        <v>-99</v>
      </c>
      <c r="AX31" s="540">
        <v>-99</v>
      </c>
      <c r="AY31" s="540">
        <v>-99</v>
      </c>
      <c r="AZ31" s="539">
        <v>-99</v>
      </c>
      <c r="BA31" s="539">
        <v>-99</v>
      </c>
      <c r="BB31" s="540">
        <v>-99</v>
      </c>
      <c r="BC31" s="539">
        <v>-99</v>
      </c>
      <c r="BD31" s="540">
        <v>-99</v>
      </c>
      <c r="BE31" s="541">
        <v>-99</v>
      </c>
      <c r="BF31" s="614"/>
      <c r="BG31" s="612"/>
      <c r="BH31" s="614">
        <v>-99</v>
      </c>
      <c r="BI31" s="576"/>
      <c r="BJ31" s="576"/>
      <c r="BK31" s="576"/>
      <c r="BL31" s="576"/>
      <c r="BM31" s="639">
        <v>-99</v>
      </c>
      <c r="BN31" s="545">
        <v>-99</v>
      </c>
      <c r="BO31" s="576"/>
      <c r="BP31" s="576"/>
      <c r="BQ31" s="576"/>
      <c r="BR31" s="570"/>
      <c r="BS31" s="547" t="s">
        <v>188</v>
      </c>
      <c r="BT31" s="549" t="s">
        <v>188</v>
      </c>
      <c r="BU31" s="549" t="s">
        <v>188</v>
      </c>
      <c r="BV31" s="549" t="s">
        <v>188</v>
      </c>
      <c r="BW31" s="549" t="s">
        <v>188</v>
      </c>
      <c r="BX31" s="549" t="s">
        <v>188</v>
      </c>
      <c r="BY31" s="549" t="s">
        <v>188</v>
      </c>
      <c r="BZ31" s="549" t="s">
        <v>188</v>
      </c>
      <c r="CA31" s="549" t="s">
        <v>188</v>
      </c>
      <c r="CB31" s="549" t="s">
        <v>188</v>
      </c>
      <c r="CC31" s="549" t="s">
        <v>188</v>
      </c>
      <c r="CD31" s="662"/>
      <c r="CE31" s="661" t="s">
        <v>188</v>
      </c>
      <c r="CF31" s="662" t="s">
        <v>188</v>
      </c>
      <c r="CG31" s="662" t="s">
        <v>188</v>
      </c>
      <c r="CH31" s="662" t="s">
        <v>188</v>
      </c>
      <c r="CI31" s="662" t="s">
        <v>188</v>
      </c>
      <c r="CJ31" s="662" t="s">
        <v>188</v>
      </c>
      <c r="CK31" s="662" t="s">
        <v>188</v>
      </c>
      <c r="CL31" s="662" t="s">
        <v>188</v>
      </c>
      <c r="CM31" s="662" t="s">
        <v>188</v>
      </c>
      <c r="CN31" s="662" t="s">
        <v>188</v>
      </c>
      <c r="CO31" s="640"/>
      <c r="CP31" s="640"/>
      <c r="CQ31" s="640"/>
      <c r="CR31" s="640"/>
      <c r="CS31" s="640"/>
      <c r="CT31" s="640"/>
      <c r="CU31" s="640"/>
      <c r="CV31" s="640"/>
      <c r="CW31" s="640"/>
      <c r="CX31" s="640"/>
      <c r="CY31" s="640"/>
      <c r="CZ31" s="640"/>
      <c r="DA31" s="640"/>
      <c r="DB31" s="640"/>
      <c r="DC31" s="640"/>
      <c r="DD31" s="640"/>
      <c r="DE31" s="640"/>
      <c r="DF31" s="640"/>
      <c r="DG31" s="640"/>
      <c r="DH31" s="640"/>
      <c r="DI31" s="576"/>
      <c r="DJ31" s="576"/>
      <c r="DK31" s="576"/>
      <c r="DL31" s="576"/>
      <c r="DM31" s="576"/>
      <c r="DN31" s="576"/>
      <c r="DO31" s="576"/>
      <c r="DP31" s="576"/>
      <c r="DQ31" s="576"/>
      <c r="DR31" s="576"/>
      <c r="DS31" s="576"/>
      <c r="DT31" s="576"/>
      <c r="DU31" s="576"/>
      <c r="DV31" s="576"/>
      <c r="DW31" s="576"/>
      <c r="DX31" s="577"/>
      <c r="DY31" s="577"/>
      <c r="DZ31" s="577"/>
      <c r="EA31" s="577"/>
      <c r="EB31" s="577"/>
      <c r="EC31" s="577"/>
      <c r="ED31" s="577"/>
      <c r="EE31" s="577"/>
      <c r="EF31" s="577"/>
      <c r="EG31" s="577"/>
      <c r="EH31" s="8">
        <v>13</v>
      </c>
    </row>
    <row r="32" spans="1:139" x14ac:dyDescent="0.25">
      <c r="A32" s="16">
        <v>28</v>
      </c>
      <c r="B32" s="19" t="s">
        <v>708</v>
      </c>
      <c r="C32" s="19"/>
      <c r="D32" s="19" t="s">
        <v>78</v>
      </c>
      <c r="E32" s="19" t="s">
        <v>75</v>
      </c>
      <c r="F32" s="19" t="s">
        <v>8</v>
      </c>
      <c r="G32" s="19" t="s">
        <v>837</v>
      </c>
      <c r="H32" s="539">
        <v>-99</v>
      </c>
      <c r="I32" s="539">
        <v>-99</v>
      </c>
      <c r="J32" s="539">
        <v>-99</v>
      </c>
      <c r="K32" s="539">
        <v>-99</v>
      </c>
      <c r="L32" s="539">
        <v>-99</v>
      </c>
      <c r="M32" s="539">
        <v>-99</v>
      </c>
      <c r="N32" s="539">
        <v>-99</v>
      </c>
      <c r="O32" s="539">
        <v>-99</v>
      </c>
      <c r="P32" s="539">
        <v>-99</v>
      </c>
      <c r="Q32" s="539">
        <v>-99</v>
      </c>
      <c r="R32" s="539">
        <v>-99</v>
      </c>
      <c r="S32" s="539">
        <v>-99</v>
      </c>
      <c r="T32" s="539">
        <v>-99</v>
      </c>
      <c r="U32" s="539">
        <v>-99</v>
      </c>
      <c r="V32" s="539">
        <v>-99</v>
      </c>
      <c r="W32" s="539">
        <v>-99</v>
      </c>
      <c r="X32" s="539">
        <v>-99</v>
      </c>
      <c r="Y32" s="539">
        <v>-99</v>
      </c>
      <c r="Z32" s="539">
        <v>-99</v>
      </c>
      <c r="AA32" s="539">
        <v>-99</v>
      </c>
      <c r="AB32" s="539">
        <v>-99</v>
      </c>
      <c r="AC32" s="539">
        <v>-99</v>
      </c>
      <c r="AD32" s="539">
        <v>-99</v>
      </c>
      <c r="AE32" s="539">
        <v>-99</v>
      </c>
      <c r="AF32" s="539">
        <v>-99</v>
      </c>
      <c r="AG32" s="539">
        <v>-99</v>
      </c>
      <c r="AH32" s="540">
        <v>-99</v>
      </c>
      <c r="AI32" s="539">
        <v>-99</v>
      </c>
      <c r="AJ32" s="540">
        <v>-99</v>
      </c>
      <c r="AK32" s="539">
        <v>-99</v>
      </c>
      <c r="AL32" s="539">
        <v>-99</v>
      </c>
      <c r="AM32" s="540">
        <v>-99</v>
      </c>
      <c r="AN32" s="539">
        <v>-99</v>
      </c>
      <c r="AO32" s="540">
        <v>-99</v>
      </c>
      <c r="AP32" s="541">
        <v>-99</v>
      </c>
      <c r="AQ32" s="539">
        <v>-99</v>
      </c>
      <c r="AR32" s="540">
        <v>-99</v>
      </c>
      <c r="AS32" s="539">
        <v>-99</v>
      </c>
      <c r="AT32" s="540">
        <v>-99</v>
      </c>
      <c r="AU32" s="539">
        <v>-99</v>
      </c>
      <c r="AV32" s="540">
        <v>-99</v>
      </c>
      <c r="AW32" s="540">
        <v>-99</v>
      </c>
      <c r="AX32" s="540">
        <v>-99</v>
      </c>
      <c r="AY32" s="540">
        <v>-99</v>
      </c>
      <c r="AZ32" s="539">
        <v>-99</v>
      </c>
      <c r="BA32" s="539">
        <v>-99</v>
      </c>
      <c r="BB32" s="540">
        <v>-99</v>
      </c>
      <c r="BC32" s="539">
        <v>-99</v>
      </c>
      <c r="BD32" s="540">
        <v>-99</v>
      </c>
      <c r="BE32" s="541">
        <v>-99</v>
      </c>
      <c r="BF32" s="612"/>
      <c r="BG32" s="612"/>
      <c r="BH32" s="612">
        <v>-99</v>
      </c>
      <c r="BI32" s="641"/>
      <c r="BJ32" s="641"/>
      <c r="BK32" s="641"/>
      <c r="BL32" s="641"/>
      <c r="BM32" s="545">
        <v>-99</v>
      </c>
      <c r="BN32" s="545">
        <v>-99</v>
      </c>
      <c r="BO32" s="641"/>
      <c r="BP32" s="641"/>
      <c r="BQ32" s="641"/>
      <c r="BR32" s="640"/>
      <c r="BS32" s="547" t="s">
        <v>188</v>
      </c>
      <c r="BT32" s="549" t="s">
        <v>188</v>
      </c>
      <c r="BU32" s="549" t="s">
        <v>188</v>
      </c>
      <c r="BV32" s="549" t="s">
        <v>188</v>
      </c>
      <c r="BW32" s="549" t="s">
        <v>188</v>
      </c>
      <c r="BX32" s="549" t="s">
        <v>188</v>
      </c>
      <c r="BY32" s="549" t="s">
        <v>188</v>
      </c>
      <c r="BZ32" s="549" t="s">
        <v>188</v>
      </c>
      <c r="CA32" s="549" t="s">
        <v>188</v>
      </c>
      <c r="CB32" s="549" t="s">
        <v>188</v>
      </c>
      <c r="CC32" s="549" t="s">
        <v>188</v>
      </c>
      <c r="CD32" s="662"/>
      <c r="CE32" s="661" t="s">
        <v>188</v>
      </c>
      <c r="CF32" s="662" t="s">
        <v>188</v>
      </c>
      <c r="CG32" s="662" t="s">
        <v>188</v>
      </c>
      <c r="CH32" s="662" t="s">
        <v>188</v>
      </c>
      <c r="CI32" s="662" t="s">
        <v>188</v>
      </c>
      <c r="CJ32" s="662" t="s">
        <v>188</v>
      </c>
      <c r="CK32" s="662" t="s">
        <v>188</v>
      </c>
      <c r="CL32" s="662" t="s">
        <v>188</v>
      </c>
      <c r="CM32" s="662" t="s">
        <v>188</v>
      </c>
      <c r="CN32" s="662" t="s">
        <v>188</v>
      </c>
      <c r="CO32" s="640"/>
      <c r="CP32" s="640"/>
      <c r="CQ32" s="640"/>
      <c r="CR32" s="640"/>
      <c r="CS32" s="640"/>
      <c r="CT32" s="640"/>
      <c r="CU32" s="640"/>
      <c r="CV32" s="640"/>
      <c r="CW32" s="640"/>
      <c r="CX32" s="640"/>
      <c r="CY32" s="640"/>
      <c r="CZ32" s="640"/>
      <c r="DA32" s="640"/>
      <c r="DB32" s="640"/>
      <c r="DC32" s="640"/>
      <c r="DD32" s="640"/>
      <c r="DE32" s="640"/>
      <c r="DF32" s="640"/>
      <c r="DG32" s="640"/>
      <c r="DH32" s="640"/>
      <c r="DI32" s="641"/>
      <c r="DJ32" s="641"/>
      <c r="DK32" s="641"/>
      <c r="DL32" s="641"/>
      <c r="DM32" s="641"/>
      <c r="DN32" s="641"/>
      <c r="DO32" s="641"/>
      <c r="DP32" s="641"/>
      <c r="DQ32" s="641"/>
      <c r="DR32" s="641"/>
      <c r="DS32" s="641"/>
      <c r="DT32" s="641"/>
      <c r="DU32" s="641"/>
      <c r="DV32" s="641"/>
      <c r="DW32" s="641"/>
      <c r="DX32" s="577"/>
      <c r="DY32" s="577"/>
      <c r="DZ32" s="577"/>
      <c r="EA32" s="577"/>
      <c r="EB32" s="577"/>
      <c r="EC32" s="577"/>
      <c r="ED32" s="577"/>
      <c r="EE32" s="577"/>
      <c r="EF32" s="577"/>
      <c r="EG32" s="577"/>
      <c r="EH32" s="8">
        <v>8</v>
      </c>
    </row>
    <row r="33" spans="1:138" x14ac:dyDescent="0.25">
      <c r="A33" s="16">
        <v>29</v>
      </c>
      <c r="B33" s="19" t="s">
        <v>69</v>
      </c>
      <c r="C33" s="19"/>
      <c r="D33" s="19" t="s">
        <v>55</v>
      </c>
      <c r="E33" s="19" t="s">
        <v>75</v>
      </c>
      <c r="F33" s="19" t="s">
        <v>8</v>
      </c>
      <c r="G33" s="19" t="s">
        <v>837</v>
      </c>
      <c r="H33" s="539">
        <v>-99</v>
      </c>
      <c r="I33" s="539">
        <v>7.0590057387349059E-3</v>
      </c>
      <c r="J33" s="539">
        <v>-99</v>
      </c>
      <c r="K33" s="539">
        <v>1.3270033741480489E-2</v>
      </c>
      <c r="L33" s="539">
        <v>-99</v>
      </c>
      <c r="M33" s="539">
        <v>-99</v>
      </c>
      <c r="N33" s="539">
        <v>8.0000000000000002E-3</v>
      </c>
      <c r="O33" s="539">
        <v>-99</v>
      </c>
      <c r="P33" s="539">
        <v>1.4999999999999999E-2</v>
      </c>
      <c r="Q33" s="539">
        <v>-99</v>
      </c>
      <c r="R33" s="539">
        <v>-99</v>
      </c>
      <c r="S33" s="539">
        <v>6.0000000000000001E-3</v>
      </c>
      <c r="T33" s="539">
        <v>-99</v>
      </c>
      <c r="U33" s="539">
        <v>1.0999999999999999E-2</v>
      </c>
      <c r="V33" s="539">
        <v>-99</v>
      </c>
      <c r="W33" s="539">
        <v>-99</v>
      </c>
      <c r="X33" s="539">
        <v>-99</v>
      </c>
      <c r="Y33" s="539">
        <v>-99</v>
      </c>
      <c r="Z33" s="539">
        <v>-99</v>
      </c>
      <c r="AA33" s="539">
        <v>-99</v>
      </c>
      <c r="AB33" s="539">
        <v>-99</v>
      </c>
      <c r="AC33" s="539">
        <v>8.0000000000000002E-3</v>
      </c>
      <c r="AD33" s="539">
        <v>-99</v>
      </c>
      <c r="AE33" s="539">
        <v>1.4E-2</v>
      </c>
      <c r="AF33" s="539">
        <v>-99</v>
      </c>
      <c r="AG33" s="539">
        <v>-99</v>
      </c>
      <c r="AH33" s="540">
        <v>-99</v>
      </c>
      <c r="AI33" s="539">
        <v>-99</v>
      </c>
      <c r="AJ33" s="540">
        <v>-99</v>
      </c>
      <c r="AK33" s="539">
        <v>-99</v>
      </c>
      <c r="AL33" s="539">
        <v>-99</v>
      </c>
      <c r="AM33" s="540">
        <v>-99</v>
      </c>
      <c r="AN33" s="539">
        <v>-99</v>
      </c>
      <c r="AO33" s="540">
        <v>-99</v>
      </c>
      <c r="AP33" s="541">
        <v>-99</v>
      </c>
      <c r="AQ33" s="539">
        <v>-99</v>
      </c>
      <c r="AR33" s="540">
        <v>-99</v>
      </c>
      <c r="AS33" s="539">
        <v>-99</v>
      </c>
      <c r="AT33" s="540">
        <v>-99</v>
      </c>
      <c r="AU33" s="539">
        <v>-99</v>
      </c>
      <c r="AV33" s="540">
        <v>-99</v>
      </c>
      <c r="AW33" s="540">
        <v>-99</v>
      </c>
      <c r="AX33" s="540">
        <v>-99</v>
      </c>
      <c r="AY33" s="540">
        <v>-99</v>
      </c>
      <c r="AZ33" s="539">
        <v>-99</v>
      </c>
      <c r="BA33" s="539">
        <v>-99</v>
      </c>
      <c r="BB33" s="540">
        <v>-99</v>
      </c>
      <c r="BC33" s="539">
        <v>-99</v>
      </c>
      <c r="BD33" s="540">
        <v>-99</v>
      </c>
      <c r="BE33" s="541">
        <v>-99</v>
      </c>
      <c r="BF33" s="612"/>
      <c r="BG33" s="541"/>
      <c r="BH33" s="612">
        <v>-99</v>
      </c>
      <c r="BI33" s="576"/>
      <c r="BJ33" s="576"/>
      <c r="BK33" s="576"/>
      <c r="BL33" s="576"/>
      <c r="BM33" s="545">
        <v>-99</v>
      </c>
      <c r="BN33" s="545">
        <v>-99</v>
      </c>
      <c r="BO33" s="576"/>
      <c r="BP33" s="576"/>
      <c r="BQ33" s="576"/>
      <c r="BR33" s="640"/>
      <c r="BS33" s="547" t="s">
        <v>188</v>
      </c>
      <c r="BT33" s="549" t="s">
        <v>188</v>
      </c>
      <c r="BU33" s="549" t="s">
        <v>188</v>
      </c>
      <c r="BV33" s="549" t="s">
        <v>188</v>
      </c>
      <c r="BW33" s="549" t="s">
        <v>188</v>
      </c>
      <c r="BX33" s="549" t="s">
        <v>188</v>
      </c>
      <c r="BY33" s="549" t="s">
        <v>188</v>
      </c>
      <c r="BZ33" s="549" t="s">
        <v>188</v>
      </c>
      <c r="CA33" s="549" t="s">
        <v>188</v>
      </c>
      <c r="CB33" s="549" t="s">
        <v>188</v>
      </c>
      <c r="CC33" s="549" t="s">
        <v>188</v>
      </c>
      <c r="CD33" s="662"/>
      <c r="CE33" s="661" t="s">
        <v>188</v>
      </c>
      <c r="CF33" s="662" t="s">
        <v>188</v>
      </c>
      <c r="CG33" s="662" t="s">
        <v>188</v>
      </c>
      <c r="CH33" s="662" t="s">
        <v>188</v>
      </c>
      <c r="CI33" s="662" t="s">
        <v>188</v>
      </c>
      <c r="CJ33" s="662" t="s">
        <v>188</v>
      </c>
      <c r="CK33" s="662" t="s">
        <v>188</v>
      </c>
      <c r="CL33" s="662" t="s">
        <v>188</v>
      </c>
      <c r="CM33" s="662" t="s">
        <v>188</v>
      </c>
      <c r="CN33" s="662" t="s">
        <v>188</v>
      </c>
      <c r="CO33" s="640"/>
      <c r="CP33" s="640"/>
      <c r="CQ33" s="640"/>
      <c r="CR33" s="640"/>
      <c r="CS33" s="640"/>
      <c r="CT33" s="640"/>
      <c r="CU33" s="640"/>
      <c r="CV33" s="640"/>
      <c r="CW33" s="640"/>
      <c r="CX33" s="640"/>
      <c r="CY33" s="640"/>
      <c r="CZ33" s="640"/>
      <c r="DA33" s="640"/>
      <c r="DB33" s="640"/>
      <c r="DC33" s="640"/>
      <c r="DD33" s="640"/>
      <c r="DE33" s="640"/>
      <c r="DF33" s="640"/>
      <c r="DG33" s="640"/>
      <c r="DH33" s="640"/>
      <c r="DI33" s="576"/>
      <c r="DJ33" s="576"/>
      <c r="DK33" s="576"/>
      <c r="DL33" s="576"/>
      <c r="DM33" s="576"/>
      <c r="DN33" s="576"/>
      <c r="DO33" s="576"/>
      <c r="DP33" s="576"/>
      <c r="DQ33" s="576"/>
      <c r="DR33" s="576"/>
      <c r="DS33" s="576"/>
      <c r="DT33" s="576"/>
      <c r="DU33" s="576"/>
      <c r="DV33" s="576"/>
      <c r="DW33" s="576"/>
      <c r="DX33" s="577"/>
      <c r="DY33" s="577"/>
      <c r="DZ33" s="577"/>
      <c r="EA33" s="577"/>
      <c r="EB33" s="577"/>
      <c r="EC33" s="577"/>
      <c r="ED33" s="577"/>
      <c r="EE33" s="577"/>
      <c r="EF33" s="577"/>
      <c r="EG33" s="577"/>
      <c r="EH33" s="8">
        <v>132</v>
      </c>
    </row>
    <row r="34" spans="1:138" x14ac:dyDescent="0.25">
      <c r="A34" s="16">
        <v>30</v>
      </c>
      <c r="B34" s="19" t="s">
        <v>65</v>
      </c>
      <c r="C34" s="19"/>
      <c r="D34" s="19" t="s">
        <v>55</v>
      </c>
      <c r="E34" s="19" t="s">
        <v>75</v>
      </c>
      <c r="F34" s="526"/>
      <c r="G34" s="526" t="s">
        <v>6</v>
      </c>
      <c r="H34" s="539">
        <v>-99</v>
      </c>
      <c r="I34" s="539">
        <v>5.891234260309379E-2</v>
      </c>
      <c r="J34" s="539">
        <v>-99</v>
      </c>
      <c r="K34" s="539">
        <v>0.11364901517924739</v>
      </c>
      <c r="L34" s="539">
        <v>-99</v>
      </c>
      <c r="M34" s="539">
        <v>-99</v>
      </c>
      <c r="N34" s="539">
        <v>3.3000000000000002E-2</v>
      </c>
      <c r="O34" s="539">
        <v>-99</v>
      </c>
      <c r="P34" s="539">
        <v>8.1000000000000003E-2</v>
      </c>
      <c r="Q34" s="539">
        <v>-99</v>
      </c>
      <c r="R34" s="539">
        <v>-99</v>
      </c>
      <c r="S34" s="539">
        <v>-99</v>
      </c>
      <c r="T34" s="539">
        <v>-99</v>
      </c>
      <c r="U34" s="539">
        <v>-99</v>
      </c>
      <c r="V34" s="539">
        <v>-99</v>
      </c>
      <c r="W34" s="539">
        <v>-99</v>
      </c>
      <c r="X34" s="539">
        <v>7.1999999999999995E-2</v>
      </c>
      <c r="Y34" s="539">
        <v>-99</v>
      </c>
      <c r="Z34" s="539">
        <v>0.13500000000000001</v>
      </c>
      <c r="AA34" s="539">
        <v>-99</v>
      </c>
      <c r="AB34" s="539">
        <v>-99</v>
      </c>
      <c r="AC34" s="539">
        <v>9.2999999999999999E-2</v>
      </c>
      <c r="AD34" s="539">
        <v>-99</v>
      </c>
      <c r="AE34" s="539">
        <v>0.14399999999999999</v>
      </c>
      <c r="AF34" s="539">
        <v>-99</v>
      </c>
      <c r="AG34" s="539">
        <v>-99</v>
      </c>
      <c r="AH34" s="540">
        <v>-99</v>
      </c>
      <c r="AI34" s="539">
        <v>-99</v>
      </c>
      <c r="AJ34" s="540">
        <v>-99</v>
      </c>
      <c r="AK34" s="539">
        <v>-99</v>
      </c>
      <c r="AL34" s="539">
        <v>-99</v>
      </c>
      <c r="AM34" s="540">
        <v>-99</v>
      </c>
      <c r="AN34" s="539">
        <v>-99</v>
      </c>
      <c r="AO34" s="540">
        <v>-99</v>
      </c>
      <c r="AP34" s="541">
        <v>-99</v>
      </c>
      <c r="AQ34" s="539">
        <v>-99</v>
      </c>
      <c r="AR34" s="540">
        <v>-99</v>
      </c>
      <c r="AS34" s="539">
        <v>-99</v>
      </c>
      <c r="AT34" s="540">
        <v>-99</v>
      </c>
      <c r="AU34" s="539">
        <v>-99</v>
      </c>
      <c r="AV34" s="540">
        <v>-99</v>
      </c>
      <c r="AW34" s="540">
        <v>-99</v>
      </c>
      <c r="AX34" s="540">
        <v>-99</v>
      </c>
      <c r="AY34" s="540">
        <v>-99</v>
      </c>
      <c r="AZ34" s="539">
        <v>-99</v>
      </c>
      <c r="BA34" s="539">
        <v>-99</v>
      </c>
      <c r="BB34" s="540">
        <v>-99</v>
      </c>
      <c r="BC34" s="539">
        <v>-99</v>
      </c>
      <c r="BD34" s="540">
        <v>-99</v>
      </c>
      <c r="BE34" s="541">
        <v>-99</v>
      </c>
      <c r="BF34" s="612"/>
      <c r="BG34" s="541"/>
      <c r="BH34" s="612">
        <v>-99</v>
      </c>
      <c r="BI34" s="576"/>
      <c r="BJ34" s="576"/>
      <c r="BK34" s="576"/>
      <c r="BL34" s="576"/>
      <c r="BM34" s="545">
        <v>-99</v>
      </c>
      <c r="BN34" s="545">
        <v>-99</v>
      </c>
      <c r="BO34" s="576"/>
      <c r="BP34" s="576"/>
      <c r="BQ34" s="576"/>
      <c r="BR34" s="570"/>
      <c r="BS34" s="547" t="s">
        <v>188</v>
      </c>
      <c r="BT34" s="549" t="s">
        <v>188</v>
      </c>
      <c r="BU34" s="549" t="s">
        <v>188</v>
      </c>
      <c r="BV34" s="549" t="s">
        <v>188</v>
      </c>
      <c r="BW34" s="549" t="s">
        <v>188</v>
      </c>
      <c r="BX34" s="549" t="s">
        <v>188</v>
      </c>
      <c r="BY34" s="549" t="s">
        <v>188</v>
      </c>
      <c r="BZ34" s="549" t="s">
        <v>188</v>
      </c>
      <c r="CA34" s="549" t="s">
        <v>188</v>
      </c>
      <c r="CB34" s="549" t="s">
        <v>188</v>
      </c>
      <c r="CC34" s="549" t="s">
        <v>188</v>
      </c>
      <c r="CD34" s="662"/>
      <c r="CE34" s="661" t="s">
        <v>188</v>
      </c>
      <c r="CF34" s="662" t="s">
        <v>188</v>
      </c>
      <c r="CG34" s="662" t="s">
        <v>188</v>
      </c>
      <c r="CH34" s="662" t="s">
        <v>188</v>
      </c>
      <c r="CI34" s="662" t="s">
        <v>188</v>
      </c>
      <c r="CJ34" s="662" t="s">
        <v>188</v>
      </c>
      <c r="CK34" s="662" t="s">
        <v>188</v>
      </c>
      <c r="CL34" s="662" t="s">
        <v>188</v>
      </c>
      <c r="CM34" s="662" t="s">
        <v>188</v>
      </c>
      <c r="CN34" s="662" t="s">
        <v>188</v>
      </c>
      <c r="CO34" s="640"/>
      <c r="CP34" s="640"/>
      <c r="CQ34" s="640"/>
      <c r="CR34" s="640"/>
      <c r="CS34" s="640"/>
      <c r="CT34" s="640"/>
      <c r="CU34" s="640"/>
      <c r="CV34" s="640"/>
      <c r="CW34" s="640"/>
      <c r="CX34" s="640"/>
      <c r="CY34" s="640"/>
      <c r="CZ34" s="640"/>
      <c r="DA34" s="640"/>
      <c r="DB34" s="640"/>
      <c r="DC34" s="640"/>
      <c r="DD34" s="640"/>
      <c r="DE34" s="640"/>
      <c r="DF34" s="640"/>
      <c r="DG34" s="640"/>
      <c r="DH34" s="640"/>
      <c r="DI34" s="576"/>
      <c r="DJ34" s="576"/>
      <c r="DK34" s="576"/>
      <c r="DL34" s="576"/>
      <c r="DM34" s="576"/>
      <c r="DN34" s="576"/>
      <c r="DO34" s="576"/>
      <c r="DP34" s="576"/>
      <c r="DQ34" s="576"/>
      <c r="DR34" s="576"/>
      <c r="DS34" s="576"/>
      <c r="DT34" s="576"/>
      <c r="DU34" s="576"/>
      <c r="DV34" s="576"/>
      <c r="DW34" s="576"/>
      <c r="DX34" s="577"/>
      <c r="DY34" s="577"/>
      <c r="DZ34" s="577"/>
      <c r="EA34" s="577"/>
      <c r="EB34" s="577"/>
      <c r="EC34" s="577"/>
      <c r="ED34" s="577"/>
      <c r="EE34" s="577"/>
      <c r="EF34" s="577"/>
      <c r="EG34" s="577"/>
      <c r="EH34" s="8">
        <v>131</v>
      </c>
    </row>
    <row r="35" spans="1:138" x14ac:dyDescent="0.25">
      <c r="A35" s="16">
        <v>31</v>
      </c>
      <c r="B35" s="19" t="s">
        <v>24</v>
      </c>
      <c r="C35" s="19"/>
      <c r="D35" s="19" t="s">
        <v>55</v>
      </c>
      <c r="E35" s="19" t="s">
        <v>75</v>
      </c>
      <c r="F35" s="19" t="s">
        <v>8</v>
      </c>
      <c r="G35" s="19" t="s">
        <v>837</v>
      </c>
      <c r="H35" s="539">
        <v>-99</v>
      </c>
      <c r="I35" s="539">
        <v>-99</v>
      </c>
      <c r="J35" s="539">
        <v>-99</v>
      </c>
      <c r="K35" s="539">
        <v>-99</v>
      </c>
      <c r="L35" s="539">
        <v>-99</v>
      </c>
      <c r="M35" s="539">
        <v>-99</v>
      </c>
      <c r="N35" s="539">
        <v>-99</v>
      </c>
      <c r="O35" s="539">
        <v>-99</v>
      </c>
      <c r="P35" s="539">
        <v>-99</v>
      </c>
      <c r="Q35" s="539">
        <v>-99</v>
      </c>
      <c r="R35" s="539">
        <v>-99</v>
      </c>
      <c r="S35" s="539">
        <v>-99</v>
      </c>
      <c r="T35" s="539">
        <v>-99</v>
      </c>
      <c r="U35" s="539">
        <v>-99</v>
      </c>
      <c r="V35" s="539">
        <v>-99</v>
      </c>
      <c r="W35" s="539">
        <v>-99</v>
      </c>
      <c r="X35" s="539">
        <v>-99</v>
      </c>
      <c r="Y35" s="539">
        <v>-99</v>
      </c>
      <c r="Z35" s="539">
        <v>-99</v>
      </c>
      <c r="AA35" s="539">
        <v>-99</v>
      </c>
      <c r="AB35" s="539">
        <v>-99</v>
      </c>
      <c r="AC35" s="539">
        <v>-99</v>
      </c>
      <c r="AD35" s="539">
        <v>-99</v>
      </c>
      <c r="AE35" s="539">
        <v>-99</v>
      </c>
      <c r="AF35" s="539">
        <v>-99</v>
      </c>
      <c r="AG35" s="539">
        <v>-99</v>
      </c>
      <c r="AH35" s="540">
        <v>-99</v>
      </c>
      <c r="AI35" s="539">
        <v>-99</v>
      </c>
      <c r="AJ35" s="540">
        <v>-99</v>
      </c>
      <c r="AK35" s="539">
        <v>-99</v>
      </c>
      <c r="AL35" s="539">
        <v>-99</v>
      </c>
      <c r="AM35" s="540">
        <v>-99</v>
      </c>
      <c r="AN35" s="539">
        <v>-99</v>
      </c>
      <c r="AO35" s="540">
        <v>-99</v>
      </c>
      <c r="AP35" s="541">
        <v>-99</v>
      </c>
      <c r="AQ35" s="539">
        <v>-99</v>
      </c>
      <c r="AR35" s="540">
        <v>-99</v>
      </c>
      <c r="AS35" s="539">
        <v>-99</v>
      </c>
      <c r="AT35" s="540">
        <v>-99</v>
      </c>
      <c r="AU35" s="539">
        <v>-99</v>
      </c>
      <c r="AV35" s="540">
        <v>-99</v>
      </c>
      <c r="AW35" s="540">
        <v>-99</v>
      </c>
      <c r="AX35" s="540">
        <v>-99</v>
      </c>
      <c r="AY35" s="540">
        <v>-99</v>
      </c>
      <c r="AZ35" s="539">
        <v>-99</v>
      </c>
      <c r="BA35" s="539">
        <v>-99</v>
      </c>
      <c r="BB35" s="540">
        <v>-99</v>
      </c>
      <c r="BC35" s="539">
        <v>-99</v>
      </c>
      <c r="BD35" s="540">
        <v>-99</v>
      </c>
      <c r="BE35" s="541">
        <v>-99</v>
      </c>
      <c r="BF35" s="612"/>
      <c r="BG35" s="541"/>
      <c r="BH35" s="612">
        <v>-99</v>
      </c>
      <c r="BI35" s="641"/>
      <c r="BJ35" s="641"/>
      <c r="BK35" s="641"/>
      <c r="BL35" s="641"/>
      <c r="BM35" s="545">
        <v>-99</v>
      </c>
      <c r="BN35" s="545">
        <v>-99</v>
      </c>
      <c r="BO35" s="641"/>
      <c r="BP35" s="641"/>
      <c r="BQ35" s="641"/>
      <c r="BR35" s="640"/>
      <c r="BS35" s="547" t="s">
        <v>188</v>
      </c>
      <c r="BT35" s="549" t="s">
        <v>188</v>
      </c>
      <c r="BU35" s="549" t="s">
        <v>188</v>
      </c>
      <c r="BV35" s="549" t="s">
        <v>188</v>
      </c>
      <c r="BW35" s="549" t="s">
        <v>188</v>
      </c>
      <c r="BX35" s="549" t="s">
        <v>188</v>
      </c>
      <c r="BY35" s="549" t="s">
        <v>188</v>
      </c>
      <c r="BZ35" s="549" t="s">
        <v>188</v>
      </c>
      <c r="CA35" s="549" t="s">
        <v>188</v>
      </c>
      <c r="CB35" s="549" t="s">
        <v>188</v>
      </c>
      <c r="CC35" s="549" t="s">
        <v>188</v>
      </c>
      <c r="CD35" s="662"/>
      <c r="CE35" s="661" t="s">
        <v>188</v>
      </c>
      <c r="CF35" s="662" t="s">
        <v>188</v>
      </c>
      <c r="CG35" s="662" t="s">
        <v>188</v>
      </c>
      <c r="CH35" s="662" t="s">
        <v>188</v>
      </c>
      <c r="CI35" s="662" t="s">
        <v>188</v>
      </c>
      <c r="CJ35" s="662" t="s">
        <v>188</v>
      </c>
      <c r="CK35" s="662" t="s">
        <v>188</v>
      </c>
      <c r="CL35" s="662" t="s">
        <v>188</v>
      </c>
      <c r="CM35" s="662" t="s">
        <v>188</v>
      </c>
      <c r="CN35" s="662" t="s">
        <v>188</v>
      </c>
      <c r="CO35" s="640"/>
      <c r="CP35" s="640"/>
      <c r="CQ35" s="640"/>
      <c r="CR35" s="640"/>
      <c r="CS35" s="640"/>
      <c r="CT35" s="640"/>
      <c r="CU35" s="640"/>
      <c r="CV35" s="640"/>
      <c r="CW35" s="640"/>
      <c r="CX35" s="640"/>
      <c r="CY35" s="640"/>
      <c r="CZ35" s="640"/>
      <c r="DA35" s="640"/>
      <c r="DB35" s="640"/>
      <c r="DC35" s="640"/>
      <c r="DD35" s="640"/>
      <c r="DE35" s="640"/>
      <c r="DF35" s="640"/>
      <c r="DG35" s="640"/>
      <c r="DH35" s="640"/>
      <c r="DI35" s="641"/>
      <c r="DJ35" s="641"/>
      <c r="DK35" s="641"/>
      <c r="DL35" s="641"/>
      <c r="DM35" s="641"/>
      <c r="DN35" s="641"/>
      <c r="DO35" s="641"/>
      <c r="DP35" s="641"/>
      <c r="DQ35" s="641"/>
      <c r="DR35" s="641"/>
      <c r="DS35" s="641"/>
      <c r="DT35" s="641"/>
      <c r="DU35" s="641"/>
      <c r="DV35" s="641"/>
      <c r="DW35" s="641"/>
      <c r="DX35" s="607"/>
      <c r="DY35" s="607"/>
      <c r="DZ35" s="607"/>
      <c r="EA35" s="607"/>
      <c r="EB35" s="607"/>
      <c r="EC35" s="607"/>
      <c r="ED35" s="607"/>
      <c r="EE35" s="607"/>
      <c r="EF35" s="607"/>
      <c r="EG35" s="607"/>
      <c r="EH35" s="8">
        <v>115</v>
      </c>
    </row>
    <row r="36" spans="1:138" x14ac:dyDescent="0.25">
      <c r="A36" s="16">
        <v>32</v>
      </c>
      <c r="B36" s="19" t="s">
        <v>94</v>
      </c>
      <c r="C36" s="19"/>
      <c r="D36" s="19" t="s">
        <v>55</v>
      </c>
      <c r="E36" s="19" t="s">
        <v>75</v>
      </c>
      <c r="F36" s="19" t="s">
        <v>8</v>
      </c>
      <c r="G36" s="19" t="s">
        <v>837</v>
      </c>
      <c r="H36" s="539">
        <v>-99</v>
      </c>
      <c r="I36" s="539">
        <v>-99</v>
      </c>
      <c r="J36" s="539">
        <v>-99</v>
      </c>
      <c r="K36" s="539">
        <v>-99</v>
      </c>
      <c r="L36" s="539">
        <v>-99</v>
      </c>
      <c r="M36" s="539">
        <v>-99</v>
      </c>
      <c r="N36" s="539">
        <v>-99</v>
      </c>
      <c r="O36" s="539">
        <v>-99</v>
      </c>
      <c r="P36" s="539">
        <v>-99</v>
      </c>
      <c r="Q36" s="539">
        <v>-99</v>
      </c>
      <c r="R36" s="539">
        <v>-99</v>
      </c>
      <c r="S36" s="539">
        <v>-99</v>
      </c>
      <c r="T36" s="539">
        <v>-99</v>
      </c>
      <c r="U36" s="539">
        <v>-99</v>
      </c>
      <c r="V36" s="539">
        <v>-99</v>
      </c>
      <c r="W36" s="539">
        <v>-99</v>
      </c>
      <c r="X36" s="539">
        <v>-99</v>
      </c>
      <c r="Y36" s="539">
        <v>-99</v>
      </c>
      <c r="Z36" s="539">
        <v>-99</v>
      </c>
      <c r="AA36" s="539">
        <v>-99</v>
      </c>
      <c r="AB36" s="539">
        <v>-99</v>
      </c>
      <c r="AC36" s="539">
        <v>-99</v>
      </c>
      <c r="AD36" s="539">
        <v>-99</v>
      </c>
      <c r="AE36" s="539">
        <v>-99</v>
      </c>
      <c r="AF36" s="539">
        <v>-99</v>
      </c>
      <c r="AG36" s="539">
        <v>-99</v>
      </c>
      <c r="AH36" s="540">
        <v>-99</v>
      </c>
      <c r="AI36" s="539">
        <v>-99</v>
      </c>
      <c r="AJ36" s="540">
        <v>-99</v>
      </c>
      <c r="AK36" s="539">
        <v>-99</v>
      </c>
      <c r="AL36" s="539">
        <v>-99</v>
      </c>
      <c r="AM36" s="540">
        <v>-99</v>
      </c>
      <c r="AN36" s="539">
        <v>-99</v>
      </c>
      <c r="AO36" s="540">
        <v>-99</v>
      </c>
      <c r="AP36" s="541">
        <v>-99</v>
      </c>
      <c r="AQ36" s="539">
        <v>-99</v>
      </c>
      <c r="AR36" s="540">
        <v>-99</v>
      </c>
      <c r="AS36" s="539">
        <v>-99</v>
      </c>
      <c r="AT36" s="540">
        <v>-99</v>
      </c>
      <c r="AU36" s="539">
        <v>-99</v>
      </c>
      <c r="AV36" s="540">
        <v>-99</v>
      </c>
      <c r="AW36" s="540">
        <v>-99</v>
      </c>
      <c r="AX36" s="540">
        <v>-99</v>
      </c>
      <c r="AY36" s="540">
        <v>-99</v>
      </c>
      <c r="AZ36" s="539">
        <v>-99</v>
      </c>
      <c r="BA36" s="539">
        <v>-99</v>
      </c>
      <c r="BB36" s="540">
        <v>-99</v>
      </c>
      <c r="BC36" s="539">
        <v>-99</v>
      </c>
      <c r="BD36" s="540">
        <v>-99</v>
      </c>
      <c r="BE36" s="541">
        <v>-99</v>
      </c>
      <c r="BF36" s="612"/>
      <c r="BG36" s="541"/>
      <c r="BH36" s="612">
        <v>-99</v>
      </c>
      <c r="BI36" s="576"/>
      <c r="BJ36" s="576"/>
      <c r="BK36" s="576"/>
      <c r="BL36" s="576"/>
      <c r="BM36" s="545">
        <v>-99</v>
      </c>
      <c r="BN36" s="545">
        <v>-99</v>
      </c>
      <c r="BO36" s="576"/>
      <c r="BP36" s="576"/>
      <c r="BQ36" s="576"/>
      <c r="BR36" s="570"/>
      <c r="BS36" s="547" t="s">
        <v>188</v>
      </c>
      <c r="BT36" s="549" t="s">
        <v>188</v>
      </c>
      <c r="BU36" s="549" t="s">
        <v>188</v>
      </c>
      <c r="BV36" s="549" t="s">
        <v>188</v>
      </c>
      <c r="BW36" s="549" t="s">
        <v>188</v>
      </c>
      <c r="BX36" s="549" t="s">
        <v>188</v>
      </c>
      <c r="BY36" s="549" t="s">
        <v>188</v>
      </c>
      <c r="BZ36" s="549" t="s">
        <v>188</v>
      </c>
      <c r="CA36" s="549" t="s">
        <v>188</v>
      </c>
      <c r="CB36" s="549" t="s">
        <v>188</v>
      </c>
      <c r="CC36" s="549" t="s">
        <v>188</v>
      </c>
      <c r="CD36" s="662"/>
      <c r="CE36" s="661" t="s">
        <v>188</v>
      </c>
      <c r="CF36" s="662" t="s">
        <v>188</v>
      </c>
      <c r="CG36" s="662" t="s">
        <v>188</v>
      </c>
      <c r="CH36" s="662" t="s">
        <v>188</v>
      </c>
      <c r="CI36" s="662" t="s">
        <v>188</v>
      </c>
      <c r="CJ36" s="662" t="s">
        <v>188</v>
      </c>
      <c r="CK36" s="662" t="s">
        <v>188</v>
      </c>
      <c r="CL36" s="662" t="s">
        <v>188</v>
      </c>
      <c r="CM36" s="662" t="s">
        <v>188</v>
      </c>
      <c r="CN36" s="662" t="s">
        <v>188</v>
      </c>
      <c r="CO36" s="640"/>
      <c r="CP36" s="640"/>
      <c r="CQ36" s="640"/>
      <c r="CR36" s="640"/>
      <c r="CS36" s="640"/>
      <c r="CT36" s="640"/>
      <c r="CU36" s="640"/>
      <c r="CV36" s="640"/>
      <c r="CW36" s="640"/>
      <c r="CX36" s="640"/>
      <c r="CY36" s="640"/>
      <c r="CZ36" s="640"/>
      <c r="DA36" s="640"/>
      <c r="DB36" s="640"/>
      <c r="DC36" s="640"/>
      <c r="DD36" s="640"/>
      <c r="DE36" s="640"/>
      <c r="DF36" s="640"/>
      <c r="DG36" s="640"/>
      <c r="DH36" s="640"/>
      <c r="DI36" s="576"/>
      <c r="DJ36" s="576"/>
      <c r="DK36" s="576"/>
      <c r="DL36" s="576"/>
      <c r="DM36" s="576"/>
      <c r="DN36" s="576"/>
      <c r="DO36" s="576"/>
      <c r="DP36" s="576"/>
      <c r="DQ36" s="576"/>
      <c r="DR36" s="576"/>
      <c r="DS36" s="576"/>
      <c r="DT36" s="576"/>
      <c r="DU36" s="576"/>
      <c r="DV36" s="576"/>
      <c r="DW36" s="576"/>
      <c r="DX36" s="577"/>
      <c r="DY36" s="577"/>
      <c r="DZ36" s="577"/>
      <c r="EA36" s="577"/>
      <c r="EB36" s="577"/>
      <c r="EC36" s="577"/>
      <c r="ED36" s="577"/>
      <c r="EE36" s="577"/>
      <c r="EF36" s="577"/>
      <c r="EG36" s="577"/>
      <c r="EH36" s="8">
        <v>112</v>
      </c>
    </row>
    <row r="37" spans="1:138" x14ac:dyDescent="0.25">
      <c r="A37" s="16">
        <v>33</v>
      </c>
      <c r="B37" s="19" t="s">
        <v>97</v>
      </c>
      <c r="C37" s="19"/>
      <c r="D37" s="19" t="s">
        <v>55</v>
      </c>
      <c r="E37" s="19" t="s">
        <v>75</v>
      </c>
      <c r="F37" s="19" t="s">
        <v>8</v>
      </c>
      <c r="G37" s="19" t="s">
        <v>837</v>
      </c>
      <c r="H37" s="539">
        <v>-99</v>
      </c>
      <c r="I37" s="539">
        <v>-99</v>
      </c>
      <c r="J37" s="539">
        <v>-99</v>
      </c>
      <c r="K37" s="539">
        <v>-99</v>
      </c>
      <c r="L37" s="539">
        <v>-99</v>
      </c>
      <c r="M37" s="539">
        <v>-99</v>
      </c>
      <c r="N37" s="539">
        <v>-99</v>
      </c>
      <c r="O37" s="539">
        <v>-99</v>
      </c>
      <c r="P37" s="539">
        <v>-99</v>
      </c>
      <c r="Q37" s="539">
        <v>-99</v>
      </c>
      <c r="R37" s="539">
        <v>-99</v>
      </c>
      <c r="S37" s="539">
        <v>-99</v>
      </c>
      <c r="T37" s="539">
        <v>-99</v>
      </c>
      <c r="U37" s="539">
        <v>-99</v>
      </c>
      <c r="V37" s="539">
        <v>-99</v>
      </c>
      <c r="W37" s="539">
        <v>-99</v>
      </c>
      <c r="X37" s="539">
        <v>-99</v>
      </c>
      <c r="Y37" s="539">
        <v>-99</v>
      </c>
      <c r="Z37" s="539">
        <v>-99</v>
      </c>
      <c r="AA37" s="539">
        <v>-99</v>
      </c>
      <c r="AB37" s="539">
        <v>-99</v>
      </c>
      <c r="AC37" s="539">
        <v>-99</v>
      </c>
      <c r="AD37" s="539">
        <v>-99</v>
      </c>
      <c r="AE37" s="539">
        <v>-99</v>
      </c>
      <c r="AF37" s="539">
        <v>-99</v>
      </c>
      <c r="AG37" s="539">
        <v>-99</v>
      </c>
      <c r="AH37" s="540">
        <v>-99</v>
      </c>
      <c r="AI37" s="539">
        <v>-99</v>
      </c>
      <c r="AJ37" s="540">
        <v>-99</v>
      </c>
      <c r="AK37" s="539">
        <v>-99</v>
      </c>
      <c r="AL37" s="539">
        <v>-99</v>
      </c>
      <c r="AM37" s="540">
        <v>-99</v>
      </c>
      <c r="AN37" s="539">
        <v>-99</v>
      </c>
      <c r="AO37" s="540">
        <v>-99</v>
      </c>
      <c r="AP37" s="541">
        <v>-99</v>
      </c>
      <c r="AQ37" s="539">
        <v>-99</v>
      </c>
      <c r="AR37" s="540">
        <v>-99</v>
      </c>
      <c r="AS37" s="539">
        <v>-99</v>
      </c>
      <c r="AT37" s="540">
        <v>-99</v>
      </c>
      <c r="AU37" s="539">
        <v>-99</v>
      </c>
      <c r="AV37" s="540">
        <v>-99</v>
      </c>
      <c r="AW37" s="540">
        <v>-99</v>
      </c>
      <c r="AX37" s="540">
        <v>-99</v>
      </c>
      <c r="AY37" s="540">
        <v>-99</v>
      </c>
      <c r="AZ37" s="539">
        <v>-99</v>
      </c>
      <c r="BA37" s="539">
        <v>-99</v>
      </c>
      <c r="BB37" s="540">
        <v>-99</v>
      </c>
      <c r="BC37" s="539">
        <v>-99</v>
      </c>
      <c r="BD37" s="540">
        <v>-99</v>
      </c>
      <c r="BE37" s="541">
        <v>-99</v>
      </c>
      <c r="BF37" s="612"/>
      <c r="BG37" s="612"/>
      <c r="BH37" s="612">
        <v>-99</v>
      </c>
      <c r="BI37" s="576"/>
      <c r="BJ37" s="576"/>
      <c r="BK37" s="576"/>
      <c r="BL37" s="576"/>
      <c r="BM37" s="545">
        <v>-99</v>
      </c>
      <c r="BN37" s="545">
        <v>-99</v>
      </c>
      <c r="BO37" s="576"/>
      <c r="BP37" s="576"/>
      <c r="BQ37" s="576"/>
      <c r="BR37" s="640"/>
      <c r="BS37" s="547" t="s">
        <v>188</v>
      </c>
      <c r="BT37" s="549" t="s">
        <v>188</v>
      </c>
      <c r="BU37" s="549" t="s">
        <v>188</v>
      </c>
      <c r="BV37" s="549" t="s">
        <v>188</v>
      </c>
      <c r="BW37" s="549" t="s">
        <v>188</v>
      </c>
      <c r="BX37" s="549" t="s">
        <v>188</v>
      </c>
      <c r="BY37" s="549" t="s">
        <v>188</v>
      </c>
      <c r="BZ37" s="549" t="s">
        <v>188</v>
      </c>
      <c r="CA37" s="549" t="s">
        <v>188</v>
      </c>
      <c r="CB37" s="549" t="s">
        <v>188</v>
      </c>
      <c r="CC37" s="549" t="s">
        <v>188</v>
      </c>
      <c r="CD37" s="662"/>
      <c r="CE37" s="661" t="s">
        <v>188</v>
      </c>
      <c r="CF37" s="662" t="s">
        <v>188</v>
      </c>
      <c r="CG37" s="662" t="s">
        <v>188</v>
      </c>
      <c r="CH37" s="662" t="s">
        <v>188</v>
      </c>
      <c r="CI37" s="662" t="s">
        <v>188</v>
      </c>
      <c r="CJ37" s="662" t="s">
        <v>188</v>
      </c>
      <c r="CK37" s="662" t="s">
        <v>188</v>
      </c>
      <c r="CL37" s="662" t="s">
        <v>188</v>
      </c>
      <c r="CM37" s="662" t="s">
        <v>188</v>
      </c>
      <c r="CN37" s="662" t="s">
        <v>188</v>
      </c>
      <c r="CO37" s="640"/>
      <c r="CP37" s="640"/>
      <c r="CQ37" s="640"/>
      <c r="CR37" s="640"/>
      <c r="CS37" s="640"/>
      <c r="CT37" s="640"/>
      <c r="CU37" s="640"/>
      <c r="CV37" s="640"/>
      <c r="CW37" s="640"/>
      <c r="CX37" s="640"/>
      <c r="CY37" s="640"/>
      <c r="CZ37" s="640"/>
      <c r="DA37" s="640"/>
      <c r="DB37" s="640"/>
      <c r="DC37" s="640"/>
      <c r="DD37" s="640"/>
      <c r="DE37" s="640"/>
      <c r="DF37" s="640"/>
      <c r="DG37" s="640"/>
      <c r="DH37" s="640"/>
      <c r="DI37" s="576"/>
      <c r="DJ37" s="576"/>
      <c r="DK37" s="576"/>
      <c r="DL37" s="576"/>
      <c r="DM37" s="576"/>
      <c r="DN37" s="576"/>
      <c r="DO37" s="576"/>
      <c r="DP37" s="576"/>
      <c r="DQ37" s="576"/>
      <c r="DR37" s="576"/>
      <c r="DS37" s="576"/>
      <c r="DT37" s="576"/>
      <c r="DU37" s="576"/>
      <c r="DV37" s="576"/>
      <c r="DW37" s="576"/>
      <c r="DX37" s="577"/>
      <c r="DY37" s="577"/>
      <c r="DZ37" s="577"/>
      <c r="EA37" s="577"/>
      <c r="EB37" s="577"/>
      <c r="EC37" s="577"/>
      <c r="ED37" s="577"/>
      <c r="EE37" s="577"/>
      <c r="EF37" s="577"/>
      <c r="EG37" s="577"/>
      <c r="EH37" s="8">
        <v>101</v>
      </c>
    </row>
    <row r="38" spans="1:138" x14ac:dyDescent="0.25">
      <c r="A38" s="16">
        <v>34</v>
      </c>
      <c r="B38" s="19" t="s">
        <v>91</v>
      </c>
      <c r="C38" s="19"/>
      <c r="D38" s="19" t="s">
        <v>55</v>
      </c>
      <c r="E38" s="19" t="s">
        <v>75</v>
      </c>
      <c r="F38" s="19" t="s">
        <v>8</v>
      </c>
      <c r="G38" s="19" t="s">
        <v>837</v>
      </c>
      <c r="H38" s="539">
        <v>-99</v>
      </c>
      <c r="I38" s="539">
        <v>-99</v>
      </c>
      <c r="J38" s="539">
        <v>-99</v>
      </c>
      <c r="K38" s="539">
        <v>-99</v>
      </c>
      <c r="L38" s="539">
        <v>-99</v>
      </c>
      <c r="M38" s="539">
        <v>-99</v>
      </c>
      <c r="N38" s="539">
        <v>-99</v>
      </c>
      <c r="O38" s="539">
        <v>-99</v>
      </c>
      <c r="P38" s="539">
        <v>-99</v>
      </c>
      <c r="Q38" s="539">
        <v>-99</v>
      </c>
      <c r="R38" s="539">
        <v>-99</v>
      </c>
      <c r="S38" s="539">
        <v>-99</v>
      </c>
      <c r="T38" s="539">
        <v>-99</v>
      </c>
      <c r="U38" s="539">
        <v>-99</v>
      </c>
      <c r="V38" s="539">
        <v>-99</v>
      </c>
      <c r="W38" s="539">
        <v>-99</v>
      </c>
      <c r="X38" s="539">
        <v>-99</v>
      </c>
      <c r="Y38" s="539">
        <v>-99</v>
      </c>
      <c r="Z38" s="539">
        <v>-99</v>
      </c>
      <c r="AA38" s="539">
        <v>-99</v>
      </c>
      <c r="AB38" s="539">
        <v>-99</v>
      </c>
      <c r="AC38" s="539">
        <v>-99</v>
      </c>
      <c r="AD38" s="539">
        <v>-99</v>
      </c>
      <c r="AE38" s="539">
        <v>-99</v>
      </c>
      <c r="AF38" s="539">
        <v>-99</v>
      </c>
      <c r="AG38" s="539">
        <v>-99</v>
      </c>
      <c r="AH38" s="540">
        <v>-99</v>
      </c>
      <c r="AI38" s="539">
        <v>-99</v>
      </c>
      <c r="AJ38" s="540">
        <v>-99</v>
      </c>
      <c r="AK38" s="539">
        <v>-99</v>
      </c>
      <c r="AL38" s="539">
        <v>-99</v>
      </c>
      <c r="AM38" s="540">
        <v>-99</v>
      </c>
      <c r="AN38" s="539">
        <v>-99</v>
      </c>
      <c r="AO38" s="540">
        <v>-99</v>
      </c>
      <c r="AP38" s="541">
        <v>-99</v>
      </c>
      <c r="AQ38" s="539">
        <v>-99</v>
      </c>
      <c r="AR38" s="540">
        <v>-99</v>
      </c>
      <c r="AS38" s="539">
        <v>-99</v>
      </c>
      <c r="AT38" s="540">
        <v>-99</v>
      </c>
      <c r="AU38" s="539">
        <v>-99</v>
      </c>
      <c r="AV38" s="540">
        <v>-99</v>
      </c>
      <c r="AW38" s="540">
        <v>-99</v>
      </c>
      <c r="AX38" s="540">
        <v>-99</v>
      </c>
      <c r="AY38" s="540">
        <v>-99</v>
      </c>
      <c r="AZ38" s="539">
        <v>-99</v>
      </c>
      <c r="BA38" s="539">
        <v>-99</v>
      </c>
      <c r="BB38" s="540">
        <v>-99</v>
      </c>
      <c r="BC38" s="539">
        <v>-99</v>
      </c>
      <c r="BD38" s="540">
        <v>-99</v>
      </c>
      <c r="BE38" s="541">
        <v>-99</v>
      </c>
      <c r="BF38" s="612"/>
      <c r="BG38" s="612"/>
      <c r="BH38" s="612">
        <v>-99</v>
      </c>
      <c r="BI38" s="641"/>
      <c r="BJ38" s="641"/>
      <c r="BK38" s="641"/>
      <c r="BL38" s="641"/>
      <c r="BM38" s="545">
        <v>-99</v>
      </c>
      <c r="BN38" s="545">
        <v>-99</v>
      </c>
      <c r="BO38" s="641"/>
      <c r="BP38" s="641"/>
      <c r="BQ38" s="641"/>
      <c r="BR38" s="640"/>
      <c r="BS38" s="547" t="s">
        <v>188</v>
      </c>
      <c r="BT38" s="549" t="s">
        <v>188</v>
      </c>
      <c r="BU38" s="549" t="s">
        <v>188</v>
      </c>
      <c r="BV38" s="549" t="s">
        <v>188</v>
      </c>
      <c r="BW38" s="549" t="s">
        <v>188</v>
      </c>
      <c r="BX38" s="549" t="s">
        <v>188</v>
      </c>
      <c r="BY38" s="549" t="s">
        <v>188</v>
      </c>
      <c r="BZ38" s="549" t="s">
        <v>188</v>
      </c>
      <c r="CA38" s="549" t="s">
        <v>188</v>
      </c>
      <c r="CB38" s="549" t="s">
        <v>188</v>
      </c>
      <c r="CC38" s="549" t="s">
        <v>188</v>
      </c>
      <c r="CD38" s="662"/>
      <c r="CE38" s="661" t="s">
        <v>188</v>
      </c>
      <c r="CF38" s="662" t="s">
        <v>188</v>
      </c>
      <c r="CG38" s="662" t="s">
        <v>188</v>
      </c>
      <c r="CH38" s="662" t="s">
        <v>188</v>
      </c>
      <c r="CI38" s="662" t="s">
        <v>188</v>
      </c>
      <c r="CJ38" s="662" t="s">
        <v>188</v>
      </c>
      <c r="CK38" s="662" t="s">
        <v>188</v>
      </c>
      <c r="CL38" s="662" t="s">
        <v>188</v>
      </c>
      <c r="CM38" s="662" t="s">
        <v>188</v>
      </c>
      <c r="CN38" s="662" t="s">
        <v>188</v>
      </c>
      <c r="CO38" s="640"/>
      <c r="CP38" s="640"/>
      <c r="CQ38" s="640"/>
      <c r="CR38" s="640"/>
      <c r="CS38" s="640"/>
      <c r="CT38" s="640"/>
      <c r="CU38" s="640"/>
      <c r="CV38" s="640"/>
      <c r="CW38" s="640"/>
      <c r="CX38" s="640"/>
      <c r="CY38" s="640"/>
      <c r="CZ38" s="640"/>
      <c r="DA38" s="640"/>
      <c r="DB38" s="640"/>
      <c r="DC38" s="640"/>
      <c r="DD38" s="640"/>
      <c r="DE38" s="640"/>
      <c r="DF38" s="640"/>
      <c r="DG38" s="640"/>
      <c r="DH38" s="640"/>
      <c r="DI38" s="641"/>
      <c r="DJ38" s="641"/>
      <c r="DK38" s="641"/>
      <c r="DL38" s="641"/>
      <c r="DM38" s="641"/>
      <c r="DN38" s="641"/>
      <c r="DO38" s="641"/>
      <c r="DP38" s="641"/>
      <c r="DQ38" s="641"/>
      <c r="DR38" s="641"/>
      <c r="DS38" s="641"/>
      <c r="DT38" s="641"/>
      <c r="DU38" s="641"/>
      <c r="DV38" s="641"/>
      <c r="DW38" s="641"/>
      <c r="DX38" s="607"/>
      <c r="DY38" s="607"/>
      <c r="DZ38" s="607"/>
      <c r="EA38" s="607"/>
      <c r="EB38" s="607"/>
      <c r="EC38" s="607"/>
      <c r="ED38" s="607"/>
      <c r="EE38" s="607"/>
      <c r="EF38" s="607"/>
      <c r="EG38" s="607"/>
      <c r="EH38" s="8">
        <v>98</v>
      </c>
    </row>
    <row r="39" spans="1:138" x14ac:dyDescent="0.25">
      <c r="A39" s="16">
        <v>35</v>
      </c>
      <c r="B39" s="19" t="s">
        <v>95</v>
      </c>
      <c r="C39" s="19"/>
      <c r="D39" s="19" t="s">
        <v>55</v>
      </c>
      <c r="E39" s="19" t="s">
        <v>75</v>
      </c>
      <c r="F39" s="19" t="s">
        <v>8</v>
      </c>
      <c r="G39" s="19" t="s">
        <v>837</v>
      </c>
      <c r="H39" s="539">
        <v>-99</v>
      </c>
      <c r="I39" s="539">
        <v>-99</v>
      </c>
      <c r="J39" s="539">
        <v>-99</v>
      </c>
      <c r="K39" s="539">
        <v>-99</v>
      </c>
      <c r="L39" s="539">
        <v>-99</v>
      </c>
      <c r="M39" s="539">
        <v>-99</v>
      </c>
      <c r="N39" s="539">
        <v>-99</v>
      </c>
      <c r="O39" s="539">
        <v>-99</v>
      </c>
      <c r="P39" s="539">
        <v>-99</v>
      </c>
      <c r="Q39" s="539">
        <v>-99</v>
      </c>
      <c r="R39" s="539">
        <v>-99</v>
      </c>
      <c r="S39" s="539">
        <v>-99</v>
      </c>
      <c r="T39" s="539">
        <v>-99</v>
      </c>
      <c r="U39" s="539">
        <v>-99</v>
      </c>
      <c r="V39" s="539">
        <v>-99</v>
      </c>
      <c r="W39" s="539">
        <v>-99</v>
      </c>
      <c r="X39" s="539">
        <v>-99</v>
      </c>
      <c r="Y39" s="539">
        <v>-99</v>
      </c>
      <c r="Z39" s="539">
        <v>-99</v>
      </c>
      <c r="AA39" s="539">
        <v>-99</v>
      </c>
      <c r="AB39" s="539">
        <v>-99</v>
      </c>
      <c r="AC39" s="539">
        <v>-99</v>
      </c>
      <c r="AD39" s="539">
        <v>-99</v>
      </c>
      <c r="AE39" s="539">
        <v>-99</v>
      </c>
      <c r="AF39" s="539">
        <v>-99</v>
      </c>
      <c r="AG39" s="539">
        <v>-99</v>
      </c>
      <c r="AH39" s="540">
        <v>-99</v>
      </c>
      <c r="AI39" s="539">
        <v>-99</v>
      </c>
      <c r="AJ39" s="540">
        <v>-99</v>
      </c>
      <c r="AK39" s="539">
        <v>-99</v>
      </c>
      <c r="AL39" s="539">
        <v>-99</v>
      </c>
      <c r="AM39" s="540">
        <v>-99</v>
      </c>
      <c r="AN39" s="539">
        <v>-99</v>
      </c>
      <c r="AO39" s="540">
        <v>-99</v>
      </c>
      <c r="AP39" s="541">
        <v>-99</v>
      </c>
      <c r="AQ39" s="539">
        <v>-99</v>
      </c>
      <c r="AR39" s="540">
        <v>-99</v>
      </c>
      <c r="AS39" s="539">
        <v>-99</v>
      </c>
      <c r="AT39" s="540">
        <v>-99</v>
      </c>
      <c r="AU39" s="539">
        <v>-99</v>
      </c>
      <c r="AV39" s="540">
        <v>-99</v>
      </c>
      <c r="AW39" s="540">
        <v>-99</v>
      </c>
      <c r="AX39" s="540">
        <v>-99</v>
      </c>
      <c r="AY39" s="540">
        <v>-99</v>
      </c>
      <c r="AZ39" s="539">
        <v>-99</v>
      </c>
      <c r="BA39" s="539">
        <v>-99</v>
      </c>
      <c r="BB39" s="540">
        <v>-99</v>
      </c>
      <c r="BC39" s="539">
        <v>-99</v>
      </c>
      <c r="BD39" s="540">
        <v>-99</v>
      </c>
      <c r="BE39" s="541">
        <v>-99</v>
      </c>
      <c r="BF39" s="612"/>
      <c r="BG39" s="612"/>
      <c r="BH39" s="612">
        <v>-99</v>
      </c>
      <c r="BI39" s="576"/>
      <c r="BJ39" s="576"/>
      <c r="BK39" s="576"/>
      <c r="BL39" s="576"/>
      <c r="BM39" s="545">
        <v>-99</v>
      </c>
      <c r="BN39" s="545">
        <v>-99</v>
      </c>
      <c r="BO39" s="576"/>
      <c r="BP39" s="576"/>
      <c r="BQ39" s="576"/>
      <c r="BR39" s="570"/>
      <c r="BS39" s="547" t="s">
        <v>188</v>
      </c>
      <c r="BT39" s="549" t="s">
        <v>188</v>
      </c>
      <c r="BU39" s="549" t="s">
        <v>188</v>
      </c>
      <c r="BV39" s="549" t="s">
        <v>188</v>
      </c>
      <c r="BW39" s="549" t="s">
        <v>188</v>
      </c>
      <c r="BX39" s="549" t="s">
        <v>188</v>
      </c>
      <c r="BY39" s="549" t="s">
        <v>188</v>
      </c>
      <c r="BZ39" s="549" t="s">
        <v>188</v>
      </c>
      <c r="CA39" s="549" t="s">
        <v>188</v>
      </c>
      <c r="CB39" s="549" t="s">
        <v>188</v>
      </c>
      <c r="CC39" s="549" t="s">
        <v>188</v>
      </c>
      <c r="CD39" s="662"/>
      <c r="CE39" s="661" t="s">
        <v>188</v>
      </c>
      <c r="CF39" s="662" t="s">
        <v>188</v>
      </c>
      <c r="CG39" s="662" t="s">
        <v>188</v>
      </c>
      <c r="CH39" s="662" t="s">
        <v>188</v>
      </c>
      <c r="CI39" s="662" t="s">
        <v>188</v>
      </c>
      <c r="CJ39" s="662" t="s">
        <v>188</v>
      </c>
      <c r="CK39" s="662" t="s">
        <v>188</v>
      </c>
      <c r="CL39" s="662" t="s">
        <v>188</v>
      </c>
      <c r="CM39" s="662" t="s">
        <v>188</v>
      </c>
      <c r="CN39" s="662" t="s">
        <v>188</v>
      </c>
      <c r="CO39" s="640"/>
      <c r="CP39" s="640"/>
      <c r="CQ39" s="640"/>
      <c r="CR39" s="640"/>
      <c r="CS39" s="640"/>
      <c r="CT39" s="640"/>
      <c r="CU39" s="640"/>
      <c r="CV39" s="640"/>
      <c r="CW39" s="640"/>
      <c r="CX39" s="640"/>
      <c r="CY39" s="640"/>
      <c r="CZ39" s="640"/>
      <c r="DA39" s="640"/>
      <c r="DB39" s="640"/>
      <c r="DC39" s="640"/>
      <c r="DD39" s="640"/>
      <c r="DE39" s="640"/>
      <c r="DF39" s="640"/>
      <c r="DG39" s="640"/>
      <c r="DH39" s="640"/>
      <c r="DI39" s="576"/>
      <c r="DJ39" s="576"/>
      <c r="DK39" s="576"/>
      <c r="DL39" s="576"/>
      <c r="DM39" s="576"/>
      <c r="DN39" s="576"/>
      <c r="DO39" s="576"/>
      <c r="DP39" s="576"/>
      <c r="DQ39" s="576"/>
      <c r="DR39" s="576"/>
      <c r="DS39" s="576"/>
      <c r="DT39" s="576"/>
      <c r="DU39" s="576"/>
      <c r="DV39" s="576"/>
      <c r="DW39" s="576"/>
      <c r="DX39" s="577"/>
      <c r="DY39" s="577"/>
      <c r="DZ39" s="577"/>
      <c r="EA39" s="577"/>
      <c r="EB39" s="577"/>
      <c r="EC39" s="577"/>
      <c r="ED39" s="577"/>
      <c r="EE39" s="577"/>
      <c r="EF39" s="577"/>
      <c r="EG39" s="577"/>
      <c r="EH39" s="8">
        <v>97</v>
      </c>
    </row>
    <row r="40" spans="1:138" x14ac:dyDescent="0.25">
      <c r="A40" s="16">
        <v>36</v>
      </c>
      <c r="B40" s="19" t="s">
        <v>740</v>
      </c>
      <c r="C40" s="19"/>
      <c r="D40" s="19" t="s">
        <v>55</v>
      </c>
      <c r="E40" s="19" t="s">
        <v>75</v>
      </c>
      <c r="F40" s="19" t="s">
        <v>8</v>
      </c>
      <c r="G40" s="19" t="s">
        <v>837</v>
      </c>
      <c r="H40" s="539">
        <v>-99</v>
      </c>
      <c r="I40" s="539">
        <v>-99</v>
      </c>
      <c r="J40" s="539">
        <v>-99</v>
      </c>
      <c r="K40" s="539">
        <v>-99</v>
      </c>
      <c r="L40" s="539">
        <v>-99</v>
      </c>
      <c r="M40" s="539">
        <v>-99</v>
      </c>
      <c r="N40" s="539">
        <v>-99</v>
      </c>
      <c r="O40" s="539">
        <v>-99</v>
      </c>
      <c r="P40" s="539">
        <v>-99</v>
      </c>
      <c r="Q40" s="539">
        <v>-99</v>
      </c>
      <c r="R40" s="539">
        <v>-99</v>
      </c>
      <c r="S40" s="539">
        <v>-99</v>
      </c>
      <c r="T40" s="539">
        <v>-99</v>
      </c>
      <c r="U40" s="539">
        <v>-99</v>
      </c>
      <c r="V40" s="539">
        <v>-99</v>
      </c>
      <c r="W40" s="539">
        <v>-99</v>
      </c>
      <c r="X40" s="539">
        <v>-99</v>
      </c>
      <c r="Y40" s="539">
        <v>-99</v>
      </c>
      <c r="Z40" s="539">
        <v>-99</v>
      </c>
      <c r="AA40" s="539">
        <v>-99</v>
      </c>
      <c r="AB40" s="539">
        <v>-99</v>
      </c>
      <c r="AC40" s="539">
        <v>-99</v>
      </c>
      <c r="AD40" s="539">
        <v>-99</v>
      </c>
      <c r="AE40" s="539">
        <v>-99</v>
      </c>
      <c r="AF40" s="539">
        <v>-99</v>
      </c>
      <c r="AG40" s="539">
        <v>-99</v>
      </c>
      <c r="AH40" s="540">
        <v>-99</v>
      </c>
      <c r="AI40" s="539">
        <v>-99</v>
      </c>
      <c r="AJ40" s="540">
        <v>-99</v>
      </c>
      <c r="AK40" s="539">
        <v>-99</v>
      </c>
      <c r="AL40" s="539">
        <v>-99</v>
      </c>
      <c r="AM40" s="540">
        <v>-99</v>
      </c>
      <c r="AN40" s="539">
        <v>-99</v>
      </c>
      <c r="AO40" s="540">
        <v>-99</v>
      </c>
      <c r="AP40" s="541">
        <v>-99</v>
      </c>
      <c r="AQ40" s="539">
        <v>-99</v>
      </c>
      <c r="AR40" s="540">
        <v>-99</v>
      </c>
      <c r="AS40" s="539">
        <v>-99</v>
      </c>
      <c r="AT40" s="540">
        <v>-99</v>
      </c>
      <c r="AU40" s="539">
        <v>-99</v>
      </c>
      <c r="AV40" s="540">
        <v>-99</v>
      </c>
      <c r="AW40" s="540">
        <v>-99</v>
      </c>
      <c r="AX40" s="540">
        <v>-99</v>
      </c>
      <c r="AY40" s="540">
        <v>-99</v>
      </c>
      <c r="AZ40" s="539">
        <v>-99</v>
      </c>
      <c r="BA40" s="539">
        <v>-99</v>
      </c>
      <c r="BB40" s="540">
        <v>-99</v>
      </c>
      <c r="BC40" s="539">
        <v>-99</v>
      </c>
      <c r="BD40" s="540">
        <v>-99</v>
      </c>
      <c r="BE40" s="541">
        <v>-99</v>
      </c>
      <c r="BF40" s="612"/>
      <c r="BG40" s="612"/>
      <c r="BH40" s="612">
        <v>-99</v>
      </c>
      <c r="BI40" s="576"/>
      <c r="BJ40" s="576"/>
      <c r="BK40" s="576"/>
      <c r="BL40" s="576"/>
      <c r="BM40" s="545">
        <v>-99</v>
      </c>
      <c r="BN40" s="545">
        <v>-99</v>
      </c>
      <c r="BO40" s="576"/>
      <c r="BP40" s="576"/>
      <c r="BQ40" s="576"/>
      <c r="BR40" s="570"/>
      <c r="BS40" s="547" t="s">
        <v>188</v>
      </c>
      <c r="BT40" s="549" t="s">
        <v>188</v>
      </c>
      <c r="BU40" s="549" t="s">
        <v>188</v>
      </c>
      <c r="BV40" s="549" t="s">
        <v>188</v>
      </c>
      <c r="BW40" s="549" t="s">
        <v>188</v>
      </c>
      <c r="BX40" s="549" t="s">
        <v>188</v>
      </c>
      <c r="BY40" s="549" t="s">
        <v>188</v>
      </c>
      <c r="BZ40" s="549" t="s">
        <v>188</v>
      </c>
      <c r="CA40" s="549" t="s">
        <v>188</v>
      </c>
      <c r="CB40" s="549" t="s">
        <v>188</v>
      </c>
      <c r="CC40" s="549" t="s">
        <v>188</v>
      </c>
      <c r="CD40" s="662"/>
      <c r="CE40" s="661" t="s">
        <v>188</v>
      </c>
      <c r="CF40" s="662" t="s">
        <v>188</v>
      </c>
      <c r="CG40" s="662" t="s">
        <v>188</v>
      </c>
      <c r="CH40" s="662" t="s">
        <v>188</v>
      </c>
      <c r="CI40" s="662" t="s">
        <v>188</v>
      </c>
      <c r="CJ40" s="662" t="s">
        <v>188</v>
      </c>
      <c r="CK40" s="662" t="s">
        <v>188</v>
      </c>
      <c r="CL40" s="662" t="s">
        <v>188</v>
      </c>
      <c r="CM40" s="662" t="s">
        <v>188</v>
      </c>
      <c r="CN40" s="662" t="s">
        <v>188</v>
      </c>
      <c r="CO40" s="640"/>
      <c r="CP40" s="640"/>
      <c r="CQ40" s="640"/>
      <c r="CR40" s="640"/>
      <c r="CS40" s="640"/>
      <c r="CT40" s="640"/>
      <c r="CU40" s="640"/>
      <c r="CV40" s="640"/>
      <c r="CW40" s="640"/>
      <c r="CX40" s="640"/>
      <c r="CY40" s="640"/>
      <c r="CZ40" s="640"/>
      <c r="DA40" s="640"/>
      <c r="DB40" s="640"/>
      <c r="DC40" s="640"/>
      <c r="DD40" s="640"/>
      <c r="DE40" s="640"/>
      <c r="DF40" s="640"/>
      <c r="DG40" s="640"/>
      <c r="DH40" s="640"/>
      <c r="DI40" s="576"/>
      <c r="DJ40" s="576"/>
      <c r="DK40" s="576"/>
      <c r="DL40" s="576"/>
      <c r="DM40" s="576"/>
      <c r="DN40" s="576"/>
      <c r="DO40" s="576"/>
      <c r="DP40" s="576"/>
      <c r="DQ40" s="576"/>
      <c r="DR40" s="576"/>
      <c r="DS40" s="576"/>
      <c r="DT40" s="576"/>
      <c r="DU40" s="576"/>
      <c r="DV40" s="576"/>
      <c r="DW40" s="576"/>
      <c r="DX40" s="577"/>
      <c r="DY40" s="577"/>
      <c r="DZ40" s="577"/>
      <c r="EA40" s="577"/>
      <c r="EB40" s="577"/>
      <c r="EC40" s="577"/>
      <c r="ED40" s="577"/>
      <c r="EE40" s="577"/>
      <c r="EF40" s="577"/>
      <c r="EG40" s="577"/>
      <c r="EH40" s="8">
        <v>96</v>
      </c>
    </row>
    <row r="41" spans="1:138" x14ac:dyDescent="0.25">
      <c r="A41" s="16">
        <v>37</v>
      </c>
      <c r="B41" s="19" t="s">
        <v>709</v>
      </c>
      <c r="C41" s="19"/>
      <c r="D41" s="19" t="s">
        <v>55</v>
      </c>
      <c r="E41" s="19" t="s">
        <v>75</v>
      </c>
      <c r="F41" s="19" t="s">
        <v>8</v>
      </c>
      <c r="G41" s="19" t="s">
        <v>837</v>
      </c>
      <c r="H41" s="539">
        <v>-99</v>
      </c>
      <c r="I41" s="539">
        <v>-99</v>
      </c>
      <c r="J41" s="539">
        <v>-99</v>
      </c>
      <c r="K41" s="539">
        <v>-99</v>
      </c>
      <c r="L41" s="539">
        <v>-99</v>
      </c>
      <c r="M41" s="539">
        <v>-99</v>
      </c>
      <c r="N41" s="539">
        <v>-99</v>
      </c>
      <c r="O41" s="539">
        <v>-99</v>
      </c>
      <c r="P41" s="539">
        <v>-99</v>
      </c>
      <c r="Q41" s="539">
        <v>-99</v>
      </c>
      <c r="R41" s="539">
        <v>-99</v>
      </c>
      <c r="S41" s="539">
        <v>-99</v>
      </c>
      <c r="T41" s="539">
        <v>-99</v>
      </c>
      <c r="U41" s="539">
        <v>-99</v>
      </c>
      <c r="V41" s="539">
        <v>-99</v>
      </c>
      <c r="W41" s="539">
        <v>-99</v>
      </c>
      <c r="X41" s="539">
        <v>-99</v>
      </c>
      <c r="Y41" s="539">
        <v>-99</v>
      </c>
      <c r="Z41" s="539">
        <v>-99</v>
      </c>
      <c r="AA41" s="539">
        <v>-99</v>
      </c>
      <c r="AB41" s="539">
        <v>-99</v>
      </c>
      <c r="AC41" s="539">
        <v>-99</v>
      </c>
      <c r="AD41" s="539">
        <v>-99</v>
      </c>
      <c r="AE41" s="539">
        <v>-99</v>
      </c>
      <c r="AF41" s="539">
        <v>-99</v>
      </c>
      <c r="AG41" s="539">
        <v>-99</v>
      </c>
      <c r="AH41" s="540">
        <v>-99</v>
      </c>
      <c r="AI41" s="539">
        <v>-99</v>
      </c>
      <c r="AJ41" s="540">
        <v>-99</v>
      </c>
      <c r="AK41" s="539">
        <v>-99</v>
      </c>
      <c r="AL41" s="539">
        <v>-99</v>
      </c>
      <c r="AM41" s="540">
        <v>-99</v>
      </c>
      <c r="AN41" s="539">
        <v>-99</v>
      </c>
      <c r="AO41" s="540">
        <v>-99</v>
      </c>
      <c r="AP41" s="541">
        <v>-99</v>
      </c>
      <c r="AQ41" s="539">
        <v>-99</v>
      </c>
      <c r="AR41" s="540">
        <v>-99</v>
      </c>
      <c r="AS41" s="539">
        <v>-99</v>
      </c>
      <c r="AT41" s="540">
        <v>-99</v>
      </c>
      <c r="AU41" s="539">
        <v>-99</v>
      </c>
      <c r="AV41" s="540">
        <v>-99</v>
      </c>
      <c r="AW41" s="540">
        <v>-99</v>
      </c>
      <c r="AX41" s="540">
        <v>-99</v>
      </c>
      <c r="AY41" s="540">
        <v>-99</v>
      </c>
      <c r="AZ41" s="539">
        <v>-99</v>
      </c>
      <c r="BA41" s="539">
        <v>-99</v>
      </c>
      <c r="BB41" s="540">
        <v>-99</v>
      </c>
      <c r="BC41" s="539">
        <v>-99</v>
      </c>
      <c r="BD41" s="540">
        <v>-99</v>
      </c>
      <c r="BE41" s="541">
        <v>-99</v>
      </c>
      <c r="BF41" s="612"/>
      <c r="BG41" s="612"/>
      <c r="BH41" s="612">
        <v>-99</v>
      </c>
      <c r="BI41" s="576"/>
      <c r="BJ41" s="576"/>
      <c r="BK41" s="576"/>
      <c r="BL41" s="576"/>
      <c r="BM41" s="545">
        <v>-99</v>
      </c>
      <c r="BN41" s="545">
        <v>-99</v>
      </c>
      <c r="BO41" s="576"/>
      <c r="BP41" s="576"/>
      <c r="BQ41" s="576"/>
      <c r="BR41" s="570"/>
      <c r="BS41" s="547" t="s">
        <v>188</v>
      </c>
      <c r="BT41" s="549" t="s">
        <v>188</v>
      </c>
      <c r="BU41" s="549" t="s">
        <v>188</v>
      </c>
      <c r="BV41" s="549" t="s">
        <v>188</v>
      </c>
      <c r="BW41" s="549" t="s">
        <v>188</v>
      </c>
      <c r="BX41" s="549" t="s">
        <v>188</v>
      </c>
      <c r="BY41" s="549" t="s">
        <v>188</v>
      </c>
      <c r="BZ41" s="549" t="s">
        <v>188</v>
      </c>
      <c r="CA41" s="549" t="s">
        <v>188</v>
      </c>
      <c r="CB41" s="549" t="s">
        <v>188</v>
      </c>
      <c r="CC41" s="549" t="s">
        <v>188</v>
      </c>
      <c r="CD41" s="662"/>
      <c r="CE41" s="661" t="s">
        <v>188</v>
      </c>
      <c r="CF41" s="662" t="s">
        <v>188</v>
      </c>
      <c r="CG41" s="662" t="s">
        <v>188</v>
      </c>
      <c r="CH41" s="662" t="s">
        <v>188</v>
      </c>
      <c r="CI41" s="662" t="s">
        <v>188</v>
      </c>
      <c r="CJ41" s="662" t="s">
        <v>188</v>
      </c>
      <c r="CK41" s="662" t="s">
        <v>188</v>
      </c>
      <c r="CL41" s="662" t="s">
        <v>188</v>
      </c>
      <c r="CM41" s="662" t="s">
        <v>188</v>
      </c>
      <c r="CN41" s="662" t="s">
        <v>188</v>
      </c>
      <c r="CO41" s="640"/>
      <c r="CP41" s="640"/>
      <c r="CQ41" s="640"/>
      <c r="CR41" s="640"/>
      <c r="CS41" s="640"/>
      <c r="CT41" s="640"/>
      <c r="CU41" s="640"/>
      <c r="CV41" s="640"/>
      <c r="CW41" s="640"/>
      <c r="CX41" s="640"/>
      <c r="CY41" s="640"/>
      <c r="CZ41" s="640"/>
      <c r="DA41" s="640"/>
      <c r="DB41" s="640"/>
      <c r="DC41" s="640"/>
      <c r="DD41" s="640"/>
      <c r="DE41" s="640"/>
      <c r="DF41" s="640"/>
      <c r="DG41" s="640"/>
      <c r="DH41" s="640"/>
      <c r="DI41" s="576"/>
      <c r="DJ41" s="576"/>
      <c r="DK41" s="576"/>
      <c r="DL41" s="576"/>
      <c r="DM41" s="576"/>
      <c r="DN41" s="576"/>
      <c r="DO41" s="576"/>
      <c r="DP41" s="576"/>
      <c r="DQ41" s="576"/>
      <c r="DR41" s="576"/>
      <c r="DS41" s="576"/>
      <c r="DT41" s="576"/>
      <c r="DU41" s="576"/>
      <c r="DV41" s="576"/>
      <c r="DW41" s="576"/>
      <c r="DX41" s="577"/>
      <c r="DY41" s="577"/>
      <c r="DZ41" s="577"/>
      <c r="EA41" s="577"/>
      <c r="EB41" s="577"/>
      <c r="EC41" s="577"/>
      <c r="ED41" s="577"/>
      <c r="EE41" s="577"/>
      <c r="EF41" s="577"/>
      <c r="EG41" s="577"/>
      <c r="EH41" s="8">
        <v>95</v>
      </c>
    </row>
    <row r="42" spans="1:138" x14ac:dyDescent="0.25">
      <c r="A42" s="16">
        <v>38</v>
      </c>
      <c r="B42" s="19" t="s">
        <v>25</v>
      </c>
      <c r="C42" s="19" t="s">
        <v>122</v>
      </c>
      <c r="D42" s="19" t="s">
        <v>55</v>
      </c>
      <c r="E42" s="19" t="s">
        <v>75</v>
      </c>
      <c r="F42" s="19" t="s">
        <v>8</v>
      </c>
      <c r="G42" s="19" t="s">
        <v>837</v>
      </c>
      <c r="H42" s="539">
        <v>-99</v>
      </c>
      <c r="I42" s="539">
        <v>-99</v>
      </c>
      <c r="J42" s="539">
        <v>-99</v>
      </c>
      <c r="K42" s="539">
        <v>-99</v>
      </c>
      <c r="L42" s="539">
        <v>-99</v>
      </c>
      <c r="M42" s="539">
        <v>-99</v>
      </c>
      <c r="N42" s="539">
        <v>-99</v>
      </c>
      <c r="O42" s="539">
        <v>-99</v>
      </c>
      <c r="P42" s="539">
        <v>-99</v>
      </c>
      <c r="Q42" s="539">
        <v>-99</v>
      </c>
      <c r="R42" s="539">
        <v>-99</v>
      </c>
      <c r="S42" s="539">
        <v>-99</v>
      </c>
      <c r="T42" s="539">
        <v>-99</v>
      </c>
      <c r="U42" s="539">
        <v>-99</v>
      </c>
      <c r="V42" s="539">
        <v>-99</v>
      </c>
      <c r="W42" s="539">
        <v>-99</v>
      </c>
      <c r="X42" s="539">
        <v>-99</v>
      </c>
      <c r="Y42" s="539">
        <v>-99</v>
      </c>
      <c r="Z42" s="539">
        <v>-99</v>
      </c>
      <c r="AA42" s="539">
        <v>-99</v>
      </c>
      <c r="AB42" s="539">
        <v>-99</v>
      </c>
      <c r="AC42" s="539">
        <v>-99</v>
      </c>
      <c r="AD42" s="539">
        <v>-99</v>
      </c>
      <c r="AE42" s="539">
        <v>-99</v>
      </c>
      <c r="AF42" s="539">
        <v>-99</v>
      </c>
      <c r="AG42" s="539">
        <v>-99</v>
      </c>
      <c r="AH42" s="540">
        <v>-99</v>
      </c>
      <c r="AI42" s="539">
        <v>-99</v>
      </c>
      <c r="AJ42" s="540">
        <v>-99</v>
      </c>
      <c r="AK42" s="539">
        <v>-99</v>
      </c>
      <c r="AL42" s="539">
        <v>-99</v>
      </c>
      <c r="AM42" s="540">
        <v>-99</v>
      </c>
      <c r="AN42" s="539">
        <v>-99</v>
      </c>
      <c r="AO42" s="540">
        <v>-99</v>
      </c>
      <c r="AP42" s="541">
        <v>-99</v>
      </c>
      <c r="AQ42" s="539">
        <v>-99</v>
      </c>
      <c r="AR42" s="540">
        <v>-99</v>
      </c>
      <c r="AS42" s="539">
        <v>-99</v>
      </c>
      <c r="AT42" s="540">
        <v>-99</v>
      </c>
      <c r="AU42" s="539">
        <v>-99</v>
      </c>
      <c r="AV42" s="540">
        <v>-99</v>
      </c>
      <c r="AW42" s="540">
        <v>-99</v>
      </c>
      <c r="AX42" s="540">
        <v>-99</v>
      </c>
      <c r="AY42" s="540">
        <v>-99</v>
      </c>
      <c r="AZ42" s="539">
        <v>-99</v>
      </c>
      <c r="BA42" s="539">
        <v>-99</v>
      </c>
      <c r="BB42" s="540">
        <v>-99</v>
      </c>
      <c r="BC42" s="539">
        <v>-99</v>
      </c>
      <c r="BD42" s="540">
        <v>-99</v>
      </c>
      <c r="BE42" s="541">
        <v>-99</v>
      </c>
      <c r="BF42" s="612"/>
      <c r="BG42" s="612"/>
      <c r="BH42" s="612">
        <v>-99</v>
      </c>
      <c r="BI42" s="576"/>
      <c r="BJ42" s="576"/>
      <c r="BK42" s="576"/>
      <c r="BL42" s="576"/>
      <c r="BM42" s="545">
        <v>-99</v>
      </c>
      <c r="BN42" s="545">
        <v>-99</v>
      </c>
      <c r="BO42" s="576"/>
      <c r="BP42" s="576"/>
      <c r="BQ42" s="576"/>
      <c r="BR42" s="570"/>
      <c r="BS42" s="547" t="s">
        <v>188</v>
      </c>
      <c r="BT42" s="549" t="s">
        <v>188</v>
      </c>
      <c r="BU42" s="549" t="s">
        <v>188</v>
      </c>
      <c r="BV42" s="549" t="s">
        <v>188</v>
      </c>
      <c r="BW42" s="549" t="s">
        <v>188</v>
      </c>
      <c r="BX42" s="549" t="s">
        <v>188</v>
      </c>
      <c r="BY42" s="549" t="s">
        <v>188</v>
      </c>
      <c r="BZ42" s="549" t="s">
        <v>188</v>
      </c>
      <c r="CA42" s="549" t="s">
        <v>188</v>
      </c>
      <c r="CB42" s="549" t="s">
        <v>188</v>
      </c>
      <c r="CC42" s="549" t="s">
        <v>188</v>
      </c>
      <c r="CD42" s="662"/>
      <c r="CE42" s="661" t="s">
        <v>188</v>
      </c>
      <c r="CF42" s="662" t="s">
        <v>188</v>
      </c>
      <c r="CG42" s="662" t="s">
        <v>188</v>
      </c>
      <c r="CH42" s="662" t="s">
        <v>188</v>
      </c>
      <c r="CI42" s="662" t="s">
        <v>188</v>
      </c>
      <c r="CJ42" s="662" t="s">
        <v>188</v>
      </c>
      <c r="CK42" s="662" t="s">
        <v>188</v>
      </c>
      <c r="CL42" s="662" t="s">
        <v>188</v>
      </c>
      <c r="CM42" s="662" t="s">
        <v>188</v>
      </c>
      <c r="CN42" s="662" t="s">
        <v>188</v>
      </c>
      <c r="CO42" s="640"/>
      <c r="CP42" s="640"/>
      <c r="CQ42" s="640"/>
      <c r="CR42" s="640"/>
      <c r="CS42" s="640"/>
      <c r="CT42" s="640"/>
      <c r="CU42" s="640"/>
      <c r="CV42" s="640"/>
      <c r="CW42" s="640"/>
      <c r="CX42" s="640"/>
      <c r="CY42" s="640"/>
      <c r="CZ42" s="640"/>
      <c r="DA42" s="640"/>
      <c r="DB42" s="640"/>
      <c r="DC42" s="640"/>
      <c r="DD42" s="640"/>
      <c r="DE42" s="640"/>
      <c r="DF42" s="640"/>
      <c r="DG42" s="640"/>
      <c r="DH42" s="640"/>
      <c r="DI42" s="576"/>
      <c r="DJ42" s="576"/>
      <c r="DK42" s="576"/>
      <c r="DL42" s="576"/>
      <c r="DM42" s="576"/>
      <c r="DN42" s="576"/>
      <c r="DO42" s="576"/>
      <c r="DP42" s="576"/>
      <c r="DQ42" s="576"/>
      <c r="DR42" s="576"/>
      <c r="DS42" s="576"/>
      <c r="DT42" s="576"/>
      <c r="DU42" s="576"/>
      <c r="DV42" s="576"/>
      <c r="DW42" s="576"/>
      <c r="DX42" s="577"/>
      <c r="DY42" s="577"/>
      <c r="DZ42" s="577"/>
      <c r="EA42" s="577"/>
      <c r="EB42" s="577"/>
      <c r="EC42" s="577"/>
      <c r="ED42" s="577"/>
      <c r="EE42" s="577"/>
      <c r="EF42" s="577"/>
      <c r="EG42" s="577"/>
      <c r="EH42" s="8">
        <v>89</v>
      </c>
    </row>
    <row r="43" spans="1:138" x14ac:dyDescent="0.25">
      <c r="A43" s="16">
        <v>39</v>
      </c>
      <c r="B43" s="19" t="s">
        <v>710</v>
      </c>
      <c r="C43" s="19"/>
      <c r="D43" s="19" t="s">
        <v>55</v>
      </c>
      <c r="E43" s="19" t="s">
        <v>75</v>
      </c>
      <c r="F43" s="19" t="s">
        <v>8</v>
      </c>
      <c r="G43" s="19" t="s">
        <v>837</v>
      </c>
      <c r="H43" s="539">
        <v>-99</v>
      </c>
      <c r="I43" s="539">
        <v>-99</v>
      </c>
      <c r="J43" s="539">
        <v>-99</v>
      </c>
      <c r="K43" s="539">
        <v>-99</v>
      </c>
      <c r="L43" s="539">
        <v>-99</v>
      </c>
      <c r="M43" s="539">
        <v>-99</v>
      </c>
      <c r="N43" s="539">
        <v>-99</v>
      </c>
      <c r="O43" s="539">
        <v>-99</v>
      </c>
      <c r="P43" s="539">
        <v>-99</v>
      </c>
      <c r="Q43" s="539">
        <v>-99</v>
      </c>
      <c r="R43" s="539">
        <v>-99</v>
      </c>
      <c r="S43" s="539">
        <v>-99</v>
      </c>
      <c r="T43" s="539">
        <v>-99</v>
      </c>
      <c r="U43" s="539">
        <v>-99</v>
      </c>
      <c r="V43" s="539">
        <v>-99</v>
      </c>
      <c r="W43" s="539">
        <v>-99</v>
      </c>
      <c r="X43" s="539">
        <v>-99</v>
      </c>
      <c r="Y43" s="539">
        <v>-99</v>
      </c>
      <c r="Z43" s="539">
        <v>-99</v>
      </c>
      <c r="AA43" s="539">
        <v>-99</v>
      </c>
      <c r="AB43" s="539">
        <v>-99</v>
      </c>
      <c r="AC43" s="539">
        <v>-99</v>
      </c>
      <c r="AD43" s="539">
        <v>-99</v>
      </c>
      <c r="AE43" s="539">
        <v>-99</v>
      </c>
      <c r="AF43" s="539">
        <v>-99</v>
      </c>
      <c r="AG43" s="539">
        <v>-99</v>
      </c>
      <c r="AH43" s="540">
        <v>-99</v>
      </c>
      <c r="AI43" s="539">
        <v>-99</v>
      </c>
      <c r="AJ43" s="540">
        <v>-99</v>
      </c>
      <c r="AK43" s="539">
        <v>-99</v>
      </c>
      <c r="AL43" s="539">
        <v>-99</v>
      </c>
      <c r="AM43" s="540">
        <v>-99</v>
      </c>
      <c r="AN43" s="539">
        <v>-99</v>
      </c>
      <c r="AO43" s="540">
        <v>-99</v>
      </c>
      <c r="AP43" s="541">
        <v>-99</v>
      </c>
      <c r="AQ43" s="539">
        <v>-99</v>
      </c>
      <c r="AR43" s="540">
        <v>-99</v>
      </c>
      <c r="AS43" s="539">
        <v>-99</v>
      </c>
      <c r="AT43" s="540">
        <v>-99</v>
      </c>
      <c r="AU43" s="539">
        <v>-99</v>
      </c>
      <c r="AV43" s="540">
        <v>-99</v>
      </c>
      <c r="AW43" s="540">
        <v>-99</v>
      </c>
      <c r="AX43" s="540">
        <v>-99</v>
      </c>
      <c r="AY43" s="540">
        <v>-99</v>
      </c>
      <c r="AZ43" s="539">
        <v>-99</v>
      </c>
      <c r="BA43" s="539">
        <v>-99</v>
      </c>
      <c r="BB43" s="540">
        <v>-99</v>
      </c>
      <c r="BC43" s="539">
        <v>-99</v>
      </c>
      <c r="BD43" s="540">
        <v>-99</v>
      </c>
      <c r="BE43" s="541">
        <v>-99</v>
      </c>
      <c r="BF43" s="612"/>
      <c r="BG43" s="612"/>
      <c r="BH43" s="612">
        <v>-99</v>
      </c>
      <c r="BI43" s="576"/>
      <c r="BJ43" s="576"/>
      <c r="BK43" s="576"/>
      <c r="BL43" s="576"/>
      <c r="BM43" s="545">
        <v>-99</v>
      </c>
      <c r="BN43" s="545">
        <v>-99</v>
      </c>
      <c r="BO43" s="576"/>
      <c r="BP43" s="576"/>
      <c r="BQ43" s="576"/>
      <c r="BR43" s="570"/>
      <c r="BS43" s="547" t="s">
        <v>188</v>
      </c>
      <c r="BT43" s="549" t="s">
        <v>188</v>
      </c>
      <c r="BU43" s="549" t="s">
        <v>188</v>
      </c>
      <c r="BV43" s="549" t="s">
        <v>188</v>
      </c>
      <c r="BW43" s="549" t="s">
        <v>188</v>
      </c>
      <c r="BX43" s="549" t="s">
        <v>188</v>
      </c>
      <c r="BY43" s="549" t="s">
        <v>188</v>
      </c>
      <c r="BZ43" s="549" t="s">
        <v>188</v>
      </c>
      <c r="CA43" s="549" t="s">
        <v>188</v>
      </c>
      <c r="CB43" s="549" t="s">
        <v>188</v>
      </c>
      <c r="CC43" s="549" t="s">
        <v>188</v>
      </c>
      <c r="CD43" s="662"/>
      <c r="CE43" s="661" t="s">
        <v>188</v>
      </c>
      <c r="CF43" s="662" t="s">
        <v>188</v>
      </c>
      <c r="CG43" s="662" t="s">
        <v>188</v>
      </c>
      <c r="CH43" s="662" t="s">
        <v>188</v>
      </c>
      <c r="CI43" s="662" t="s">
        <v>188</v>
      </c>
      <c r="CJ43" s="662" t="s">
        <v>188</v>
      </c>
      <c r="CK43" s="662" t="s">
        <v>188</v>
      </c>
      <c r="CL43" s="662" t="s">
        <v>188</v>
      </c>
      <c r="CM43" s="662" t="s">
        <v>188</v>
      </c>
      <c r="CN43" s="662" t="s">
        <v>188</v>
      </c>
      <c r="CO43" s="640"/>
      <c r="CP43" s="640"/>
      <c r="CQ43" s="640"/>
      <c r="CR43" s="640"/>
      <c r="CS43" s="640"/>
      <c r="CT43" s="640"/>
      <c r="CU43" s="640"/>
      <c r="CV43" s="640"/>
      <c r="CW43" s="640"/>
      <c r="CX43" s="640"/>
      <c r="CY43" s="640"/>
      <c r="CZ43" s="640"/>
      <c r="DA43" s="640"/>
      <c r="DB43" s="640"/>
      <c r="DC43" s="640"/>
      <c r="DD43" s="640"/>
      <c r="DE43" s="640"/>
      <c r="DF43" s="640"/>
      <c r="DG43" s="640"/>
      <c r="DH43" s="640"/>
      <c r="DI43" s="576"/>
      <c r="DJ43" s="576"/>
      <c r="DK43" s="576"/>
      <c r="DL43" s="576"/>
      <c r="DM43" s="576"/>
      <c r="DN43" s="576"/>
      <c r="DO43" s="576"/>
      <c r="DP43" s="576"/>
      <c r="DQ43" s="576"/>
      <c r="DR43" s="576"/>
      <c r="DS43" s="576"/>
      <c r="DT43" s="576"/>
      <c r="DU43" s="576"/>
      <c r="DV43" s="576"/>
      <c r="DW43" s="576"/>
      <c r="DX43" s="577"/>
      <c r="DY43" s="577"/>
      <c r="DZ43" s="577"/>
      <c r="EA43" s="577"/>
      <c r="EB43" s="577"/>
      <c r="EC43" s="577"/>
      <c r="ED43" s="577"/>
      <c r="EE43" s="577"/>
      <c r="EF43" s="577"/>
      <c r="EG43" s="577"/>
      <c r="EH43" s="8">
        <v>68</v>
      </c>
    </row>
    <row r="44" spans="1:138" x14ac:dyDescent="0.25">
      <c r="A44" s="16">
        <v>40</v>
      </c>
      <c r="B44" s="19" t="s">
        <v>711</v>
      </c>
      <c r="C44" s="19"/>
      <c r="D44" s="19" t="s">
        <v>55</v>
      </c>
      <c r="E44" s="19" t="s">
        <v>75</v>
      </c>
      <c r="F44" s="19" t="s">
        <v>8</v>
      </c>
      <c r="G44" s="19" t="s">
        <v>837</v>
      </c>
      <c r="H44" s="539">
        <v>-99</v>
      </c>
      <c r="I44" s="539">
        <v>-99</v>
      </c>
      <c r="J44" s="539">
        <v>-99</v>
      </c>
      <c r="K44" s="539">
        <v>-99</v>
      </c>
      <c r="L44" s="539">
        <v>-99</v>
      </c>
      <c r="M44" s="539">
        <v>-99</v>
      </c>
      <c r="N44" s="539">
        <v>-99</v>
      </c>
      <c r="O44" s="539">
        <v>-99</v>
      </c>
      <c r="P44" s="539">
        <v>-99</v>
      </c>
      <c r="Q44" s="539">
        <v>-99</v>
      </c>
      <c r="R44" s="539">
        <v>-99</v>
      </c>
      <c r="S44" s="539">
        <v>-99</v>
      </c>
      <c r="T44" s="539">
        <v>-99</v>
      </c>
      <c r="U44" s="539">
        <v>-99</v>
      </c>
      <c r="V44" s="539">
        <v>-99</v>
      </c>
      <c r="W44" s="539">
        <v>-99</v>
      </c>
      <c r="X44" s="539">
        <v>-99</v>
      </c>
      <c r="Y44" s="539">
        <v>-99</v>
      </c>
      <c r="Z44" s="539">
        <v>-99</v>
      </c>
      <c r="AA44" s="539">
        <v>-99</v>
      </c>
      <c r="AB44" s="539">
        <v>-99</v>
      </c>
      <c r="AC44" s="539">
        <v>-99</v>
      </c>
      <c r="AD44" s="539">
        <v>-99</v>
      </c>
      <c r="AE44" s="539">
        <v>-99</v>
      </c>
      <c r="AF44" s="539">
        <v>-99</v>
      </c>
      <c r="AG44" s="539">
        <v>-99</v>
      </c>
      <c r="AH44" s="540">
        <v>-99</v>
      </c>
      <c r="AI44" s="539">
        <v>-99</v>
      </c>
      <c r="AJ44" s="540">
        <v>-99</v>
      </c>
      <c r="AK44" s="539">
        <v>-99</v>
      </c>
      <c r="AL44" s="539">
        <v>-99</v>
      </c>
      <c r="AM44" s="540">
        <v>-99</v>
      </c>
      <c r="AN44" s="539">
        <v>-99</v>
      </c>
      <c r="AO44" s="540">
        <v>-99</v>
      </c>
      <c r="AP44" s="541">
        <v>-99</v>
      </c>
      <c r="AQ44" s="539">
        <v>-99</v>
      </c>
      <c r="AR44" s="540">
        <v>-99</v>
      </c>
      <c r="AS44" s="539">
        <v>-99</v>
      </c>
      <c r="AT44" s="540">
        <v>-99</v>
      </c>
      <c r="AU44" s="539">
        <v>-99</v>
      </c>
      <c r="AV44" s="540">
        <v>-99</v>
      </c>
      <c r="AW44" s="540">
        <v>-99</v>
      </c>
      <c r="AX44" s="540">
        <v>-99</v>
      </c>
      <c r="AY44" s="540">
        <v>-99</v>
      </c>
      <c r="AZ44" s="539">
        <v>-99</v>
      </c>
      <c r="BA44" s="539">
        <v>-99</v>
      </c>
      <c r="BB44" s="540">
        <v>-99</v>
      </c>
      <c r="BC44" s="539">
        <v>-99</v>
      </c>
      <c r="BD44" s="540">
        <v>-99</v>
      </c>
      <c r="BE44" s="541">
        <v>-99</v>
      </c>
      <c r="BF44" s="612"/>
      <c r="BG44" s="612"/>
      <c r="BH44" s="612">
        <v>-99</v>
      </c>
      <c r="BI44" s="576"/>
      <c r="BJ44" s="576"/>
      <c r="BK44" s="576"/>
      <c r="BL44" s="576"/>
      <c r="BM44" s="545">
        <v>-99</v>
      </c>
      <c r="BN44" s="545">
        <v>-99</v>
      </c>
      <c r="BO44" s="576"/>
      <c r="BP44" s="576"/>
      <c r="BQ44" s="576"/>
      <c r="BR44" s="570"/>
      <c r="BS44" s="547" t="s">
        <v>188</v>
      </c>
      <c r="BT44" s="549" t="s">
        <v>188</v>
      </c>
      <c r="BU44" s="549" t="s">
        <v>188</v>
      </c>
      <c r="BV44" s="549" t="s">
        <v>188</v>
      </c>
      <c r="BW44" s="549" t="s">
        <v>188</v>
      </c>
      <c r="BX44" s="549" t="s">
        <v>188</v>
      </c>
      <c r="BY44" s="549" t="s">
        <v>188</v>
      </c>
      <c r="BZ44" s="549" t="s">
        <v>188</v>
      </c>
      <c r="CA44" s="549" t="s">
        <v>188</v>
      </c>
      <c r="CB44" s="549" t="s">
        <v>188</v>
      </c>
      <c r="CC44" s="549" t="s">
        <v>188</v>
      </c>
      <c r="CD44" s="662"/>
      <c r="CE44" s="661" t="s">
        <v>188</v>
      </c>
      <c r="CF44" s="662" t="s">
        <v>188</v>
      </c>
      <c r="CG44" s="662" t="s">
        <v>188</v>
      </c>
      <c r="CH44" s="662" t="s">
        <v>188</v>
      </c>
      <c r="CI44" s="662" t="s">
        <v>188</v>
      </c>
      <c r="CJ44" s="662" t="s">
        <v>188</v>
      </c>
      <c r="CK44" s="662" t="s">
        <v>188</v>
      </c>
      <c r="CL44" s="662" t="s">
        <v>188</v>
      </c>
      <c r="CM44" s="662" t="s">
        <v>188</v>
      </c>
      <c r="CN44" s="662" t="s">
        <v>188</v>
      </c>
      <c r="CO44" s="640"/>
      <c r="CP44" s="640"/>
      <c r="CQ44" s="640"/>
      <c r="CR44" s="640"/>
      <c r="CS44" s="640"/>
      <c r="CT44" s="640"/>
      <c r="CU44" s="640"/>
      <c r="CV44" s="640"/>
      <c r="CW44" s="640"/>
      <c r="CX44" s="640"/>
      <c r="CY44" s="640"/>
      <c r="CZ44" s="640"/>
      <c r="DA44" s="640"/>
      <c r="DB44" s="640"/>
      <c r="DC44" s="640"/>
      <c r="DD44" s="640"/>
      <c r="DE44" s="640"/>
      <c r="DF44" s="640"/>
      <c r="DG44" s="640"/>
      <c r="DH44" s="640"/>
      <c r="DI44" s="576"/>
      <c r="DJ44" s="576"/>
      <c r="DK44" s="576"/>
      <c r="DL44" s="576"/>
      <c r="DM44" s="576"/>
      <c r="DN44" s="576"/>
      <c r="DO44" s="576"/>
      <c r="DP44" s="576"/>
      <c r="DQ44" s="576"/>
      <c r="DR44" s="576"/>
      <c r="DS44" s="576"/>
      <c r="DT44" s="576"/>
      <c r="DU44" s="576"/>
      <c r="DV44" s="576"/>
      <c r="DW44" s="576"/>
      <c r="DX44" s="577"/>
      <c r="DY44" s="577"/>
      <c r="DZ44" s="577"/>
      <c r="EA44" s="577"/>
      <c r="EB44" s="577"/>
      <c r="EC44" s="577"/>
      <c r="ED44" s="577"/>
      <c r="EE44" s="577"/>
      <c r="EF44" s="577"/>
      <c r="EG44" s="577"/>
      <c r="EH44" s="8">
        <v>53</v>
      </c>
    </row>
    <row r="45" spans="1:138" x14ac:dyDescent="0.25">
      <c r="A45" s="16">
        <v>41</v>
      </c>
      <c r="B45" s="19" t="s">
        <v>93</v>
      </c>
      <c r="C45" s="19"/>
      <c r="D45" s="19" t="s">
        <v>55</v>
      </c>
      <c r="E45" s="19" t="s">
        <v>75</v>
      </c>
      <c r="F45" s="19" t="s">
        <v>8</v>
      </c>
      <c r="G45" s="19" t="s">
        <v>837</v>
      </c>
      <c r="H45" s="539">
        <v>-99</v>
      </c>
      <c r="I45" s="539">
        <v>-99</v>
      </c>
      <c r="J45" s="539">
        <v>-99</v>
      </c>
      <c r="K45" s="539">
        <v>-99</v>
      </c>
      <c r="L45" s="539">
        <v>-99</v>
      </c>
      <c r="M45" s="539">
        <v>-99</v>
      </c>
      <c r="N45" s="539">
        <v>-99</v>
      </c>
      <c r="O45" s="539">
        <v>-99</v>
      </c>
      <c r="P45" s="539">
        <v>-99</v>
      </c>
      <c r="Q45" s="539">
        <v>-99</v>
      </c>
      <c r="R45" s="539">
        <v>-99</v>
      </c>
      <c r="S45" s="539">
        <v>-99</v>
      </c>
      <c r="T45" s="539">
        <v>-99</v>
      </c>
      <c r="U45" s="539">
        <v>-99</v>
      </c>
      <c r="V45" s="539">
        <v>-99</v>
      </c>
      <c r="W45" s="539">
        <v>-99</v>
      </c>
      <c r="X45" s="539">
        <v>-99</v>
      </c>
      <c r="Y45" s="539">
        <v>-99</v>
      </c>
      <c r="Z45" s="539">
        <v>-99</v>
      </c>
      <c r="AA45" s="539">
        <v>-99</v>
      </c>
      <c r="AB45" s="539">
        <v>-99</v>
      </c>
      <c r="AC45" s="539">
        <v>-99</v>
      </c>
      <c r="AD45" s="539">
        <v>-99</v>
      </c>
      <c r="AE45" s="539">
        <v>-99</v>
      </c>
      <c r="AF45" s="539">
        <v>-99</v>
      </c>
      <c r="AG45" s="539">
        <v>-99</v>
      </c>
      <c r="AH45" s="540">
        <v>-99</v>
      </c>
      <c r="AI45" s="539">
        <v>-99</v>
      </c>
      <c r="AJ45" s="540">
        <v>-99</v>
      </c>
      <c r="AK45" s="539">
        <v>-99</v>
      </c>
      <c r="AL45" s="539">
        <v>-99</v>
      </c>
      <c r="AM45" s="540">
        <v>-99</v>
      </c>
      <c r="AN45" s="539">
        <v>-99</v>
      </c>
      <c r="AO45" s="540">
        <v>-99</v>
      </c>
      <c r="AP45" s="541">
        <v>-99</v>
      </c>
      <c r="AQ45" s="539">
        <v>-99</v>
      </c>
      <c r="AR45" s="540">
        <v>-99</v>
      </c>
      <c r="AS45" s="539">
        <v>-99</v>
      </c>
      <c r="AT45" s="540">
        <v>-99</v>
      </c>
      <c r="AU45" s="539">
        <v>-99</v>
      </c>
      <c r="AV45" s="540">
        <v>-99</v>
      </c>
      <c r="AW45" s="540">
        <v>-99</v>
      </c>
      <c r="AX45" s="540">
        <v>-99</v>
      </c>
      <c r="AY45" s="540">
        <v>-99</v>
      </c>
      <c r="AZ45" s="539">
        <v>-99</v>
      </c>
      <c r="BA45" s="539">
        <v>-99</v>
      </c>
      <c r="BB45" s="540">
        <v>-99</v>
      </c>
      <c r="BC45" s="539">
        <v>-99</v>
      </c>
      <c r="BD45" s="540">
        <v>-99</v>
      </c>
      <c r="BE45" s="541">
        <v>-99</v>
      </c>
      <c r="BF45" s="612"/>
      <c r="BG45" s="612"/>
      <c r="BH45" s="612">
        <v>-99</v>
      </c>
      <c r="BI45" s="576"/>
      <c r="BJ45" s="576"/>
      <c r="BK45" s="576"/>
      <c r="BL45" s="576"/>
      <c r="BM45" s="545">
        <v>-99</v>
      </c>
      <c r="BN45" s="545">
        <v>-99</v>
      </c>
      <c r="BO45" s="576"/>
      <c r="BP45" s="576"/>
      <c r="BQ45" s="576"/>
      <c r="BR45" s="570"/>
      <c r="BS45" s="547" t="s">
        <v>188</v>
      </c>
      <c r="BT45" s="549" t="s">
        <v>188</v>
      </c>
      <c r="BU45" s="549" t="s">
        <v>188</v>
      </c>
      <c r="BV45" s="549" t="s">
        <v>188</v>
      </c>
      <c r="BW45" s="549" t="s">
        <v>188</v>
      </c>
      <c r="BX45" s="549" t="s">
        <v>188</v>
      </c>
      <c r="BY45" s="549" t="s">
        <v>188</v>
      </c>
      <c r="BZ45" s="549" t="s">
        <v>188</v>
      </c>
      <c r="CA45" s="549" t="s">
        <v>188</v>
      </c>
      <c r="CB45" s="549" t="s">
        <v>188</v>
      </c>
      <c r="CC45" s="549" t="s">
        <v>188</v>
      </c>
      <c r="CD45" s="662"/>
      <c r="CE45" s="661" t="s">
        <v>188</v>
      </c>
      <c r="CF45" s="662" t="s">
        <v>188</v>
      </c>
      <c r="CG45" s="662" t="s">
        <v>188</v>
      </c>
      <c r="CH45" s="662" t="s">
        <v>188</v>
      </c>
      <c r="CI45" s="662" t="s">
        <v>188</v>
      </c>
      <c r="CJ45" s="662" t="s">
        <v>188</v>
      </c>
      <c r="CK45" s="662" t="s">
        <v>188</v>
      </c>
      <c r="CL45" s="662" t="s">
        <v>188</v>
      </c>
      <c r="CM45" s="662" t="s">
        <v>188</v>
      </c>
      <c r="CN45" s="662" t="s">
        <v>188</v>
      </c>
      <c r="CO45" s="640"/>
      <c r="CP45" s="640"/>
      <c r="CQ45" s="640"/>
      <c r="CR45" s="640"/>
      <c r="CS45" s="640"/>
      <c r="CT45" s="640"/>
      <c r="CU45" s="640"/>
      <c r="CV45" s="640"/>
      <c r="CW45" s="640"/>
      <c r="CX45" s="640"/>
      <c r="CY45" s="640"/>
      <c r="CZ45" s="640"/>
      <c r="DA45" s="640"/>
      <c r="DB45" s="640"/>
      <c r="DC45" s="640"/>
      <c r="DD45" s="640"/>
      <c r="DE45" s="640"/>
      <c r="DF45" s="640"/>
      <c r="DG45" s="640"/>
      <c r="DH45" s="640"/>
      <c r="DI45" s="576"/>
      <c r="DJ45" s="576"/>
      <c r="DK45" s="576"/>
      <c r="DL45" s="576"/>
      <c r="DM45" s="576"/>
      <c r="DN45" s="576"/>
      <c r="DO45" s="576"/>
      <c r="DP45" s="576"/>
      <c r="DQ45" s="576"/>
      <c r="DR45" s="576"/>
      <c r="DS45" s="576"/>
      <c r="DT45" s="576"/>
      <c r="DU45" s="576"/>
      <c r="DV45" s="576"/>
      <c r="DW45" s="576"/>
      <c r="DX45" s="577"/>
      <c r="DY45" s="577"/>
      <c r="DZ45" s="577"/>
      <c r="EA45" s="577"/>
      <c r="EB45" s="577"/>
      <c r="EC45" s="577"/>
      <c r="ED45" s="577"/>
      <c r="EE45" s="577"/>
      <c r="EF45" s="577"/>
      <c r="EG45" s="577"/>
      <c r="EH45" s="8">
        <v>51</v>
      </c>
    </row>
    <row r="46" spans="1:138" x14ac:dyDescent="0.25">
      <c r="A46" s="16">
        <v>42</v>
      </c>
      <c r="B46" s="19" t="s">
        <v>706</v>
      </c>
      <c r="C46" s="19"/>
      <c r="D46" s="19" t="s">
        <v>55</v>
      </c>
      <c r="E46" s="19" t="s">
        <v>74</v>
      </c>
      <c r="F46" s="19"/>
      <c r="G46" s="19" t="s">
        <v>6</v>
      </c>
      <c r="H46" s="539">
        <v>-99</v>
      </c>
      <c r="I46" s="539">
        <v>0.69162523453969327</v>
      </c>
      <c r="J46" s="539">
        <v>-99</v>
      </c>
      <c r="K46" s="539">
        <v>0.71718301029318132</v>
      </c>
      <c r="L46" s="539">
        <v>0.66900000000000004</v>
      </c>
      <c r="M46" s="539">
        <v>-99</v>
      </c>
      <c r="N46" s="539">
        <v>0.51900000000000002</v>
      </c>
      <c r="O46" s="539">
        <v>-99</v>
      </c>
      <c r="P46" s="539">
        <v>0.58699999999999997</v>
      </c>
      <c r="Q46" s="539">
        <v>0.64700000000000002</v>
      </c>
      <c r="R46" s="539">
        <v>-99</v>
      </c>
      <c r="S46" s="539">
        <v>-99</v>
      </c>
      <c r="T46" s="539">
        <v>-99</v>
      </c>
      <c r="U46" s="539">
        <v>-99</v>
      </c>
      <c r="V46" s="539">
        <v>-99</v>
      </c>
      <c r="W46" s="539">
        <v>-99</v>
      </c>
      <c r="X46" s="539">
        <v>0.82399999999999995</v>
      </c>
      <c r="Y46" s="539">
        <v>-99</v>
      </c>
      <c r="Z46" s="539">
        <v>0.83299999999999996</v>
      </c>
      <c r="AA46" s="539">
        <v>0.89</v>
      </c>
      <c r="AB46" s="539">
        <v>-99</v>
      </c>
      <c r="AC46" s="539">
        <v>0.68200000000000005</v>
      </c>
      <c r="AD46" s="539">
        <v>-99</v>
      </c>
      <c r="AE46" s="539">
        <v>0.68200000000000005</v>
      </c>
      <c r="AF46" s="539">
        <v>0.75900000000000001</v>
      </c>
      <c r="AG46" s="539">
        <v>-99</v>
      </c>
      <c r="AH46" s="540">
        <v>-99</v>
      </c>
      <c r="AI46" s="539">
        <v>-99</v>
      </c>
      <c r="AJ46" s="540">
        <v>-99</v>
      </c>
      <c r="AK46" s="539">
        <v>-99</v>
      </c>
      <c r="AL46" s="539">
        <v>-99</v>
      </c>
      <c r="AM46" s="540">
        <v>-99</v>
      </c>
      <c r="AN46" s="539">
        <v>-99</v>
      </c>
      <c r="AO46" s="540">
        <v>-99</v>
      </c>
      <c r="AP46" s="541">
        <v>-99</v>
      </c>
      <c r="AQ46" s="539">
        <v>-99</v>
      </c>
      <c r="AR46" s="540">
        <v>-99</v>
      </c>
      <c r="AS46" s="539">
        <v>-99</v>
      </c>
      <c r="AT46" s="540">
        <v>-99</v>
      </c>
      <c r="AU46" s="539">
        <v>-99</v>
      </c>
      <c r="AV46" s="540">
        <v>-99</v>
      </c>
      <c r="AW46" s="540">
        <v>-99</v>
      </c>
      <c r="AX46" s="540">
        <v>-99</v>
      </c>
      <c r="AY46" s="540">
        <v>-99</v>
      </c>
      <c r="AZ46" s="539">
        <v>-99</v>
      </c>
      <c r="BA46" s="539">
        <v>-99</v>
      </c>
      <c r="BB46" s="540">
        <v>-99</v>
      </c>
      <c r="BC46" s="539">
        <v>-99</v>
      </c>
      <c r="BD46" s="540">
        <v>-99</v>
      </c>
      <c r="BE46" s="541">
        <v>-99</v>
      </c>
      <c r="BF46" s="612"/>
      <c r="BG46" s="612"/>
      <c r="BH46" s="612">
        <v>-99</v>
      </c>
      <c r="BI46" s="576"/>
      <c r="BJ46" s="576"/>
      <c r="BK46" s="576"/>
      <c r="BL46" s="576"/>
      <c r="BM46" s="545">
        <v>-99</v>
      </c>
      <c r="BN46" s="545">
        <v>-99</v>
      </c>
      <c r="BO46" s="576"/>
      <c r="BP46" s="576"/>
      <c r="BQ46" s="576"/>
      <c r="BR46" s="570"/>
      <c r="BS46" s="547" t="s">
        <v>188</v>
      </c>
      <c r="BT46" s="549" t="s">
        <v>188</v>
      </c>
      <c r="BU46" s="549" t="s">
        <v>188</v>
      </c>
      <c r="BV46" s="549" t="s">
        <v>188</v>
      </c>
      <c r="BW46" s="549" t="s">
        <v>188</v>
      </c>
      <c r="BX46" s="549" t="s">
        <v>188</v>
      </c>
      <c r="BY46" s="549" t="s">
        <v>188</v>
      </c>
      <c r="BZ46" s="549" t="s">
        <v>188</v>
      </c>
      <c r="CA46" s="549" t="s">
        <v>188</v>
      </c>
      <c r="CB46" s="549" t="s">
        <v>188</v>
      </c>
      <c r="CC46" s="549" t="s">
        <v>188</v>
      </c>
      <c r="CD46" s="662"/>
      <c r="CE46" s="661" t="s">
        <v>188</v>
      </c>
      <c r="CF46" s="662" t="s">
        <v>188</v>
      </c>
      <c r="CG46" s="662" t="s">
        <v>188</v>
      </c>
      <c r="CH46" s="662" t="s">
        <v>188</v>
      </c>
      <c r="CI46" s="662" t="s">
        <v>188</v>
      </c>
      <c r="CJ46" s="662" t="s">
        <v>188</v>
      </c>
      <c r="CK46" s="662" t="s">
        <v>188</v>
      </c>
      <c r="CL46" s="662" t="s">
        <v>188</v>
      </c>
      <c r="CM46" s="662" t="s">
        <v>188</v>
      </c>
      <c r="CN46" s="662" t="s">
        <v>188</v>
      </c>
      <c r="CO46" s="640"/>
      <c r="CP46" s="640"/>
      <c r="CQ46" s="640"/>
      <c r="CR46" s="640"/>
      <c r="CS46" s="640"/>
      <c r="CT46" s="640"/>
      <c r="CU46" s="640"/>
      <c r="CV46" s="640"/>
      <c r="CW46" s="640"/>
      <c r="CX46" s="640"/>
      <c r="CY46" s="640"/>
      <c r="CZ46" s="640"/>
      <c r="DA46" s="640"/>
      <c r="DB46" s="640"/>
      <c r="DC46" s="640"/>
      <c r="DD46" s="640"/>
      <c r="DE46" s="640"/>
      <c r="DF46" s="640"/>
      <c r="DG46" s="640"/>
      <c r="DH46" s="640"/>
      <c r="DI46" s="576"/>
      <c r="DJ46" s="576"/>
      <c r="DK46" s="576"/>
      <c r="DL46" s="576"/>
      <c r="DM46" s="576"/>
      <c r="DN46" s="576"/>
      <c r="DO46" s="576"/>
      <c r="DP46" s="576"/>
      <c r="DQ46" s="576"/>
      <c r="DR46" s="576"/>
      <c r="DS46" s="576"/>
      <c r="DT46" s="576"/>
      <c r="DU46" s="576"/>
      <c r="DV46" s="576"/>
      <c r="DW46" s="576"/>
      <c r="DX46" s="577"/>
      <c r="DY46" s="577"/>
      <c r="DZ46" s="577"/>
      <c r="EA46" s="577"/>
      <c r="EB46" s="577"/>
      <c r="EC46" s="577"/>
      <c r="ED46" s="577"/>
      <c r="EE46" s="577"/>
      <c r="EF46" s="577"/>
      <c r="EG46" s="577"/>
      <c r="EH46" s="8">
        <v>58</v>
      </c>
    </row>
    <row r="47" spans="1:138" x14ac:dyDescent="0.25">
      <c r="A47" s="16">
        <v>43</v>
      </c>
      <c r="B47" s="19" t="s">
        <v>712</v>
      </c>
      <c r="C47" s="19" t="s">
        <v>123</v>
      </c>
      <c r="D47" s="19" t="s">
        <v>55</v>
      </c>
      <c r="E47" s="19" t="s">
        <v>75</v>
      </c>
      <c r="F47" s="19" t="s">
        <v>8</v>
      </c>
      <c r="G47" s="19" t="s">
        <v>837</v>
      </c>
      <c r="H47" s="539">
        <v>-99</v>
      </c>
      <c r="I47" s="539">
        <v>-99</v>
      </c>
      <c r="J47" s="539">
        <v>-99</v>
      </c>
      <c r="K47" s="539">
        <v>-99</v>
      </c>
      <c r="L47" s="539">
        <v>-99</v>
      </c>
      <c r="M47" s="539">
        <v>-99</v>
      </c>
      <c r="N47" s="539">
        <v>-99</v>
      </c>
      <c r="O47" s="539">
        <v>-99</v>
      </c>
      <c r="P47" s="539">
        <v>-99</v>
      </c>
      <c r="Q47" s="539">
        <v>-99</v>
      </c>
      <c r="R47" s="539">
        <v>-99</v>
      </c>
      <c r="S47" s="539">
        <v>-99</v>
      </c>
      <c r="T47" s="539">
        <v>-99</v>
      </c>
      <c r="U47" s="539">
        <v>-99</v>
      </c>
      <c r="V47" s="539">
        <v>-99</v>
      </c>
      <c r="W47" s="539">
        <v>-99</v>
      </c>
      <c r="X47" s="539">
        <v>-99</v>
      </c>
      <c r="Y47" s="539">
        <v>-99</v>
      </c>
      <c r="Z47" s="539">
        <v>-99</v>
      </c>
      <c r="AA47" s="539">
        <v>-99</v>
      </c>
      <c r="AB47" s="539">
        <v>-99</v>
      </c>
      <c r="AC47" s="539">
        <v>-99</v>
      </c>
      <c r="AD47" s="539">
        <v>-99</v>
      </c>
      <c r="AE47" s="539">
        <v>-99</v>
      </c>
      <c r="AF47" s="539">
        <v>-99</v>
      </c>
      <c r="AG47" s="539">
        <v>-99</v>
      </c>
      <c r="AH47" s="540">
        <v>-99</v>
      </c>
      <c r="AI47" s="539">
        <v>-99</v>
      </c>
      <c r="AJ47" s="540">
        <v>-99</v>
      </c>
      <c r="AK47" s="539">
        <v>-99</v>
      </c>
      <c r="AL47" s="539">
        <v>-99</v>
      </c>
      <c r="AM47" s="540">
        <v>-99</v>
      </c>
      <c r="AN47" s="539">
        <v>-99</v>
      </c>
      <c r="AO47" s="540">
        <v>-99</v>
      </c>
      <c r="AP47" s="541">
        <v>-99</v>
      </c>
      <c r="AQ47" s="539">
        <v>-99</v>
      </c>
      <c r="AR47" s="540">
        <v>-99</v>
      </c>
      <c r="AS47" s="539">
        <v>-99</v>
      </c>
      <c r="AT47" s="540">
        <v>-99</v>
      </c>
      <c r="AU47" s="539">
        <v>-99</v>
      </c>
      <c r="AV47" s="540">
        <v>-99</v>
      </c>
      <c r="AW47" s="540">
        <v>-99</v>
      </c>
      <c r="AX47" s="540">
        <v>-99</v>
      </c>
      <c r="AY47" s="540">
        <v>-99</v>
      </c>
      <c r="AZ47" s="539">
        <v>-99</v>
      </c>
      <c r="BA47" s="539">
        <v>-99</v>
      </c>
      <c r="BB47" s="540">
        <v>-99</v>
      </c>
      <c r="BC47" s="539">
        <v>-99</v>
      </c>
      <c r="BD47" s="540">
        <v>-99</v>
      </c>
      <c r="BE47" s="541">
        <v>-99</v>
      </c>
      <c r="BF47" s="612"/>
      <c r="BG47" s="612"/>
      <c r="BH47" s="612">
        <v>-99</v>
      </c>
      <c r="BI47" s="576"/>
      <c r="BJ47" s="576"/>
      <c r="BK47" s="576"/>
      <c r="BL47" s="576"/>
      <c r="BM47" s="545">
        <v>-99</v>
      </c>
      <c r="BN47" s="545">
        <v>-99</v>
      </c>
      <c r="BO47" s="576"/>
      <c r="BP47" s="576"/>
      <c r="BQ47" s="576"/>
      <c r="BR47" s="570"/>
      <c r="BS47" s="547" t="s">
        <v>188</v>
      </c>
      <c r="BT47" s="549" t="s">
        <v>188</v>
      </c>
      <c r="BU47" s="549" t="s">
        <v>188</v>
      </c>
      <c r="BV47" s="549" t="s">
        <v>188</v>
      </c>
      <c r="BW47" s="549" t="s">
        <v>188</v>
      </c>
      <c r="BX47" s="549" t="s">
        <v>188</v>
      </c>
      <c r="BY47" s="549" t="s">
        <v>188</v>
      </c>
      <c r="BZ47" s="549" t="s">
        <v>188</v>
      </c>
      <c r="CA47" s="549" t="s">
        <v>188</v>
      </c>
      <c r="CB47" s="549" t="s">
        <v>188</v>
      </c>
      <c r="CC47" s="549" t="s">
        <v>188</v>
      </c>
      <c r="CD47" s="662"/>
      <c r="CE47" s="661" t="s">
        <v>188</v>
      </c>
      <c r="CF47" s="662" t="s">
        <v>188</v>
      </c>
      <c r="CG47" s="662" t="s">
        <v>188</v>
      </c>
      <c r="CH47" s="662" t="s">
        <v>188</v>
      </c>
      <c r="CI47" s="662" t="s">
        <v>188</v>
      </c>
      <c r="CJ47" s="662" t="s">
        <v>188</v>
      </c>
      <c r="CK47" s="662" t="s">
        <v>188</v>
      </c>
      <c r="CL47" s="662" t="s">
        <v>188</v>
      </c>
      <c r="CM47" s="662" t="s">
        <v>188</v>
      </c>
      <c r="CN47" s="662" t="s">
        <v>188</v>
      </c>
      <c r="CO47" s="640"/>
      <c r="CP47" s="640"/>
      <c r="CQ47" s="640"/>
      <c r="CR47" s="640"/>
      <c r="CS47" s="640"/>
      <c r="CT47" s="640"/>
      <c r="CU47" s="640"/>
      <c r="CV47" s="640"/>
      <c r="CW47" s="640"/>
      <c r="CX47" s="640"/>
      <c r="CY47" s="640"/>
      <c r="CZ47" s="640"/>
      <c r="DA47" s="640"/>
      <c r="DB47" s="640"/>
      <c r="DC47" s="640"/>
      <c r="DD47" s="640"/>
      <c r="DE47" s="640"/>
      <c r="DF47" s="640"/>
      <c r="DG47" s="640"/>
      <c r="DH47" s="640"/>
      <c r="DI47" s="576"/>
      <c r="DJ47" s="576"/>
      <c r="DK47" s="576"/>
      <c r="DL47" s="576"/>
      <c r="DM47" s="576"/>
      <c r="DN47" s="576"/>
      <c r="DO47" s="576"/>
      <c r="DP47" s="576"/>
      <c r="DQ47" s="576"/>
      <c r="DR47" s="576"/>
      <c r="DS47" s="576"/>
      <c r="DT47" s="576"/>
      <c r="DU47" s="576"/>
      <c r="DV47" s="576"/>
      <c r="DW47" s="576"/>
      <c r="DX47" s="577"/>
      <c r="DY47" s="577"/>
      <c r="DZ47" s="577"/>
      <c r="EA47" s="577"/>
      <c r="EB47" s="577"/>
      <c r="EC47" s="577"/>
      <c r="ED47" s="577"/>
      <c r="EE47" s="577"/>
      <c r="EF47" s="577"/>
      <c r="EG47" s="577"/>
      <c r="EH47" s="8">
        <v>28</v>
      </c>
    </row>
    <row r="48" spans="1:138" x14ac:dyDescent="0.25">
      <c r="A48" s="16">
        <v>44</v>
      </c>
      <c r="B48" s="19" t="s">
        <v>96</v>
      </c>
      <c r="C48" s="19"/>
      <c r="D48" s="19" t="s">
        <v>55</v>
      </c>
      <c r="E48" s="19" t="s">
        <v>75</v>
      </c>
      <c r="F48" s="19" t="s">
        <v>8</v>
      </c>
      <c r="G48" s="19" t="s">
        <v>837</v>
      </c>
      <c r="H48" s="539">
        <v>-99</v>
      </c>
      <c r="I48" s="539">
        <v>-99</v>
      </c>
      <c r="J48" s="539">
        <v>-99</v>
      </c>
      <c r="K48" s="539">
        <v>-99</v>
      </c>
      <c r="L48" s="539">
        <v>-99</v>
      </c>
      <c r="M48" s="539">
        <v>-99</v>
      </c>
      <c r="N48" s="539">
        <v>-99</v>
      </c>
      <c r="O48" s="539">
        <v>-99</v>
      </c>
      <c r="P48" s="539">
        <v>-99</v>
      </c>
      <c r="Q48" s="539">
        <v>-99</v>
      </c>
      <c r="R48" s="539">
        <v>-99</v>
      </c>
      <c r="S48" s="539">
        <v>-99</v>
      </c>
      <c r="T48" s="539">
        <v>-99</v>
      </c>
      <c r="U48" s="539">
        <v>-99</v>
      </c>
      <c r="V48" s="539">
        <v>-99</v>
      </c>
      <c r="W48" s="539">
        <v>-99</v>
      </c>
      <c r="X48" s="539">
        <v>-99</v>
      </c>
      <c r="Y48" s="539">
        <v>-99</v>
      </c>
      <c r="Z48" s="539">
        <v>-99</v>
      </c>
      <c r="AA48" s="539">
        <v>-99</v>
      </c>
      <c r="AB48" s="539">
        <v>-99</v>
      </c>
      <c r="AC48" s="539">
        <v>-99</v>
      </c>
      <c r="AD48" s="539">
        <v>-99</v>
      </c>
      <c r="AE48" s="539">
        <v>-99</v>
      </c>
      <c r="AF48" s="539">
        <v>-99</v>
      </c>
      <c r="AG48" s="539">
        <v>-99</v>
      </c>
      <c r="AH48" s="540">
        <v>-99</v>
      </c>
      <c r="AI48" s="539">
        <v>-99</v>
      </c>
      <c r="AJ48" s="540">
        <v>-99</v>
      </c>
      <c r="AK48" s="539">
        <v>-99</v>
      </c>
      <c r="AL48" s="539">
        <v>-99</v>
      </c>
      <c r="AM48" s="540">
        <v>-99</v>
      </c>
      <c r="AN48" s="539">
        <v>-99</v>
      </c>
      <c r="AO48" s="540">
        <v>-99</v>
      </c>
      <c r="AP48" s="541">
        <v>-99</v>
      </c>
      <c r="AQ48" s="539">
        <v>-99</v>
      </c>
      <c r="AR48" s="540">
        <v>-99</v>
      </c>
      <c r="AS48" s="539">
        <v>-99</v>
      </c>
      <c r="AT48" s="540">
        <v>-99</v>
      </c>
      <c r="AU48" s="539">
        <v>-99</v>
      </c>
      <c r="AV48" s="540">
        <v>-99</v>
      </c>
      <c r="AW48" s="540">
        <v>-99</v>
      </c>
      <c r="AX48" s="540">
        <v>-99</v>
      </c>
      <c r="AY48" s="540">
        <v>-99</v>
      </c>
      <c r="AZ48" s="539">
        <v>-99</v>
      </c>
      <c r="BA48" s="539">
        <v>-99</v>
      </c>
      <c r="BB48" s="540">
        <v>-99</v>
      </c>
      <c r="BC48" s="539">
        <v>-99</v>
      </c>
      <c r="BD48" s="540">
        <v>-99</v>
      </c>
      <c r="BE48" s="541">
        <v>-99</v>
      </c>
      <c r="BF48" s="612"/>
      <c r="BG48" s="612"/>
      <c r="BH48" s="612">
        <v>-99</v>
      </c>
      <c r="BI48" s="576"/>
      <c r="BJ48" s="576"/>
      <c r="BK48" s="576"/>
      <c r="BL48" s="576"/>
      <c r="BM48" s="545">
        <v>-99</v>
      </c>
      <c r="BN48" s="545">
        <v>-99</v>
      </c>
      <c r="BO48" s="576"/>
      <c r="BP48" s="576"/>
      <c r="BQ48" s="576"/>
      <c r="BR48" s="570"/>
      <c r="BS48" s="547" t="s">
        <v>188</v>
      </c>
      <c r="BT48" s="549" t="s">
        <v>188</v>
      </c>
      <c r="BU48" s="549" t="s">
        <v>188</v>
      </c>
      <c r="BV48" s="549" t="s">
        <v>188</v>
      </c>
      <c r="BW48" s="549" t="s">
        <v>188</v>
      </c>
      <c r="BX48" s="549" t="s">
        <v>188</v>
      </c>
      <c r="BY48" s="549" t="s">
        <v>188</v>
      </c>
      <c r="BZ48" s="549" t="s">
        <v>188</v>
      </c>
      <c r="CA48" s="549" t="s">
        <v>188</v>
      </c>
      <c r="CB48" s="549" t="s">
        <v>188</v>
      </c>
      <c r="CC48" s="549" t="s">
        <v>188</v>
      </c>
      <c r="CD48" s="662"/>
      <c r="CE48" s="661" t="s">
        <v>188</v>
      </c>
      <c r="CF48" s="662" t="s">
        <v>188</v>
      </c>
      <c r="CG48" s="662" t="s">
        <v>188</v>
      </c>
      <c r="CH48" s="662" t="s">
        <v>188</v>
      </c>
      <c r="CI48" s="662" t="s">
        <v>188</v>
      </c>
      <c r="CJ48" s="662" t="s">
        <v>188</v>
      </c>
      <c r="CK48" s="662" t="s">
        <v>188</v>
      </c>
      <c r="CL48" s="662" t="s">
        <v>188</v>
      </c>
      <c r="CM48" s="662" t="s">
        <v>188</v>
      </c>
      <c r="CN48" s="662" t="s">
        <v>188</v>
      </c>
      <c r="CO48" s="640"/>
      <c r="CP48" s="640"/>
      <c r="CQ48" s="640"/>
      <c r="CR48" s="640"/>
      <c r="CS48" s="640"/>
      <c r="CT48" s="640"/>
      <c r="CU48" s="640"/>
      <c r="CV48" s="640"/>
      <c r="CW48" s="640"/>
      <c r="CX48" s="640"/>
      <c r="CY48" s="640"/>
      <c r="CZ48" s="640"/>
      <c r="DA48" s="640"/>
      <c r="DB48" s="640"/>
      <c r="DC48" s="640"/>
      <c r="DD48" s="640"/>
      <c r="DE48" s="640"/>
      <c r="DF48" s="640"/>
      <c r="DG48" s="640"/>
      <c r="DH48" s="640"/>
      <c r="DI48" s="576"/>
      <c r="DJ48" s="576"/>
      <c r="DK48" s="576"/>
      <c r="DL48" s="576"/>
      <c r="DM48" s="576"/>
      <c r="DN48" s="576"/>
      <c r="DO48" s="576"/>
      <c r="DP48" s="576"/>
      <c r="DQ48" s="576"/>
      <c r="DR48" s="576"/>
      <c r="DS48" s="576"/>
      <c r="DT48" s="576"/>
      <c r="DU48" s="576"/>
      <c r="DV48" s="576"/>
      <c r="DW48" s="576"/>
      <c r="DX48" s="577"/>
      <c r="DY48" s="577"/>
      <c r="DZ48" s="577"/>
      <c r="EA48" s="577"/>
      <c r="EB48" s="577"/>
      <c r="EC48" s="577"/>
      <c r="ED48" s="577"/>
      <c r="EE48" s="577"/>
      <c r="EF48" s="577"/>
      <c r="EG48" s="577"/>
      <c r="EH48" s="8">
        <v>27</v>
      </c>
    </row>
    <row r="49" spans="1:138" x14ac:dyDescent="0.25">
      <c r="A49" s="16">
        <v>45</v>
      </c>
      <c r="B49" s="526" t="s">
        <v>707</v>
      </c>
      <c r="C49" s="526"/>
      <c r="D49" s="19" t="s">
        <v>55</v>
      </c>
      <c r="E49" s="19" t="s">
        <v>75</v>
      </c>
      <c r="F49" s="19" t="s">
        <v>8</v>
      </c>
      <c r="G49" s="19" t="s">
        <v>837</v>
      </c>
      <c r="H49" s="539">
        <v>-99</v>
      </c>
      <c r="I49" s="539">
        <v>-99</v>
      </c>
      <c r="J49" s="539">
        <v>-99</v>
      </c>
      <c r="K49" s="539">
        <v>-99</v>
      </c>
      <c r="L49" s="539">
        <v>-99</v>
      </c>
      <c r="M49" s="539">
        <v>-99</v>
      </c>
      <c r="N49" s="539">
        <v>-99</v>
      </c>
      <c r="O49" s="539">
        <v>-99</v>
      </c>
      <c r="P49" s="539">
        <v>-99</v>
      </c>
      <c r="Q49" s="539">
        <v>-99</v>
      </c>
      <c r="R49" s="539">
        <v>-99</v>
      </c>
      <c r="S49" s="539">
        <v>-99</v>
      </c>
      <c r="T49" s="539">
        <v>-99</v>
      </c>
      <c r="U49" s="539">
        <v>-99</v>
      </c>
      <c r="V49" s="539">
        <v>-99</v>
      </c>
      <c r="W49" s="539">
        <v>-99</v>
      </c>
      <c r="X49" s="539">
        <v>-99</v>
      </c>
      <c r="Y49" s="539">
        <v>-99</v>
      </c>
      <c r="Z49" s="539">
        <v>-99</v>
      </c>
      <c r="AA49" s="539">
        <v>-99</v>
      </c>
      <c r="AB49" s="539">
        <v>-99</v>
      </c>
      <c r="AC49" s="539">
        <v>-99</v>
      </c>
      <c r="AD49" s="539">
        <v>-99</v>
      </c>
      <c r="AE49" s="539">
        <v>-99</v>
      </c>
      <c r="AF49" s="539">
        <v>-99</v>
      </c>
      <c r="AG49" s="539">
        <v>-99</v>
      </c>
      <c r="AH49" s="540">
        <v>-99</v>
      </c>
      <c r="AI49" s="539">
        <v>-99</v>
      </c>
      <c r="AJ49" s="540">
        <v>-99</v>
      </c>
      <c r="AK49" s="539">
        <v>-99</v>
      </c>
      <c r="AL49" s="539">
        <v>-99</v>
      </c>
      <c r="AM49" s="540">
        <v>-99</v>
      </c>
      <c r="AN49" s="539">
        <v>-99</v>
      </c>
      <c r="AO49" s="540">
        <v>-99</v>
      </c>
      <c r="AP49" s="541">
        <v>-99</v>
      </c>
      <c r="AQ49" s="539">
        <v>-99</v>
      </c>
      <c r="AR49" s="540">
        <v>-99</v>
      </c>
      <c r="AS49" s="539">
        <v>-99</v>
      </c>
      <c r="AT49" s="540">
        <v>-99</v>
      </c>
      <c r="AU49" s="539">
        <v>-99</v>
      </c>
      <c r="AV49" s="540">
        <v>-99</v>
      </c>
      <c r="AW49" s="540">
        <v>-99</v>
      </c>
      <c r="AX49" s="540">
        <v>-99</v>
      </c>
      <c r="AY49" s="540">
        <v>-99</v>
      </c>
      <c r="AZ49" s="539">
        <v>-99</v>
      </c>
      <c r="BA49" s="539">
        <v>-99</v>
      </c>
      <c r="BB49" s="540">
        <v>-99</v>
      </c>
      <c r="BC49" s="539">
        <v>-99</v>
      </c>
      <c r="BD49" s="540">
        <v>-99</v>
      </c>
      <c r="BE49" s="541">
        <v>-99</v>
      </c>
      <c r="BF49" s="612"/>
      <c r="BG49" s="612"/>
      <c r="BH49" s="612">
        <v>-99</v>
      </c>
      <c r="BI49" s="576"/>
      <c r="BJ49" s="576"/>
      <c r="BK49" s="576"/>
      <c r="BL49" s="576"/>
      <c r="BM49" s="545">
        <v>-99</v>
      </c>
      <c r="BN49" s="545">
        <v>-99</v>
      </c>
      <c r="BO49" s="576"/>
      <c r="BP49" s="576"/>
      <c r="BQ49" s="576"/>
      <c r="BR49" s="640"/>
      <c r="BS49" s="547" t="s">
        <v>188</v>
      </c>
      <c r="BT49" s="549" t="s">
        <v>188</v>
      </c>
      <c r="BU49" s="549" t="s">
        <v>188</v>
      </c>
      <c r="BV49" s="549" t="s">
        <v>188</v>
      </c>
      <c r="BW49" s="549" t="s">
        <v>188</v>
      </c>
      <c r="BX49" s="549" t="s">
        <v>188</v>
      </c>
      <c r="BY49" s="549" t="s">
        <v>188</v>
      </c>
      <c r="BZ49" s="549" t="s">
        <v>188</v>
      </c>
      <c r="CA49" s="549" t="s">
        <v>188</v>
      </c>
      <c r="CB49" s="549" t="s">
        <v>188</v>
      </c>
      <c r="CC49" s="549" t="s">
        <v>188</v>
      </c>
      <c r="CD49" s="662"/>
      <c r="CE49" s="661" t="s">
        <v>188</v>
      </c>
      <c r="CF49" s="662" t="s">
        <v>188</v>
      </c>
      <c r="CG49" s="662" t="s">
        <v>188</v>
      </c>
      <c r="CH49" s="662" t="s">
        <v>188</v>
      </c>
      <c r="CI49" s="662" t="s">
        <v>188</v>
      </c>
      <c r="CJ49" s="662" t="s">
        <v>188</v>
      </c>
      <c r="CK49" s="662" t="s">
        <v>188</v>
      </c>
      <c r="CL49" s="662" t="s">
        <v>188</v>
      </c>
      <c r="CM49" s="662" t="s">
        <v>188</v>
      </c>
      <c r="CN49" s="662" t="s">
        <v>188</v>
      </c>
      <c r="CO49" s="640"/>
      <c r="CP49" s="640"/>
      <c r="CQ49" s="640"/>
      <c r="CR49" s="640"/>
      <c r="CS49" s="640"/>
      <c r="CT49" s="640"/>
      <c r="CU49" s="640"/>
      <c r="CV49" s="640"/>
      <c r="CW49" s="640"/>
      <c r="CX49" s="640"/>
      <c r="CY49" s="640"/>
      <c r="CZ49" s="640"/>
      <c r="DA49" s="640"/>
      <c r="DB49" s="640"/>
      <c r="DC49" s="640"/>
      <c r="DD49" s="640"/>
      <c r="DE49" s="640"/>
      <c r="DF49" s="640"/>
      <c r="DG49" s="640"/>
      <c r="DH49" s="640"/>
      <c r="DI49" s="576"/>
      <c r="DJ49" s="576"/>
      <c r="DK49" s="576"/>
      <c r="DL49" s="576"/>
      <c r="DM49" s="576"/>
      <c r="DN49" s="576"/>
      <c r="DO49" s="576"/>
      <c r="DP49" s="576"/>
      <c r="DQ49" s="576"/>
      <c r="DR49" s="576"/>
      <c r="DS49" s="576"/>
      <c r="DT49" s="576"/>
      <c r="DU49" s="576"/>
      <c r="DV49" s="576"/>
      <c r="DW49" s="576"/>
      <c r="DX49" s="577"/>
      <c r="DY49" s="577"/>
      <c r="DZ49" s="577"/>
      <c r="EA49" s="577"/>
      <c r="EB49" s="577"/>
      <c r="EC49" s="577"/>
      <c r="ED49" s="577"/>
      <c r="EE49" s="577"/>
      <c r="EF49" s="577"/>
      <c r="EG49" s="577"/>
      <c r="EH49" s="8">
        <v>19</v>
      </c>
    </row>
    <row r="50" spans="1:138" x14ac:dyDescent="0.25">
      <c r="A50" s="16">
        <v>46</v>
      </c>
      <c r="B50" s="19" t="s">
        <v>92</v>
      </c>
      <c r="C50" s="19"/>
      <c r="D50" s="19" t="s">
        <v>55</v>
      </c>
      <c r="E50" s="19" t="s">
        <v>75</v>
      </c>
      <c r="F50" s="19" t="s">
        <v>8</v>
      </c>
      <c r="G50" s="19" t="s">
        <v>837</v>
      </c>
      <c r="H50" s="539">
        <v>-99</v>
      </c>
      <c r="I50" s="539">
        <v>-99</v>
      </c>
      <c r="J50" s="539">
        <v>-99</v>
      </c>
      <c r="K50" s="539">
        <v>-99</v>
      </c>
      <c r="L50" s="539">
        <v>-99</v>
      </c>
      <c r="M50" s="539">
        <v>-99</v>
      </c>
      <c r="N50" s="539">
        <v>-99</v>
      </c>
      <c r="O50" s="539">
        <v>-99</v>
      </c>
      <c r="P50" s="539">
        <v>-99</v>
      </c>
      <c r="Q50" s="539">
        <v>-99</v>
      </c>
      <c r="R50" s="539">
        <v>-99</v>
      </c>
      <c r="S50" s="539">
        <v>-99</v>
      </c>
      <c r="T50" s="539">
        <v>-99</v>
      </c>
      <c r="U50" s="539">
        <v>-99</v>
      </c>
      <c r="V50" s="539">
        <v>-99</v>
      </c>
      <c r="W50" s="539">
        <v>-99</v>
      </c>
      <c r="X50" s="539">
        <v>-99</v>
      </c>
      <c r="Y50" s="539">
        <v>-99</v>
      </c>
      <c r="Z50" s="539">
        <v>-99</v>
      </c>
      <c r="AA50" s="539">
        <v>-99</v>
      </c>
      <c r="AB50" s="539">
        <v>-99</v>
      </c>
      <c r="AC50" s="539">
        <v>-99</v>
      </c>
      <c r="AD50" s="539">
        <v>-99</v>
      </c>
      <c r="AE50" s="539">
        <v>-99</v>
      </c>
      <c r="AF50" s="539">
        <v>-99</v>
      </c>
      <c r="AG50" s="539">
        <v>-99</v>
      </c>
      <c r="AH50" s="540">
        <v>-99</v>
      </c>
      <c r="AI50" s="539">
        <v>-99</v>
      </c>
      <c r="AJ50" s="540">
        <v>-99</v>
      </c>
      <c r="AK50" s="539">
        <v>-99</v>
      </c>
      <c r="AL50" s="539">
        <v>-99</v>
      </c>
      <c r="AM50" s="540">
        <v>-99</v>
      </c>
      <c r="AN50" s="539">
        <v>-99</v>
      </c>
      <c r="AO50" s="540">
        <v>-99</v>
      </c>
      <c r="AP50" s="541">
        <v>-99</v>
      </c>
      <c r="AQ50" s="539">
        <v>-99</v>
      </c>
      <c r="AR50" s="540">
        <v>-99</v>
      </c>
      <c r="AS50" s="539">
        <v>-99</v>
      </c>
      <c r="AT50" s="540">
        <v>-99</v>
      </c>
      <c r="AU50" s="539">
        <v>-99</v>
      </c>
      <c r="AV50" s="540">
        <v>-99</v>
      </c>
      <c r="AW50" s="540">
        <v>-99</v>
      </c>
      <c r="AX50" s="540">
        <v>-99</v>
      </c>
      <c r="AY50" s="540">
        <v>-99</v>
      </c>
      <c r="AZ50" s="539">
        <v>-99</v>
      </c>
      <c r="BA50" s="539">
        <v>-99</v>
      </c>
      <c r="BB50" s="540">
        <v>-99</v>
      </c>
      <c r="BC50" s="539">
        <v>-99</v>
      </c>
      <c r="BD50" s="540">
        <v>-99</v>
      </c>
      <c r="BE50" s="541">
        <v>-99</v>
      </c>
      <c r="BF50" s="612"/>
      <c r="BG50" s="612"/>
      <c r="BH50" s="612">
        <v>-99</v>
      </c>
      <c r="BI50" s="576"/>
      <c r="BJ50" s="576"/>
      <c r="BK50" s="576"/>
      <c r="BL50" s="576"/>
      <c r="BM50" s="545">
        <v>-99</v>
      </c>
      <c r="BN50" s="545">
        <v>-99</v>
      </c>
      <c r="BO50" s="576"/>
      <c r="BP50" s="576"/>
      <c r="BQ50" s="576"/>
      <c r="BR50" s="570"/>
      <c r="BS50" s="547" t="s">
        <v>188</v>
      </c>
      <c r="BT50" s="549" t="s">
        <v>188</v>
      </c>
      <c r="BU50" s="549" t="s">
        <v>188</v>
      </c>
      <c r="BV50" s="549" t="s">
        <v>188</v>
      </c>
      <c r="BW50" s="549" t="s">
        <v>188</v>
      </c>
      <c r="BX50" s="549" t="s">
        <v>188</v>
      </c>
      <c r="BY50" s="549" t="s">
        <v>188</v>
      </c>
      <c r="BZ50" s="549" t="s">
        <v>188</v>
      </c>
      <c r="CA50" s="549" t="s">
        <v>188</v>
      </c>
      <c r="CB50" s="549" t="s">
        <v>188</v>
      </c>
      <c r="CC50" s="549" t="s">
        <v>188</v>
      </c>
      <c r="CD50" s="662"/>
      <c r="CE50" s="661" t="s">
        <v>188</v>
      </c>
      <c r="CF50" s="662" t="s">
        <v>188</v>
      </c>
      <c r="CG50" s="662" t="s">
        <v>188</v>
      </c>
      <c r="CH50" s="662" t="s">
        <v>188</v>
      </c>
      <c r="CI50" s="662" t="s">
        <v>188</v>
      </c>
      <c r="CJ50" s="662" t="s">
        <v>188</v>
      </c>
      <c r="CK50" s="662" t="s">
        <v>188</v>
      </c>
      <c r="CL50" s="662" t="s">
        <v>188</v>
      </c>
      <c r="CM50" s="662" t="s">
        <v>188</v>
      </c>
      <c r="CN50" s="662" t="s">
        <v>188</v>
      </c>
      <c r="CO50" s="640"/>
      <c r="CP50" s="640"/>
      <c r="CQ50" s="640"/>
      <c r="CR50" s="640"/>
      <c r="CS50" s="640"/>
      <c r="CT50" s="640"/>
      <c r="CU50" s="640"/>
      <c r="CV50" s="640"/>
      <c r="CW50" s="640"/>
      <c r="CX50" s="640"/>
      <c r="CY50" s="640"/>
      <c r="CZ50" s="640"/>
      <c r="DA50" s="640"/>
      <c r="DB50" s="640"/>
      <c r="DC50" s="640"/>
      <c r="DD50" s="640"/>
      <c r="DE50" s="640"/>
      <c r="DF50" s="640"/>
      <c r="DG50" s="640"/>
      <c r="DH50" s="640"/>
      <c r="DI50" s="576"/>
      <c r="DJ50" s="576"/>
      <c r="DK50" s="576"/>
      <c r="DL50" s="576"/>
      <c r="DM50" s="576"/>
      <c r="DN50" s="576"/>
      <c r="DO50" s="576"/>
      <c r="DP50" s="576"/>
      <c r="DQ50" s="576"/>
      <c r="DR50" s="576"/>
      <c r="DS50" s="576"/>
      <c r="DT50" s="576"/>
      <c r="DU50" s="576"/>
      <c r="DV50" s="576"/>
      <c r="DW50" s="576"/>
      <c r="DX50" s="577"/>
      <c r="DY50" s="577"/>
      <c r="DZ50" s="577"/>
      <c r="EA50" s="577"/>
      <c r="EB50" s="577"/>
      <c r="EC50" s="577"/>
      <c r="ED50" s="577"/>
      <c r="EE50" s="577"/>
      <c r="EF50" s="577"/>
      <c r="EG50" s="577"/>
      <c r="EH50" s="8">
        <v>10</v>
      </c>
    </row>
    <row r="51" spans="1:138" x14ac:dyDescent="0.25">
      <c r="A51" s="16">
        <v>47</v>
      </c>
      <c r="B51" s="19" t="s">
        <v>713</v>
      </c>
      <c r="C51" s="19"/>
      <c r="D51" s="19" t="s">
        <v>55</v>
      </c>
      <c r="E51" s="19" t="s">
        <v>75</v>
      </c>
      <c r="F51" s="19" t="s">
        <v>8</v>
      </c>
      <c r="G51" s="19" t="s">
        <v>837</v>
      </c>
      <c r="H51" s="539">
        <v>-99</v>
      </c>
      <c r="I51" s="539">
        <v>-99</v>
      </c>
      <c r="J51" s="539">
        <v>-99</v>
      </c>
      <c r="K51" s="539">
        <v>-99</v>
      </c>
      <c r="L51" s="539">
        <v>-99</v>
      </c>
      <c r="M51" s="539">
        <v>-99</v>
      </c>
      <c r="N51" s="539">
        <v>-99</v>
      </c>
      <c r="O51" s="539">
        <v>-99</v>
      </c>
      <c r="P51" s="539">
        <v>-99</v>
      </c>
      <c r="Q51" s="539">
        <v>-99</v>
      </c>
      <c r="R51" s="539">
        <v>-99</v>
      </c>
      <c r="S51" s="539">
        <v>-99</v>
      </c>
      <c r="T51" s="539">
        <v>-99</v>
      </c>
      <c r="U51" s="539">
        <v>-99</v>
      </c>
      <c r="V51" s="539">
        <v>-99</v>
      </c>
      <c r="W51" s="539">
        <v>-99</v>
      </c>
      <c r="X51" s="539">
        <v>-99</v>
      </c>
      <c r="Y51" s="539">
        <v>-99</v>
      </c>
      <c r="Z51" s="539">
        <v>-99</v>
      </c>
      <c r="AA51" s="539">
        <v>-99</v>
      </c>
      <c r="AB51" s="539">
        <v>-99</v>
      </c>
      <c r="AC51" s="539">
        <v>-99</v>
      </c>
      <c r="AD51" s="539">
        <v>-99</v>
      </c>
      <c r="AE51" s="539">
        <v>-99</v>
      </c>
      <c r="AF51" s="539">
        <v>-99</v>
      </c>
      <c r="AG51" s="539">
        <v>-99</v>
      </c>
      <c r="AH51" s="540">
        <v>-99</v>
      </c>
      <c r="AI51" s="539">
        <v>-99</v>
      </c>
      <c r="AJ51" s="540">
        <v>-99</v>
      </c>
      <c r="AK51" s="539">
        <v>-99</v>
      </c>
      <c r="AL51" s="539">
        <v>-99</v>
      </c>
      <c r="AM51" s="540">
        <v>-99</v>
      </c>
      <c r="AN51" s="539">
        <v>-99</v>
      </c>
      <c r="AO51" s="540">
        <v>-99</v>
      </c>
      <c r="AP51" s="541">
        <v>-99</v>
      </c>
      <c r="AQ51" s="539">
        <v>-99</v>
      </c>
      <c r="AR51" s="540">
        <v>-99</v>
      </c>
      <c r="AS51" s="539">
        <v>-99</v>
      </c>
      <c r="AT51" s="540">
        <v>-99</v>
      </c>
      <c r="AU51" s="539">
        <v>-99</v>
      </c>
      <c r="AV51" s="540">
        <v>-99</v>
      </c>
      <c r="AW51" s="540">
        <v>-99</v>
      </c>
      <c r="AX51" s="540">
        <v>-99</v>
      </c>
      <c r="AY51" s="540">
        <v>-99</v>
      </c>
      <c r="AZ51" s="539">
        <v>-99</v>
      </c>
      <c r="BA51" s="539">
        <v>-99</v>
      </c>
      <c r="BB51" s="540">
        <v>-99</v>
      </c>
      <c r="BC51" s="539">
        <v>-99</v>
      </c>
      <c r="BD51" s="540">
        <v>-99</v>
      </c>
      <c r="BE51" s="541">
        <v>-99</v>
      </c>
      <c r="BF51" s="612"/>
      <c r="BG51" s="612"/>
      <c r="BH51" s="612">
        <v>-99</v>
      </c>
      <c r="BI51" s="576"/>
      <c r="BJ51" s="576"/>
      <c r="BK51" s="576"/>
      <c r="BL51" s="576"/>
      <c r="BM51" s="545">
        <v>-99</v>
      </c>
      <c r="BN51" s="545">
        <v>-99</v>
      </c>
      <c r="BO51" s="576"/>
      <c r="BP51" s="576"/>
      <c r="BQ51" s="576"/>
      <c r="BR51" s="640"/>
      <c r="BS51" s="547" t="s">
        <v>188</v>
      </c>
      <c r="BT51" s="549" t="s">
        <v>188</v>
      </c>
      <c r="BU51" s="549" t="s">
        <v>188</v>
      </c>
      <c r="BV51" s="549" t="s">
        <v>188</v>
      </c>
      <c r="BW51" s="549" t="s">
        <v>188</v>
      </c>
      <c r="BX51" s="549" t="s">
        <v>188</v>
      </c>
      <c r="BY51" s="549" t="s">
        <v>188</v>
      </c>
      <c r="BZ51" s="549" t="s">
        <v>188</v>
      </c>
      <c r="CA51" s="549" t="s">
        <v>188</v>
      </c>
      <c r="CB51" s="549" t="s">
        <v>188</v>
      </c>
      <c r="CC51" s="549" t="s">
        <v>188</v>
      </c>
      <c r="CD51" s="662"/>
      <c r="CE51" s="661" t="s">
        <v>188</v>
      </c>
      <c r="CF51" s="662" t="s">
        <v>188</v>
      </c>
      <c r="CG51" s="662" t="s">
        <v>188</v>
      </c>
      <c r="CH51" s="662" t="s">
        <v>188</v>
      </c>
      <c r="CI51" s="662" t="s">
        <v>188</v>
      </c>
      <c r="CJ51" s="662" t="s">
        <v>188</v>
      </c>
      <c r="CK51" s="662" t="s">
        <v>188</v>
      </c>
      <c r="CL51" s="662" t="s">
        <v>188</v>
      </c>
      <c r="CM51" s="662" t="s">
        <v>188</v>
      </c>
      <c r="CN51" s="662" t="s">
        <v>188</v>
      </c>
      <c r="CO51" s="640"/>
      <c r="CP51" s="640"/>
      <c r="CQ51" s="640"/>
      <c r="CR51" s="640"/>
      <c r="CS51" s="640"/>
      <c r="CT51" s="640"/>
      <c r="CU51" s="640"/>
      <c r="CV51" s="640"/>
      <c r="CW51" s="640"/>
      <c r="CX51" s="640"/>
      <c r="CY51" s="640"/>
      <c r="CZ51" s="640"/>
      <c r="DA51" s="640"/>
      <c r="DB51" s="640"/>
      <c r="DC51" s="640"/>
      <c r="DD51" s="640"/>
      <c r="DE51" s="640"/>
      <c r="DF51" s="640"/>
      <c r="DG51" s="640"/>
      <c r="DH51" s="640"/>
      <c r="DI51" s="576"/>
      <c r="DJ51" s="576"/>
      <c r="DK51" s="576"/>
      <c r="DL51" s="576"/>
      <c r="DM51" s="576"/>
      <c r="DN51" s="576"/>
      <c r="DO51" s="576"/>
      <c r="DP51" s="576"/>
      <c r="DQ51" s="576"/>
      <c r="DR51" s="576"/>
      <c r="DS51" s="576"/>
      <c r="DT51" s="576"/>
      <c r="DU51" s="576"/>
      <c r="DV51" s="576"/>
      <c r="DW51" s="576"/>
      <c r="DX51" s="577"/>
      <c r="DY51" s="577"/>
      <c r="DZ51" s="577"/>
      <c r="EA51" s="577"/>
      <c r="EB51" s="577"/>
      <c r="EC51" s="577"/>
      <c r="ED51" s="577"/>
      <c r="EE51" s="577"/>
      <c r="EF51" s="577"/>
      <c r="EG51" s="577"/>
      <c r="EH51" s="8">
        <v>9</v>
      </c>
    </row>
    <row r="52" spans="1:138" x14ac:dyDescent="0.25">
      <c r="A52" s="16">
        <v>48</v>
      </c>
      <c r="B52" s="19" t="s">
        <v>743</v>
      </c>
      <c r="C52" s="19"/>
      <c r="D52" s="19" t="s">
        <v>59</v>
      </c>
      <c r="E52" s="19" t="s">
        <v>75</v>
      </c>
      <c r="F52" s="19" t="s">
        <v>8</v>
      </c>
      <c r="G52" s="19" t="s">
        <v>837</v>
      </c>
      <c r="H52" s="539">
        <v>-99</v>
      </c>
      <c r="I52" s="539">
        <v>-99</v>
      </c>
      <c r="J52" s="539">
        <v>-99</v>
      </c>
      <c r="K52" s="539">
        <v>-99</v>
      </c>
      <c r="L52" s="539">
        <v>-99</v>
      </c>
      <c r="M52" s="539">
        <v>-99</v>
      </c>
      <c r="N52" s="539">
        <v>-99</v>
      </c>
      <c r="O52" s="539">
        <v>-99</v>
      </c>
      <c r="P52" s="539">
        <v>-99</v>
      </c>
      <c r="Q52" s="539">
        <v>-99</v>
      </c>
      <c r="R52" s="539">
        <v>-99</v>
      </c>
      <c r="S52" s="539">
        <v>-99</v>
      </c>
      <c r="T52" s="539">
        <v>-99</v>
      </c>
      <c r="U52" s="539">
        <v>-99</v>
      </c>
      <c r="V52" s="539">
        <v>-99</v>
      </c>
      <c r="W52" s="539">
        <v>-99</v>
      </c>
      <c r="X52" s="539">
        <v>-99</v>
      </c>
      <c r="Y52" s="539">
        <v>-99</v>
      </c>
      <c r="Z52" s="539">
        <v>-99</v>
      </c>
      <c r="AA52" s="539">
        <v>-99</v>
      </c>
      <c r="AB52" s="539">
        <v>-99</v>
      </c>
      <c r="AC52" s="539">
        <v>-99</v>
      </c>
      <c r="AD52" s="539">
        <v>-99</v>
      </c>
      <c r="AE52" s="539">
        <v>-99</v>
      </c>
      <c r="AF52" s="539">
        <v>-99</v>
      </c>
      <c r="AG52" s="539">
        <v>-99</v>
      </c>
      <c r="AH52" s="540">
        <v>-99</v>
      </c>
      <c r="AI52" s="539">
        <v>-99</v>
      </c>
      <c r="AJ52" s="540">
        <v>-99</v>
      </c>
      <c r="AK52" s="539">
        <v>-99</v>
      </c>
      <c r="AL52" s="539">
        <v>-99</v>
      </c>
      <c r="AM52" s="540">
        <v>-99</v>
      </c>
      <c r="AN52" s="539">
        <v>-99</v>
      </c>
      <c r="AO52" s="540">
        <v>-99</v>
      </c>
      <c r="AP52" s="541">
        <v>-99</v>
      </c>
      <c r="AQ52" s="539">
        <v>-99</v>
      </c>
      <c r="AR52" s="540">
        <v>-99</v>
      </c>
      <c r="AS52" s="539">
        <v>-99</v>
      </c>
      <c r="AT52" s="540">
        <v>-99</v>
      </c>
      <c r="AU52" s="539">
        <v>-99</v>
      </c>
      <c r="AV52" s="540">
        <v>-99</v>
      </c>
      <c r="AW52" s="540">
        <v>-99</v>
      </c>
      <c r="AX52" s="540">
        <v>-99</v>
      </c>
      <c r="AY52" s="540">
        <v>-99</v>
      </c>
      <c r="AZ52" s="539">
        <v>-99</v>
      </c>
      <c r="BA52" s="539">
        <v>-99</v>
      </c>
      <c r="BB52" s="540">
        <v>-99</v>
      </c>
      <c r="BC52" s="539">
        <v>-99</v>
      </c>
      <c r="BD52" s="540">
        <v>-99</v>
      </c>
      <c r="BE52" s="541">
        <v>-99</v>
      </c>
      <c r="BF52" s="612"/>
      <c r="BG52" s="612"/>
      <c r="BH52" s="612">
        <v>-99</v>
      </c>
      <c r="BI52" s="576"/>
      <c r="BJ52" s="576"/>
      <c r="BK52" s="576"/>
      <c r="BL52" s="576"/>
      <c r="BM52" s="545">
        <v>-99</v>
      </c>
      <c r="BN52" s="545">
        <v>-99</v>
      </c>
      <c r="BO52" s="576"/>
      <c r="BP52" s="576"/>
      <c r="BQ52" s="576"/>
      <c r="BR52" s="570"/>
      <c r="BS52" s="547" t="s">
        <v>188</v>
      </c>
      <c r="BT52" s="549" t="s">
        <v>188</v>
      </c>
      <c r="BU52" s="549" t="s">
        <v>188</v>
      </c>
      <c r="BV52" s="549" t="s">
        <v>188</v>
      </c>
      <c r="BW52" s="549" t="s">
        <v>188</v>
      </c>
      <c r="BX52" s="549" t="s">
        <v>188</v>
      </c>
      <c r="BY52" s="549" t="s">
        <v>188</v>
      </c>
      <c r="BZ52" s="549" t="s">
        <v>188</v>
      </c>
      <c r="CA52" s="549" t="s">
        <v>188</v>
      </c>
      <c r="CB52" s="549" t="s">
        <v>188</v>
      </c>
      <c r="CC52" s="549" t="s">
        <v>188</v>
      </c>
      <c r="CD52" s="662"/>
      <c r="CE52" s="661" t="s">
        <v>188</v>
      </c>
      <c r="CF52" s="662" t="s">
        <v>188</v>
      </c>
      <c r="CG52" s="662" t="s">
        <v>188</v>
      </c>
      <c r="CH52" s="662" t="s">
        <v>188</v>
      </c>
      <c r="CI52" s="662" t="s">
        <v>188</v>
      </c>
      <c r="CJ52" s="662" t="s">
        <v>188</v>
      </c>
      <c r="CK52" s="662" t="s">
        <v>188</v>
      </c>
      <c r="CL52" s="662" t="s">
        <v>188</v>
      </c>
      <c r="CM52" s="662" t="s">
        <v>188</v>
      </c>
      <c r="CN52" s="662" t="s">
        <v>188</v>
      </c>
      <c r="CO52" s="640"/>
      <c r="CP52" s="640"/>
      <c r="CQ52" s="640"/>
      <c r="CR52" s="640"/>
      <c r="CS52" s="640"/>
      <c r="CT52" s="640"/>
      <c r="CU52" s="640"/>
      <c r="CV52" s="640"/>
      <c r="CW52" s="640"/>
      <c r="CX52" s="640"/>
      <c r="CY52" s="640"/>
      <c r="CZ52" s="640"/>
      <c r="DA52" s="640"/>
      <c r="DB52" s="640"/>
      <c r="DC52" s="640"/>
      <c r="DD52" s="640"/>
      <c r="DE52" s="640"/>
      <c r="DF52" s="640"/>
      <c r="DG52" s="640"/>
      <c r="DH52" s="640"/>
      <c r="DI52" s="576"/>
      <c r="DJ52" s="576"/>
      <c r="DK52" s="576"/>
      <c r="DL52" s="576"/>
      <c r="DM52" s="576"/>
      <c r="DN52" s="576"/>
      <c r="DO52" s="576"/>
      <c r="DP52" s="576"/>
      <c r="DQ52" s="576"/>
      <c r="DR52" s="576"/>
      <c r="DS52" s="576"/>
      <c r="DT52" s="576"/>
      <c r="DU52" s="576"/>
      <c r="DV52" s="576"/>
      <c r="DW52" s="576"/>
      <c r="DX52" s="577"/>
      <c r="DY52" s="577"/>
      <c r="DZ52" s="577"/>
      <c r="EA52" s="577"/>
      <c r="EB52" s="577"/>
      <c r="EC52" s="577"/>
      <c r="ED52" s="577"/>
      <c r="EE52" s="577"/>
      <c r="EF52" s="577"/>
      <c r="EG52" s="577"/>
      <c r="EH52" s="8">
        <v>60</v>
      </c>
    </row>
    <row r="53" spans="1:138" x14ac:dyDescent="0.25">
      <c r="A53" s="16">
        <v>49</v>
      </c>
      <c r="B53" s="19" t="s">
        <v>714</v>
      </c>
      <c r="C53" s="19"/>
      <c r="D53" s="19" t="s">
        <v>59</v>
      </c>
      <c r="E53" s="19" t="s">
        <v>75</v>
      </c>
      <c r="F53" s="19" t="s">
        <v>8</v>
      </c>
      <c r="G53" s="19" t="s">
        <v>837</v>
      </c>
      <c r="H53" s="539">
        <v>-99</v>
      </c>
      <c r="I53" s="539">
        <v>-99</v>
      </c>
      <c r="J53" s="539">
        <v>-99</v>
      </c>
      <c r="K53" s="539">
        <v>-99</v>
      </c>
      <c r="L53" s="539">
        <v>-99</v>
      </c>
      <c r="M53" s="539">
        <v>-99</v>
      </c>
      <c r="N53" s="539">
        <v>-99</v>
      </c>
      <c r="O53" s="539">
        <v>-99</v>
      </c>
      <c r="P53" s="539">
        <v>-99</v>
      </c>
      <c r="Q53" s="539">
        <v>-99</v>
      </c>
      <c r="R53" s="539">
        <v>-99</v>
      </c>
      <c r="S53" s="539">
        <v>-99</v>
      </c>
      <c r="T53" s="539">
        <v>-99</v>
      </c>
      <c r="U53" s="539">
        <v>-99</v>
      </c>
      <c r="V53" s="539">
        <v>-99</v>
      </c>
      <c r="W53" s="539">
        <v>-99</v>
      </c>
      <c r="X53" s="539">
        <v>-99</v>
      </c>
      <c r="Y53" s="539">
        <v>-99</v>
      </c>
      <c r="Z53" s="539">
        <v>-99</v>
      </c>
      <c r="AA53" s="539">
        <v>-99</v>
      </c>
      <c r="AB53" s="539">
        <v>-99</v>
      </c>
      <c r="AC53" s="539">
        <v>-99</v>
      </c>
      <c r="AD53" s="539">
        <v>-99</v>
      </c>
      <c r="AE53" s="539">
        <v>-99</v>
      </c>
      <c r="AF53" s="539">
        <v>-99</v>
      </c>
      <c r="AG53" s="539">
        <v>-99</v>
      </c>
      <c r="AH53" s="540">
        <v>-99</v>
      </c>
      <c r="AI53" s="539">
        <v>-99</v>
      </c>
      <c r="AJ53" s="540">
        <v>-99</v>
      </c>
      <c r="AK53" s="539">
        <v>-99</v>
      </c>
      <c r="AL53" s="539">
        <v>-99</v>
      </c>
      <c r="AM53" s="540">
        <v>-99</v>
      </c>
      <c r="AN53" s="539">
        <v>-99</v>
      </c>
      <c r="AO53" s="540">
        <v>-99</v>
      </c>
      <c r="AP53" s="541">
        <v>-99</v>
      </c>
      <c r="AQ53" s="539">
        <v>-99</v>
      </c>
      <c r="AR53" s="540">
        <v>-99</v>
      </c>
      <c r="AS53" s="539">
        <v>-99</v>
      </c>
      <c r="AT53" s="540">
        <v>-99</v>
      </c>
      <c r="AU53" s="539">
        <v>-99</v>
      </c>
      <c r="AV53" s="540">
        <v>-99</v>
      </c>
      <c r="AW53" s="540">
        <v>-99</v>
      </c>
      <c r="AX53" s="540">
        <v>-99</v>
      </c>
      <c r="AY53" s="540">
        <v>-99</v>
      </c>
      <c r="AZ53" s="539">
        <v>-99</v>
      </c>
      <c r="BA53" s="539">
        <v>-99</v>
      </c>
      <c r="BB53" s="540">
        <v>-99</v>
      </c>
      <c r="BC53" s="539">
        <v>-99</v>
      </c>
      <c r="BD53" s="540">
        <v>-99</v>
      </c>
      <c r="BE53" s="541">
        <v>-99</v>
      </c>
      <c r="BF53" s="612"/>
      <c r="BG53" s="612"/>
      <c r="BH53" s="612">
        <v>-99</v>
      </c>
      <c r="BI53" s="576"/>
      <c r="BJ53" s="576"/>
      <c r="BK53" s="576"/>
      <c r="BL53" s="576"/>
      <c r="BM53" s="545">
        <v>-99</v>
      </c>
      <c r="BN53" s="545">
        <v>-99</v>
      </c>
      <c r="BO53" s="576"/>
      <c r="BP53" s="576"/>
      <c r="BQ53" s="576"/>
      <c r="BR53" s="570"/>
      <c r="BS53" s="747">
        <v>24.0149999833849</v>
      </c>
      <c r="BT53" s="747">
        <v>0</v>
      </c>
      <c r="BU53" s="747">
        <v>24.014999975984999</v>
      </c>
      <c r="BV53" s="747">
        <v>0</v>
      </c>
      <c r="BW53" s="747">
        <v>24.015000000000001</v>
      </c>
      <c r="BX53" s="648" t="s">
        <v>188</v>
      </c>
      <c r="BY53" s="648">
        <v>0</v>
      </c>
      <c r="BZ53" s="747">
        <v>0</v>
      </c>
      <c r="CA53" s="747">
        <v>24.014999951969997</v>
      </c>
      <c r="CB53" s="747">
        <v>0</v>
      </c>
      <c r="CC53" s="597" t="s">
        <v>995</v>
      </c>
      <c r="CD53" s="748" t="s">
        <v>1003</v>
      </c>
      <c r="CE53" s="749">
        <v>240889789.20913202</v>
      </c>
      <c r="CF53" s="748">
        <v>0</v>
      </c>
      <c r="CG53" s="748">
        <v>107366107.14712051</v>
      </c>
      <c r="CH53" s="748">
        <v>0</v>
      </c>
      <c r="CI53" s="748">
        <v>101376413.18592969</v>
      </c>
      <c r="CJ53" s="748" t="s">
        <v>188</v>
      </c>
      <c r="CK53" s="748" t="s">
        <v>188</v>
      </c>
      <c r="CL53" s="748">
        <v>0</v>
      </c>
      <c r="CM53" s="748">
        <v>32147268.876082301</v>
      </c>
      <c r="CN53" s="748">
        <v>0</v>
      </c>
      <c r="CO53" s="640"/>
      <c r="CP53" s="640"/>
      <c r="CQ53" s="640"/>
      <c r="CR53" s="640"/>
      <c r="CS53" s="640"/>
      <c r="CT53" s="640"/>
      <c r="CU53" s="640"/>
      <c r="CV53" s="640"/>
      <c r="CW53" s="640"/>
      <c r="CX53" s="640"/>
      <c r="CY53" s="640"/>
      <c r="CZ53" s="640"/>
      <c r="DA53" s="640"/>
      <c r="DB53" s="640"/>
      <c r="DC53" s="640"/>
      <c r="DD53" s="640"/>
      <c r="DE53" s="640"/>
      <c r="DF53" s="640"/>
      <c r="DG53" s="640"/>
      <c r="DH53" s="640"/>
      <c r="DI53" s="576"/>
      <c r="DJ53" s="576"/>
      <c r="DK53" s="576"/>
      <c r="DL53" s="576"/>
      <c r="DM53" s="576"/>
      <c r="DN53" s="576"/>
      <c r="DO53" s="576"/>
      <c r="DP53" s="576"/>
      <c r="DQ53" s="576"/>
      <c r="DR53" s="576"/>
      <c r="DS53" s="576"/>
      <c r="DT53" s="576"/>
      <c r="DU53" s="576"/>
      <c r="DV53" s="576"/>
      <c r="DW53" s="576"/>
      <c r="DX53" s="577"/>
      <c r="DY53" s="577"/>
      <c r="DZ53" s="577"/>
      <c r="EA53" s="577"/>
      <c r="EB53" s="577"/>
      <c r="EC53" s="577"/>
      <c r="ED53" s="577"/>
      <c r="EE53" s="577"/>
      <c r="EF53" s="577"/>
      <c r="EG53" s="577"/>
      <c r="EH53" s="8">
        <v>31</v>
      </c>
    </row>
    <row r="54" spans="1:138" x14ac:dyDescent="0.25">
      <c r="A54" s="16">
        <v>50</v>
      </c>
      <c r="B54" s="19" t="s">
        <v>744</v>
      </c>
      <c r="C54" s="19"/>
      <c r="D54" s="19" t="s">
        <v>59</v>
      </c>
      <c r="E54" s="19" t="s">
        <v>75</v>
      </c>
      <c r="F54" s="19" t="s">
        <v>8</v>
      </c>
      <c r="G54" s="19" t="s">
        <v>837</v>
      </c>
      <c r="H54" s="539">
        <v>-99</v>
      </c>
      <c r="I54" s="539">
        <v>-99</v>
      </c>
      <c r="J54" s="539">
        <v>-99</v>
      </c>
      <c r="K54" s="539">
        <v>-99</v>
      </c>
      <c r="L54" s="539">
        <v>-99</v>
      </c>
      <c r="M54" s="539">
        <v>-99</v>
      </c>
      <c r="N54" s="539">
        <v>-99</v>
      </c>
      <c r="O54" s="539">
        <v>-99</v>
      </c>
      <c r="P54" s="539">
        <v>-99</v>
      </c>
      <c r="Q54" s="539">
        <v>-99</v>
      </c>
      <c r="R54" s="539">
        <v>-99</v>
      </c>
      <c r="S54" s="539">
        <v>-99</v>
      </c>
      <c r="T54" s="539">
        <v>-99</v>
      </c>
      <c r="U54" s="539">
        <v>-99</v>
      </c>
      <c r="V54" s="539">
        <v>-99</v>
      </c>
      <c r="W54" s="539">
        <v>-99</v>
      </c>
      <c r="X54" s="539">
        <v>-99</v>
      </c>
      <c r="Y54" s="539">
        <v>-99</v>
      </c>
      <c r="Z54" s="539">
        <v>-99</v>
      </c>
      <c r="AA54" s="539">
        <v>-99</v>
      </c>
      <c r="AB54" s="539">
        <v>-99</v>
      </c>
      <c r="AC54" s="539">
        <v>-99</v>
      </c>
      <c r="AD54" s="539">
        <v>-99</v>
      </c>
      <c r="AE54" s="539">
        <v>-99</v>
      </c>
      <c r="AF54" s="539">
        <v>-99</v>
      </c>
      <c r="AG54" s="539">
        <v>-99</v>
      </c>
      <c r="AH54" s="540">
        <v>-99</v>
      </c>
      <c r="AI54" s="539">
        <v>-99</v>
      </c>
      <c r="AJ54" s="540">
        <v>-99</v>
      </c>
      <c r="AK54" s="539">
        <v>-99</v>
      </c>
      <c r="AL54" s="539">
        <v>-99</v>
      </c>
      <c r="AM54" s="540">
        <v>-99</v>
      </c>
      <c r="AN54" s="539">
        <v>-99</v>
      </c>
      <c r="AO54" s="540">
        <v>-99</v>
      </c>
      <c r="AP54" s="541">
        <v>-99</v>
      </c>
      <c r="AQ54" s="539">
        <v>-99</v>
      </c>
      <c r="AR54" s="540">
        <v>-99</v>
      </c>
      <c r="AS54" s="539">
        <v>-99</v>
      </c>
      <c r="AT54" s="540">
        <v>-99</v>
      </c>
      <c r="AU54" s="539">
        <v>-99</v>
      </c>
      <c r="AV54" s="540">
        <v>-99</v>
      </c>
      <c r="AW54" s="540">
        <v>-99</v>
      </c>
      <c r="AX54" s="540">
        <v>-99</v>
      </c>
      <c r="AY54" s="540">
        <v>-99</v>
      </c>
      <c r="AZ54" s="539">
        <v>-99</v>
      </c>
      <c r="BA54" s="539">
        <v>-99</v>
      </c>
      <c r="BB54" s="540">
        <v>-99</v>
      </c>
      <c r="BC54" s="539">
        <v>-99</v>
      </c>
      <c r="BD54" s="540">
        <v>-99</v>
      </c>
      <c r="BE54" s="541">
        <v>-99</v>
      </c>
      <c r="BF54" s="612"/>
      <c r="BG54" s="612"/>
      <c r="BH54" s="612">
        <v>-99</v>
      </c>
      <c r="BI54" s="641"/>
      <c r="BJ54" s="641"/>
      <c r="BK54" s="641"/>
      <c r="BL54" s="641"/>
      <c r="BM54" s="545">
        <v>-99</v>
      </c>
      <c r="BN54" s="545">
        <v>-99</v>
      </c>
      <c r="BO54" s="641"/>
      <c r="BP54" s="641"/>
      <c r="BQ54" s="641"/>
      <c r="BR54" s="640"/>
      <c r="BS54" s="547" t="s">
        <v>188</v>
      </c>
      <c r="BT54" s="549" t="s">
        <v>188</v>
      </c>
      <c r="BU54" s="549" t="s">
        <v>188</v>
      </c>
      <c r="BV54" s="549" t="s">
        <v>188</v>
      </c>
      <c r="BW54" s="549" t="s">
        <v>188</v>
      </c>
      <c r="BX54" s="549" t="s">
        <v>188</v>
      </c>
      <c r="BY54" s="549" t="s">
        <v>188</v>
      </c>
      <c r="BZ54" s="549" t="s">
        <v>188</v>
      </c>
      <c r="CA54" s="549" t="s">
        <v>188</v>
      </c>
      <c r="CB54" s="549" t="s">
        <v>188</v>
      </c>
      <c r="CC54" s="549" t="s">
        <v>188</v>
      </c>
      <c r="CD54" s="662"/>
      <c r="CE54" s="661" t="s">
        <v>188</v>
      </c>
      <c r="CF54" s="662" t="s">
        <v>188</v>
      </c>
      <c r="CG54" s="662" t="s">
        <v>188</v>
      </c>
      <c r="CH54" s="662" t="s">
        <v>188</v>
      </c>
      <c r="CI54" s="662" t="s">
        <v>188</v>
      </c>
      <c r="CJ54" s="662" t="s">
        <v>188</v>
      </c>
      <c r="CK54" s="662" t="s">
        <v>188</v>
      </c>
      <c r="CL54" s="662" t="s">
        <v>188</v>
      </c>
      <c r="CM54" s="662" t="s">
        <v>188</v>
      </c>
      <c r="CN54" s="662" t="s">
        <v>188</v>
      </c>
      <c r="CO54" s="640"/>
      <c r="CP54" s="640"/>
      <c r="CQ54" s="640"/>
      <c r="CR54" s="640"/>
      <c r="CS54" s="640"/>
      <c r="CT54" s="640"/>
      <c r="CU54" s="640"/>
      <c r="CV54" s="640"/>
      <c r="CW54" s="640"/>
      <c r="CX54" s="640"/>
      <c r="CY54" s="640"/>
      <c r="CZ54" s="640"/>
      <c r="DA54" s="640"/>
      <c r="DB54" s="640"/>
      <c r="DC54" s="640"/>
      <c r="DD54" s="640"/>
      <c r="DE54" s="640"/>
      <c r="DF54" s="640"/>
      <c r="DG54" s="640"/>
      <c r="DH54" s="640"/>
      <c r="DI54" s="641"/>
      <c r="DJ54" s="641"/>
      <c r="DK54" s="641"/>
      <c r="DL54" s="641"/>
      <c r="DM54" s="641"/>
      <c r="DN54" s="641"/>
      <c r="DO54" s="641"/>
      <c r="DP54" s="641"/>
      <c r="DQ54" s="641"/>
      <c r="DR54" s="641"/>
      <c r="DS54" s="641"/>
      <c r="DT54" s="641"/>
      <c r="DU54" s="641"/>
      <c r="DV54" s="641"/>
      <c r="DW54" s="641"/>
      <c r="DX54" s="607"/>
      <c r="DY54" s="607"/>
      <c r="DZ54" s="607"/>
      <c r="EA54" s="607"/>
      <c r="EB54" s="607"/>
      <c r="EC54" s="607"/>
      <c r="ED54" s="607"/>
      <c r="EE54" s="607"/>
      <c r="EF54" s="607"/>
      <c r="EG54" s="607"/>
      <c r="EH54" s="8">
        <v>20</v>
      </c>
    </row>
    <row r="55" spans="1:138" x14ac:dyDescent="0.25">
      <c r="A55" s="16">
        <v>51</v>
      </c>
      <c r="B55" s="19" t="s">
        <v>715</v>
      </c>
      <c r="C55" s="19"/>
      <c r="D55" s="19" t="s">
        <v>52</v>
      </c>
      <c r="E55" s="19" t="s">
        <v>74</v>
      </c>
      <c r="F55" s="19" t="s">
        <v>8</v>
      </c>
      <c r="G55" s="19" t="s">
        <v>837</v>
      </c>
      <c r="H55" s="539">
        <v>-99</v>
      </c>
      <c r="I55" s="539">
        <v>-99</v>
      </c>
      <c r="J55" s="539">
        <v>-99</v>
      </c>
      <c r="K55" s="539">
        <v>0.29154011697021659</v>
      </c>
      <c r="L55" s="539">
        <v>0.37703399999999998</v>
      </c>
      <c r="M55" s="539">
        <v>-99</v>
      </c>
      <c r="N55" s="539">
        <v>-99</v>
      </c>
      <c r="O55" s="539">
        <v>-99</v>
      </c>
      <c r="P55" s="539">
        <v>0.27330618519615862</v>
      </c>
      <c r="Q55" s="539">
        <v>0.35439799999999999</v>
      </c>
      <c r="R55" s="539">
        <v>-99</v>
      </c>
      <c r="S55" s="539">
        <v>-99</v>
      </c>
      <c r="T55" s="539">
        <v>-99</v>
      </c>
      <c r="U55" s="539">
        <v>0.3045869079077394</v>
      </c>
      <c r="V55" s="539">
        <v>0.40695499999999996</v>
      </c>
      <c r="W55" s="539">
        <v>-99</v>
      </c>
      <c r="X55" s="539">
        <v>-99</v>
      </c>
      <c r="Y55" s="539">
        <v>-99</v>
      </c>
      <c r="Z55" s="539">
        <v>-99</v>
      </c>
      <c r="AA55" s="539">
        <v>-99</v>
      </c>
      <c r="AB55" s="539">
        <v>-99</v>
      </c>
      <c r="AC55" s="539">
        <v>-99</v>
      </c>
      <c r="AD55" s="539">
        <v>-99</v>
      </c>
      <c r="AE55" s="539">
        <v>0.31386562239090265</v>
      </c>
      <c r="AF55" s="539">
        <v>0.35549399999999998</v>
      </c>
      <c r="AG55" s="539">
        <v>-99</v>
      </c>
      <c r="AH55" s="540">
        <v>-99</v>
      </c>
      <c r="AI55" s="539">
        <v>-99</v>
      </c>
      <c r="AJ55" s="540">
        <v>-99</v>
      </c>
      <c r="AK55" s="539">
        <v>0.47099999999999997</v>
      </c>
      <c r="AL55" s="539">
        <v>-99</v>
      </c>
      <c r="AM55" s="540">
        <v>-99</v>
      </c>
      <c r="AN55" s="539">
        <v>-99</v>
      </c>
      <c r="AO55" s="540">
        <v>-99</v>
      </c>
      <c r="AP55" s="541">
        <v>0.443</v>
      </c>
      <c r="AQ55" s="539">
        <v>-99</v>
      </c>
      <c r="AR55" s="540">
        <v>-99</v>
      </c>
      <c r="AS55" s="539">
        <v>-99</v>
      </c>
      <c r="AT55" s="540">
        <v>-99</v>
      </c>
      <c r="AU55" s="539">
        <v>0.499</v>
      </c>
      <c r="AV55" s="540">
        <v>-99</v>
      </c>
      <c r="AW55" s="540">
        <v>-99</v>
      </c>
      <c r="AX55" s="540">
        <v>-99</v>
      </c>
      <c r="AY55" s="540">
        <v>-99</v>
      </c>
      <c r="AZ55" s="539">
        <v>-99</v>
      </c>
      <c r="BA55" s="539">
        <v>-99</v>
      </c>
      <c r="BB55" s="540">
        <v>-99</v>
      </c>
      <c r="BC55" s="539">
        <v>-99</v>
      </c>
      <c r="BD55" s="540">
        <v>-99</v>
      </c>
      <c r="BE55" s="541">
        <v>0.47799999999999998</v>
      </c>
      <c r="BF55" s="612"/>
      <c r="BG55" s="612"/>
      <c r="BH55" s="612">
        <v>-99</v>
      </c>
      <c r="BI55" s="576"/>
      <c r="BJ55" s="576"/>
      <c r="BK55" s="576"/>
      <c r="BL55" s="576"/>
      <c r="BM55" s="545">
        <v>-99</v>
      </c>
      <c r="BN55" s="545">
        <v>-99</v>
      </c>
      <c r="BO55" s="576"/>
      <c r="BP55" s="576"/>
      <c r="BQ55" s="576"/>
      <c r="BR55" s="570"/>
      <c r="BS55" s="547" t="s">
        <v>188</v>
      </c>
      <c r="BT55" s="549" t="s">
        <v>188</v>
      </c>
      <c r="BU55" s="549" t="s">
        <v>188</v>
      </c>
      <c r="BV55" s="549" t="s">
        <v>188</v>
      </c>
      <c r="BW55" s="549" t="s">
        <v>188</v>
      </c>
      <c r="BX55" s="549" t="s">
        <v>188</v>
      </c>
      <c r="BY55" s="549" t="s">
        <v>188</v>
      </c>
      <c r="BZ55" s="549" t="s">
        <v>188</v>
      </c>
      <c r="CA55" s="549" t="s">
        <v>188</v>
      </c>
      <c r="CB55" s="549" t="s">
        <v>188</v>
      </c>
      <c r="CC55" s="549" t="s">
        <v>188</v>
      </c>
      <c r="CD55" s="662"/>
      <c r="CE55" s="661" t="s">
        <v>188</v>
      </c>
      <c r="CF55" s="662" t="s">
        <v>188</v>
      </c>
      <c r="CG55" s="662" t="s">
        <v>188</v>
      </c>
      <c r="CH55" s="662" t="s">
        <v>188</v>
      </c>
      <c r="CI55" s="662" t="s">
        <v>188</v>
      </c>
      <c r="CJ55" s="662" t="s">
        <v>188</v>
      </c>
      <c r="CK55" s="662" t="s">
        <v>188</v>
      </c>
      <c r="CL55" s="662" t="s">
        <v>188</v>
      </c>
      <c r="CM55" s="662" t="s">
        <v>188</v>
      </c>
      <c r="CN55" s="662" t="s">
        <v>188</v>
      </c>
      <c r="CO55" s="640"/>
      <c r="CP55" s="640"/>
      <c r="CQ55" s="640"/>
      <c r="CR55" s="640"/>
      <c r="CS55" s="640"/>
      <c r="CT55" s="640"/>
      <c r="CU55" s="640"/>
      <c r="CV55" s="640"/>
      <c r="CW55" s="640"/>
      <c r="CX55" s="640"/>
      <c r="CY55" s="640"/>
      <c r="CZ55" s="640"/>
      <c r="DA55" s="640"/>
      <c r="DB55" s="640"/>
      <c r="DC55" s="645" t="s">
        <v>188</v>
      </c>
      <c r="DD55" s="645" t="s">
        <v>188</v>
      </c>
      <c r="DE55" s="645">
        <v>78.5</v>
      </c>
      <c r="DF55" s="645">
        <v>0</v>
      </c>
      <c r="DG55" s="645" t="s">
        <v>188</v>
      </c>
      <c r="DH55" s="665">
        <v>0.15429999999999999</v>
      </c>
      <c r="DI55" s="576"/>
      <c r="DJ55" s="576"/>
      <c r="DK55" s="576"/>
      <c r="DL55" s="576"/>
      <c r="DM55" s="576"/>
      <c r="DN55" s="576"/>
      <c r="DO55" s="576"/>
      <c r="DP55" s="576"/>
      <c r="DQ55" s="576"/>
      <c r="DR55" s="576"/>
      <c r="DS55" s="576"/>
      <c r="DT55" s="576"/>
      <c r="DU55" s="576"/>
      <c r="DV55" s="576"/>
      <c r="DW55" s="576"/>
      <c r="DX55" s="577"/>
      <c r="DY55" s="577"/>
      <c r="DZ55" s="577"/>
      <c r="EA55" s="577"/>
      <c r="EB55" s="577"/>
      <c r="EC55" s="577"/>
      <c r="ED55" s="577"/>
      <c r="EE55" s="577"/>
      <c r="EF55" s="577"/>
      <c r="EG55" s="577"/>
      <c r="EH55" s="8">
        <v>87</v>
      </c>
    </row>
    <row r="56" spans="1:138" x14ac:dyDescent="0.25">
      <c r="A56" s="16">
        <v>52</v>
      </c>
      <c r="B56" s="19" t="s">
        <v>716</v>
      </c>
      <c r="C56" s="19"/>
      <c r="D56" s="19" t="s">
        <v>52</v>
      </c>
      <c r="E56" s="19" t="s">
        <v>75</v>
      </c>
      <c r="F56" s="19" t="s">
        <v>8</v>
      </c>
      <c r="G56" s="19" t="s">
        <v>837</v>
      </c>
      <c r="H56" s="539">
        <v>-99</v>
      </c>
      <c r="I56" s="539">
        <v>-99</v>
      </c>
      <c r="J56" s="539">
        <v>-99</v>
      </c>
      <c r="K56" s="539">
        <v>-99</v>
      </c>
      <c r="L56" s="539">
        <v>-99</v>
      </c>
      <c r="M56" s="539">
        <v>-99</v>
      </c>
      <c r="N56" s="539">
        <v>-99</v>
      </c>
      <c r="O56" s="539">
        <v>-99</v>
      </c>
      <c r="P56" s="539">
        <v>-99</v>
      </c>
      <c r="Q56" s="539">
        <v>-99</v>
      </c>
      <c r="R56" s="539">
        <v>-99</v>
      </c>
      <c r="S56" s="539">
        <v>-99</v>
      </c>
      <c r="T56" s="539">
        <v>-99</v>
      </c>
      <c r="U56" s="539">
        <v>-99</v>
      </c>
      <c r="V56" s="539">
        <v>-99</v>
      </c>
      <c r="W56" s="539">
        <v>-99</v>
      </c>
      <c r="X56" s="539">
        <v>-99</v>
      </c>
      <c r="Y56" s="539">
        <v>-99</v>
      </c>
      <c r="Z56" s="539">
        <v>-99</v>
      </c>
      <c r="AA56" s="539">
        <v>-99</v>
      </c>
      <c r="AB56" s="539">
        <v>-99</v>
      </c>
      <c r="AC56" s="539">
        <v>-99</v>
      </c>
      <c r="AD56" s="539">
        <v>-99</v>
      </c>
      <c r="AE56" s="539">
        <v>-99</v>
      </c>
      <c r="AF56" s="539">
        <v>-99</v>
      </c>
      <c r="AG56" s="539">
        <v>-99</v>
      </c>
      <c r="AH56" s="540">
        <v>-99</v>
      </c>
      <c r="AI56" s="539">
        <v>-99</v>
      </c>
      <c r="AJ56" s="540">
        <v>-99</v>
      </c>
      <c r="AK56" s="539">
        <v>-99</v>
      </c>
      <c r="AL56" s="539">
        <v>-99</v>
      </c>
      <c r="AM56" s="540">
        <v>-99</v>
      </c>
      <c r="AN56" s="539">
        <v>-99</v>
      </c>
      <c r="AO56" s="540">
        <v>-99</v>
      </c>
      <c r="AP56" s="541">
        <v>-99</v>
      </c>
      <c r="AQ56" s="539">
        <v>-99</v>
      </c>
      <c r="AR56" s="540">
        <v>-99</v>
      </c>
      <c r="AS56" s="539">
        <v>-99</v>
      </c>
      <c r="AT56" s="540">
        <v>-99</v>
      </c>
      <c r="AU56" s="539">
        <v>-99</v>
      </c>
      <c r="AV56" s="540">
        <v>-99</v>
      </c>
      <c r="AW56" s="540">
        <v>-99</v>
      </c>
      <c r="AX56" s="540">
        <v>-99</v>
      </c>
      <c r="AY56" s="540">
        <v>-99</v>
      </c>
      <c r="AZ56" s="539">
        <v>-99</v>
      </c>
      <c r="BA56" s="539">
        <v>-99</v>
      </c>
      <c r="BB56" s="540">
        <v>-99</v>
      </c>
      <c r="BC56" s="539">
        <v>-99</v>
      </c>
      <c r="BD56" s="540">
        <v>-99</v>
      </c>
      <c r="BE56" s="541">
        <v>-99</v>
      </c>
      <c r="BF56" s="612"/>
      <c r="BG56" s="612"/>
      <c r="BH56" s="612">
        <v>-99</v>
      </c>
      <c r="BI56" s="576"/>
      <c r="BJ56" s="576"/>
      <c r="BK56" s="576"/>
      <c r="BL56" s="576"/>
      <c r="BM56" s="545">
        <v>-99</v>
      </c>
      <c r="BN56" s="545">
        <v>-99</v>
      </c>
      <c r="BO56" s="576"/>
      <c r="BP56" s="576"/>
      <c r="BQ56" s="576"/>
      <c r="BR56" s="570"/>
      <c r="BS56" s="547" t="s">
        <v>188</v>
      </c>
      <c r="BT56" s="549" t="s">
        <v>188</v>
      </c>
      <c r="BU56" s="549" t="s">
        <v>188</v>
      </c>
      <c r="BV56" s="549" t="s">
        <v>188</v>
      </c>
      <c r="BW56" s="549" t="s">
        <v>188</v>
      </c>
      <c r="BX56" s="549" t="s">
        <v>188</v>
      </c>
      <c r="BY56" s="549" t="s">
        <v>188</v>
      </c>
      <c r="BZ56" s="549" t="s">
        <v>188</v>
      </c>
      <c r="CA56" s="549" t="s">
        <v>188</v>
      </c>
      <c r="CB56" s="549" t="s">
        <v>188</v>
      </c>
      <c r="CC56" s="549" t="s">
        <v>188</v>
      </c>
      <c r="CD56" s="662"/>
      <c r="CE56" s="661" t="s">
        <v>188</v>
      </c>
      <c r="CF56" s="662" t="s">
        <v>188</v>
      </c>
      <c r="CG56" s="662" t="s">
        <v>188</v>
      </c>
      <c r="CH56" s="662" t="s">
        <v>188</v>
      </c>
      <c r="CI56" s="662" t="s">
        <v>188</v>
      </c>
      <c r="CJ56" s="662" t="s">
        <v>188</v>
      </c>
      <c r="CK56" s="662" t="s">
        <v>188</v>
      </c>
      <c r="CL56" s="662" t="s">
        <v>188</v>
      </c>
      <c r="CM56" s="662" t="s">
        <v>188</v>
      </c>
      <c r="CN56" s="662" t="s">
        <v>188</v>
      </c>
      <c r="CO56" s="640"/>
      <c r="CP56" s="640"/>
      <c r="CQ56" s="640"/>
      <c r="CR56" s="640"/>
      <c r="CS56" s="640"/>
      <c r="CT56" s="640"/>
      <c r="CU56" s="640"/>
      <c r="CV56" s="640"/>
      <c r="CW56" s="640"/>
      <c r="CX56" s="640"/>
      <c r="CY56" s="640"/>
      <c r="CZ56" s="640"/>
      <c r="DA56" s="640"/>
      <c r="DB56" s="640"/>
      <c r="DC56" s="640"/>
      <c r="DD56" s="640"/>
      <c r="DE56" s="640"/>
      <c r="DF56" s="640"/>
      <c r="DG56" s="640"/>
      <c r="DH56" s="640"/>
      <c r="DI56" s="576"/>
      <c r="DJ56" s="576"/>
      <c r="DK56" s="576"/>
      <c r="DL56" s="576"/>
      <c r="DM56" s="576"/>
      <c r="DN56" s="576"/>
      <c r="DO56" s="576"/>
      <c r="DP56" s="576"/>
      <c r="DQ56" s="576"/>
      <c r="DR56" s="576"/>
      <c r="DS56" s="576"/>
      <c r="DT56" s="576"/>
      <c r="DU56" s="576"/>
      <c r="DV56" s="576"/>
      <c r="DW56" s="576"/>
      <c r="DX56" s="577"/>
      <c r="DY56" s="577"/>
      <c r="DZ56" s="577"/>
      <c r="EA56" s="577"/>
      <c r="EB56" s="577"/>
      <c r="EC56" s="577"/>
      <c r="ED56" s="577"/>
      <c r="EE56" s="577"/>
      <c r="EF56" s="577"/>
      <c r="EG56" s="577"/>
      <c r="EH56" s="8">
        <v>81</v>
      </c>
    </row>
    <row r="57" spans="1:138" x14ac:dyDescent="0.25">
      <c r="A57" s="16">
        <v>53</v>
      </c>
      <c r="B57" s="19" t="s">
        <v>13</v>
      </c>
      <c r="C57" s="19"/>
      <c r="D57" s="19" t="s">
        <v>52</v>
      </c>
      <c r="E57" s="19" t="s">
        <v>74</v>
      </c>
      <c r="F57" s="19" t="s">
        <v>8</v>
      </c>
      <c r="G57" s="19" t="s">
        <v>837</v>
      </c>
      <c r="H57" s="539">
        <v>-99</v>
      </c>
      <c r="I57" s="539">
        <v>-99</v>
      </c>
      <c r="J57" s="539">
        <v>-99</v>
      </c>
      <c r="K57" s="539">
        <v>-99</v>
      </c>
      <c r="L57" s="539">
        <v>-98</v>
      </c>
      <c r="M57" s="539">
        <v>-99</v>
      </c>
      <c r="N57" s="539">
        <v>-99</v>
      </c>
      <c r="O57" s="539">
        <v>-99</v>
      </c>
      <c r="P57" s="539">
        <v>-99</v>
      </c>
      <c r="Q57" s="539">
        <v>-98</v>
      </c>
      <c r="R57" s="539">
        <v>-99</v>
      </c>
      <c r="S57" s="539">
        <v>-99</v>
      </c>
      <c r="T57" s="539">
        <v>-99</v>
      </c>
      <c r="U57" s="539">
        <v>-99</v>
      </c>
      <c r="V57" s="539">
        <v>-98</v>
      </c>
      <c r="W57" s="539">
        <v>-99</v>
      </c>
      <c r="X57" s="539">
        <v>-99</v>
      </c>
      <c r="Y57" s="539">
        <v>-99</v>
      </c>
      <c r="Z57" s="539">
        <v>-99</v>
      </c>
      <c r="AA57" s="539">
        <v>-99</v>
      </c>
      <c r="AB57" s="539">
        <v>-99</v>
      </c>
      <c r="AC57" s="539">
        <v>-99</v>
      </c>
      <c r="AD57" s="539">
        <v>-99</v>
      </c>
      <c r="AE57" s="539">
        <v>-99</v>
      </c>
      <c r="AF57" s="539">
        <v>-98</v>
      </c>
      <c r="AG57" s="539">
        <v>-99</v>
      </c>
      <c r="AH57" s="540">
        <v>-99</v>
      </c>
      <c r="AI57" s="539">
        <v>-99</v>
      </c>
      <c r="AJ57" s="540">
        <v>-99</v>
      </c>
      <c r="AK57" s="539">
        <v>-99</v>
      </c>
      <c r="AL57" s="539">
        <v>-99</v>
      </c>
      <c r="AM57" s="540">
        <v>-99</v>
      </c>
      <c r="AN57" s="539">
        <v>-99</v>
      </c>
      <c r="AO57" s="540">
        <v>-99</v>
      </c>
      <c r="AP57" s="541">
        <v>-99</v>
      </c>
      <c r="AQ57" s="539">
        <v>-99</v>
      </c>
      <c r="AR57" s="540">
        <v>-99</v>
      </c>
      <c r="AS57" s="539">
        <v>-99</v>
      </c>
      <c r="AT57" s="540">
        <v>-99</v>
      </c>
      <c r="AU57" s="539">
        <v>-99</v>
      </c>
      <c r="AV57" s="540">
        <v>-99</v>
      </c>
      <c r="AW57" s="540">
        <v>-99</v>
      </c>
      <c r="AX57" s="540">
        <v>-99</v>
      </c>
      <c r="AY57" s="540">
        <v>-99</v>
      </c>
      <c r="AZ57" s="539">
        <v>-99</v>
      </c>
      <c r="BA57" s="539">
        <v>-99</v>
      </c>
      <c r="BB57" s="540">
        <v>-99</v>
      </c>
      <c r="BC57" s="539">
        <v>-99</v>
      </c>
      <c r="BD57" s="540">
        <v>-99</v>
      </c>
      <c r="BE57" s="541">
        <v>-99</v>
      </c>
      <c r="BF57" s="542"/>
      <c r="BG57" s="612"/>
      <c r="BH57" s="542">
        <v>0.04</v>
      </c>
      <c r="BI57" s="641"/>
      <c r="BJ57" s="641"/>
      <c r="BK57" s="641"/>
      <c r="BL57" s="641"/>
      <c r="BM57" s="545">
        <v>-98</v>
      </c>
      <c r="BN57" s="545">
        <v>-98</v>
      </c>
      <c r="BO57" s="641"/>
      <c r="BP57" s="641"/>
      <c r="BQ57" s="641"/>
      <c r="BR57" s="640"/>
      <c r="BS57" s="547" t="s">
        <v>188</v>
      </c>
      <c r="BT57" s="549" t="s">
        <v>188</v>
      </c>
      <c r="BU57" s="549" t="s">
        <v>188</v>
      </c>
      <c r="BV57" s="549" t="s">
        <v>188</v>
      </c>
      <c r="BW57" s="549" t="s">
        <v>188</v>
      </c>
      <c r="BX57" s="549" t="s">
        <v>188</v>
      </c>
      <c r="BY57" s="549" t="s">
        <v>188</v>
      </c>
      <c r="BZ57" s="549" t="s">
        <v>188</v>
      </c>
      <c r="CA57" s="549" t="s">
        <v>188</v>
      </c>
      <c r="CB57" s="549" t="s">
        <v>188</v>
      </c>
      <c r="CC57" s="549" t="s">
        <v>188</v>
      </c>
      <c r="CD57" s="662"/>
      <c r="CE57" s="661" t="s">
        <v>188</v>
      </c>
      <c r="CF57" s="662" t="s">
        <v>188</v>
      </c>
      <c r="CG57" s="662" t="s">
        <v>188</v>
      </c>
      <c r="CH57" s="662" t="s">
        <v>188</v>
      </c>
      <c r="CI57" s="662" t="s">
        <v>188</v>
      </c>
      <c r="CJ57" s="662" t="s">
        <v>188</v>
      </c>
      <c r="CK57" s="662" t="s">
        <v>188</v>
      </c>
      <c r="CL57" s="662" t="s">
        <v>188</v>
      </c>
      <c r="CM57" s="662" t="s">
        <v>188</v>
      </c>
      <c r="CN57" s="662" t="s">
        <v>188</v>
      </c>
      <c r="CO57" s="640"/>
      <c r="CP57" s="640"/>
      <c r="CQ57" s="640"/>
      <c r="CR57" s="640"/>
      <c r="CS57" s="640"/>
      <c r="CT57" s="640"/>
      <c r="CU57" s="640"/>
      <c r="CV57" s="640"/>
      <c r="CW57" s="640"/>
      <c r="CX57" s="640"/>
      <c r="CY57" s="640"/>
      <c r="CZ57" s="640"/>
      <c r="DA57" s="640"/>
      <c r="DB57" s="640"/>
      <c r="DC57" s="640"/>
      <c r="DD57" s="640"/>
      <c r="DE57" s="640"/>
      <c r="DF57" s="640"/>
      <c r="DG57" s="640"/>
      <c r="DH57" s="640"/>
      <c r="DI57" s="641"/>
      <c r="DJ57" s="641"/>
      <c r="DK57" s="641"/>
      <c r="DL57" s="641"/>
      <c r="DM57" s="641"/>
      <c r="DN57" s="641"/>
      <c r="DO57" s="641"/>
      <c r="DP57" s="641"/>
      <c r="DQ57" s="641"/>
      <c r="DR57" s="641"/>
      <c r="DS57" s="641"/>
      <c r="DT57" s="641"/>
      <c r="DU57" s="641"/>
      <c r="DV57" s="641"/>
      <c r="DW57" s="641"/>
      <c r="DX57" s="607"/>
      <c r="DY57" s="607"/>
      <c r="DZ57" s="607"/>
      <c r="EA57" s="607"/>
      <c r="EB57" s="607"/>
      <c r="EC57" s="607"/>
      <c r="ED57" s="607"/>
      <c r="EE57" s="607"/>
      <c r="EF57" s="607"/>
      <c r="EG57" s="607"/>
      <c r="EH57" s="8">
        <v>79</v>
      </c>
    </row>
    <row r="58" spans="1:138" x14ac:dyDescent="0.25">
      <c r="A58" s="16">
        <v>54</v>
      </c>
      <c r="B58" s="19" t="s">
        <v>12</v>
      </c>
      <c r="C58" s="19" t="s">
        <v>121</v>
      </c>
      <c r="D58" s="19" t="s">
        <v>52</v>
      </c>
      <c r="E58" s="19" t="s">
        <v>74</v>
      </c>
      <c r="F58" s="19" t="s">
        <v>8</v>
      </c>
      <c r="G58" s="19" t="s">
        <v>837</v>
      </c>
      <c r="H58" s="539">
        <v>-99</v>
      </c>
      <c r="I58" s="539">
        <v>-98</v>
      </c>
      <c r="J58" s="539">
        <v>-99</v>
      </c>
      <c r="K58" s="539">
        <v>0.71909487210975553</v>
      </c>
      <c r="L58" s="539">
        <v>-98</v>
      </c>
      <c r="M58" s="539">
        <v>-99</v>
      </c>
      <c r="N58" s="539">
        <v>-98</v>
      </c>
      <c r="O58" s="539">
        <v>-99</v>
      </c>
      <c r="P58" s="539">
        <v>0.71609220553283259</v>
      </c>
      <c r="Q58" s="539">
        <v>-98</v>
      </c>
      <c r="R58" s="539">
        <v>-99</v>
      </c>
      <c r="S58" s="539">
        <v>-98</v>
      </c>
      <c r="T58" s="539">
        <v>-99</v>
      </c>
      <c r="U58" s="539">
        <v>0.72910932707721809</v>
      </c>
      <c r="V58" s="539">
        <v>-98</v>
      </c>
      <c r="W58" s="539">
        <v>-99</v>
      </c>
      <c r="X58" s="539">
        <v>-99</v>
      </c>
      <c r="Y58" s="539">
        <v>-99</v>
      </c>
      <c r="Z58" s="539">
        <v>-99</v>
      </c>
      <c r="AA58" s="539">
        <v>-99</v>
      </c>
      <c r="AB58" s="539">
        <v>-99</v>
      </c>
      <c r="AC58" s="539">
        <v>-98</v>
      </c>
      <c r="AD58" s="539">
        <v>-99</v>
      </c>
      <c r="AE58" s="539">
        <v>0.6948159902964951</v>
      </c>
      <c r="AF58" s="539">
        <v>-98</v>
      </c>
      <c r="AG58" s="539">
        <v>-99</v>
      </c>
      <c r="AH58" s="540">
        <v>1.8775888734689006</v>
      </c>
      <c r="AI58" s="539">
        <v>-99</v>
      </c>
      <c r="AJ58" s="540">
        <v>1.1251934270888684</v>
      </c>
      <c r="AK58" s="539">
        <v>1.9060000000000001</v>
      </c>
      <c r="AL58" s="539">
        <v>-99</v>
      </c>
      <c r="AM58" s="540">
        <v>1.7993126940825308</v>
      </c>
      <c r="AN58" s="539">
        <v>-99</v>
      </c>
      <c r="AO58" s="540">
        <v>1.0980970988428775</v>
      </c>
      <c r="AP58" s="541">
        <v>1.6539999999999999</v>
      </c>
      <c r="AQ58" s="539">
        <v>-99</v>
      </c>
      <c r="AR58" s="540">
        <v>1.9410738783405226</v>
      </c>
      <c r="AS58" s="539">
        <v>-99</v>
      </c>
      <c r="AT58" s="540">
        <v>1.1797847752410093</v>
      </c>
      <c r="AU58" s="539">
        <v>2.0839999999999996</v>
      </c>
      <c r="AV58" s="540">
        <v>-99</v>
      </c>
      <c r="AW58" s="540">
        <v>-99</v>
      </c>
      <c r="AX58" s="540">
        <v>-99</v>
      </c>
      <c r="AY58" s="540">
        <v>-99</v>
      </c>
      <c r="AZ58" s="539">
        <v>-99</v>
      </c>
      <c r="BA58" s="539">
        <v>-99</v>
      </c>
      <c r="BB58" s="540">
        <v>1.9432087480250397</v>
      </c>
      <c r="BC58" s="539">
        <v>-99</v>
      </c>
      <c r="BD58" s="540">
        <v>1.0332590557780812</v>
      </c>
      <c r="BE58" s="541">
        <v>2.2149999999999999</v>
      </c>
      <c r="BF58" s="542"/>
      <c r="BG58" s="612"/>
      <c r="BH58" s="542">
        <v>0.6</v>
      </c>
      <c r="BI58" s="576"/>
      <c r="BJ58" s="576"/>
      <c r="BK58" s="576"/>
      <c r="BL58" s="576"/>
      <c r="BM58" s="545">
        <v>7</v>
      </c>
      <c r="BN58" s="545">
        <v>0</v>
      </c>
      <c r="BO58" s="576"/>
      <c r="BP58" s="576"/>
      <c r="BQ58" s="576"/>
      <c r="BR58" s="640" t="s">
        <v>677</v>
      </c>
      <c r="BS58" s="547" t="s">
        <v>188</v>
      </c>
      <c r="BT58" s="549" t="s">
        <v>188</v>
      </c>
      <c r="BU58" s="549" t="s">
        <v>188</v>
      </c>
      <c r="BV58" s="549" t="s">
        <v>188</v>
      </c>
      <c r="BW58" s="549" t="s">
        <v>188</v>
      </c>
      <c r="BX58" s="549" t="s">
        <v>188</v>
      </c>
      <c r="BY58" s="549" t="s">
        <v>188</v>
      </c>
      <c r="BZ58" s="549" t="s">
        <v>188</v>
      </c>
      <c r="CA58" s="549" t="s">
        <v>188</v>
      </c>
      <c r="CB58" s="549" t="s">
        <v>188</v>
      </c>
      <c r="CC58" s="549" t="s">
        <v>188</v>
      </c>
      <c r="CD58" s="662"/>
      <c r="CE58" s="661" t="s">
        <v>188</v>
      </c>
      <c r="CF58" s="662" t="s">
        <v>188</v>
      </c>
      <c r="CG58" s="662" t="s">
        <v>188</v>
      </c>
      <c r="CH58" s="662" t="s">
        <v>188</v>
      </c>
      <c r="CI58" s="662" t="s">
        <v>188</v>
      </c>
      <c r="CJ58" s="662" t="s">
        <v>188</v>
      </c>
      <c r="CK58" s="662" t="s">
        <v>188</v>
      </c>
      <c r="CL58" s="662" t="s">
        <v>188</v>
      </c>
      <c r="CM58" s="662" t="s">
        <v>188</v>
      </c>
      <c r="CN58" s="662" t="s">
        <v>188</v>
      </c>
      <c r="CO58" s="640"/>
      <c r="CP58" s="640"/>
      <c r="CQ58" s="640"/>
      <c r="CR58" s="640"/>
      <c r="CS58" s="640"/>
      <c r="CT58" s="640"/>
      <c r="CU58" s="640"/>
      <c r="CV58" s="640"/>
      <c r="CW58" s="640"/>
      <c r="CX58" s="640"/>
      <c r="CY58" s="640"/>
      <c r="CZ58" s="640"/>
      <c r="DA58" s="640"/>
      <c r="DB58" s="640"/>
      <c r="DC58" s="645">
        <v>7.5789999999999997</v>
      </c>
      <c r="DD58" s="645">
        <v>0</v>
      </c>
      <c r="DE58" s="645" t="s">
        <v>188</v>
      </c>
      <c r="DF58" s="645" t="s">
        <v>188</v>
      </c>
      <c r="DG58" s="665">
        <v>0.69</v>
      </c>
      <c r="DH58" s="645" t="s">
        <v>188</v>
      </c>
      <c r="DI58" s="576"/>
      <c r="DJ58" s="576"/>
      <c r="DK58" s="576"/>
      <c r="DL58" s="576"/>
      <c r="DM58" s="576"/>
      <c r="DN58" s="576"/>
      <c r="DO58" s="576"/>
      <c r="DP58" s="576"/>
      <c r="DQ58" s="576"/>
      <c r="DR58" s="576"/>
      <c r="DS58" s="576"/>
      <c r="DT58" s="576"/>
      <c r="DU58" s="576"/>
      <c r="DV58" s="576"/>
      <c r="DW58" s="576"/>
      <c r="DX58" s="577"/>
      <c r="DY58" s="577"/>
      <c r="DZ58" s="577"/>
      <c r="EA58" s="577"/>
      <c r="EB58" s="577"/>
      <c r="EC58" s="577"/>
      <c r="ED58" s="577"/>
      <c r="EE58" s="577"/>
      <c r="EF58" s="577"/>
      <c r="EG58" s="577"/>
      <c r="EH58" s="8">
        <v>67</v>
      </c>
    </row>
    <row r="59" spans="1:138" x14ac:dyDescent="0.25">
      <c r="A59" s="16">
        <v>55</v>
      </c>
      <c r="B59" s="19" t="s">
        <v>26</v>
      </c>
      <c r="C59" s="19"/>
      <c r="D59" s="19" t="s">
        <v>52</v>
      </c>
      <c r="E59" s="19" t="s">
        <v>75</v>
      </c>
      <c r="F59" s="19" t="s">
        <v>8</v>
      </c>
      <c r="G59" s="19" t="s">
        <v>837</v>
      </c>
      <c r="H59" s="539">
        <v>-99</v>
      </c>
      <c r="I59" s="539">
        <v>-99</v>
      </c>
      <c r="J59" s="539">
        <v>-99</v>
      </c>
      <c r="K59" s="539">
        <v>-99</v>
      </c>
      <c r="L59" s="539">
        <v>-99</v>
      </c>
      <c r="M59" s="539">
        <v>-99</v>
      </c>
      <c r="N59" s="539">
        <v>-99</v>
      </c>
      <c r="O59" s="539">
        <v>-99</v>
      </c>
      <c r="P59" s="539">
        <v>-99</v>
      </c>
      <c r="Q59" s="539">
        <v>-99</v>
      </c>
      <c r="R59" s="539">
        <v>-99</v>
      </c>
      <c r="S59" s="539">
        <v>-99</v>
      </c>
      <c r="T59" s="539">
        <v>-99</v>
      </c>
      <c r="U59" s="539">
        <v>-99</v>
      </c>
      <c r="V59" s="539">
        <v>-99</v>
      </c>
      <c r="W59" s="539">
        <v>-99</v>
      </c>
      <c r="X59" s="539">
        <v>-99</v>
      </c>
      <c r="Y59" s="539">
        <v>-99</v>
      </c>
      <c r="Z59" s="539">
        <v>-99</v>
      </c>
      <c r="AA59" s="539">
        <v>-99</v>
      </c>
      <c r="AB59" s="539">
        <v>-99</v>
      </c>
      <c r="AC59" s="539">
        <v>-99</v>
      </c>
      <c r="AD59" s="539">
        <v>-99</v>
      </c>
      <c r="AE59" s="539">
        <v>-99</v>
      </c>
      <c r="AF59" s="539">
        <v>-99</v>
      </c>
      <c r="AG59" s="539">
        <v>-99</v>
      </c>
      <c r="AH59" s="540">
        <v>-99</v>
      </c>
      <c r="AI59" s="539">
        <v>-99</v>
      </c>
      <c r="AJ59" s="540">
        <v>-99</v>
      </c>
      <c r="AK59" s="539">
        <v>-99</v>
      </c>
      <c r="AL59" s="539">
        <v>-99</v>
      </c>
      <c r="AM59" s="540">
        <v>-99</v>
      </c>
      <c r="AN59" s="539">
        <v>-99</v>
      </c>
      <c r="AO59" s="540">
        <v>-99</v>
      </c>
      <c r="AP59" s="541">
        <v>-99</v>
      </c>
      <c r="AQ59" s="539">
        <v>-99</v>
      </c>
      <c r="AR59" s="540">
        <v>-99</v>
      </c>
      <c r="AS59" s="539">
        <v>-99</v>
      </c>
      <c r="AT59" s="540">
        <v>-99</v>
      </c>
      <c r="AU59" s="539">
        <v>-99</v>
      </c>
      <c r="AV59" s="540">
        <v>-99</v>
      </c>
      <c r="AW59" s="540">
        <v>-99</v>
      </c>
      <c r="AX59" s="540">
        <v>-99</v>
      </c>
      <c r="AY59" s="540">
        <v>-99</v>
      </c>
      <c r="AZ59" s="539">
        <v>-99</v>
      </c>
      <c r="BA59" s="539">
        <v>-99</v>
      </c>
      <c r="BB59" s="540">
        <v>-99</v>
      </c>
      <c r="BC59" s="539">
        <v>-99</v>
      </c>
      <c r="BD59" s="540">
        <v>-99</v>
      </c>
      <c r="BE59" s="541">
        <v>-99</v>
      </c>
      <c r="BF59" s="612"/>
      <c r="BG59" s="612"/>
      <c r="BH59" s="612">
        <v>-99</v>
      </c>
      <c r="BI59" s="576"/>
      <c r="BJ59" s="576"/>
      <c r="BK59" s="576"/>
      <c r="BL59" s="576"/>
      <c r="BM59" s="545">
        <v>-99</v>
      </c>
      <c r="BN59" s="545">
        <v>-99</v>
      </c>
      <c r="BO59" s="576"/>
      <c r="BP59" s="576"/>
      <c r="BQ59" s="576"/>
      <c r="BR59" s="570"/>
      <c r="BS59" s="547" t="s">
        <v>188</v>
      </c>
      <c r="BT59" s="549" t="s">
        <v>188</v>
      </c>
      <c r="BU59" s="549" t="s">
        <v>188</v>
      </c>
      <c r="BV59" s="549" t="s">
        <v>188</v>
      </c>
      <c r="BW59" s="549" t="s">
        <v>188</v>
      </c>
      <c r="BX59" s="549" t="s">
        <v>188</v>
      </c>
      <c r="BY59" s="549" t="s">
        <v>188</v>
      </c>
      <c r="BZ59" s="549" t="s">
        <v>188</v>
      </c>
      <c r="CA59" s="549" t="s">
        <v>188</v>
      </c>
      <c r="CB59" s="549" t="s">
        <v>188</v>
      </c>
      <c r="CC59" s="549" t="s">
        <v>188</v>
      </c>
      <c r="CD59" s="662"/>
      <c r="CE59" s="661" t="s">
        <v>188</v>
      </c>
      <c r="CF59" s="662" t="s">
        <v>188</v>
      </c>
      <c r="CG59" s="662" t="s">
        <v>188</v>
      </c>
      <c r="CH59" s="662" t="s">
        <v>188</v>
      </c>
      <c r="CI59" s="662" t="s">
        <v>188</v>
      </c>
      <c r="CJ59" s="662" t="s">
        <v>188</v>
      </c>
      <c r="CK59" s="662" t="s">
        <v>188</v>
      </c>
      <c r="CL59" s="662" t="s">
        <v>188</v>
      </c>
      <c r="CM59" s="662" t="s">
        <v>188</v>
      </c>
      <c r="CN59" s="662" t="s">
        <v>188</v>
      </c>
      <c r="CO59" s="616"/>
      <c r="CP59" s="616"/>
      <c r="CQ59" s="616"/>
      <c r="CR59" s="616"/>
      <c r="CS59" s="616"/>
      <c r="CT59" s="616"/>
      <c r="CU59" s="616"/>
      <c r="CV59" s="616"/>
      <c r="CW59" s="616"/>
      <c r="CX59" s="616"/>
      <c r="CY59" s="616"/>
      <c r="CZ59" s="616"/>
      <c r="DA59" s="616"/>
      <c r="DB59" s="616"/>
      <c r="DC59" s="640"/>
      <c r="DD59" s="640"/>
      <c r="DE59" s="640"/>
      <c r="DF59" s="640"/>
      <c r="DG59" s="640"/>
      <c r="DH59" s="640"/>
      <c r="DI59" s="576"/>
      <c r="DJ59" s="576"/>
      <c r="DK59" s="576"/>
      <c r="DL59" s="576"/>
      <c r="DM59" s="576"/>
      <c r="DN59" s="576"/>
      <c r="DO59" s="576"/>
      <c r="DP59" s="576"/>
      <c r="DQ59" s="576"/>
      <c r="DR59" s="576"/>
      <c r="DS59" s="576"/>
      <c r="DT59" s="576"/>
      <c r="DU59" s="576"/>
      <c r="DV59" s="576"/>
      <c r="DW59" s="576"/>
      <c r="DX59" s="577"/>
      <c r="DY59" s="577"/>
      <c r="DZ59" s="577"/>
      <c r="EA59" s="577"/>
      <c r="EB59" s="577"/>
      <c r="EC59" s="577"/>
      <c r="ED59" s="577"/>
      <c r="EE59" s="577"/>
      <c r="EF59" s="577"/>
      <c r="EG59" s="577"/>
      <c r="EH59" s="8">
        <v>45</v>
      </c>
    </row>
    <row r="60" spans="1:138" x14ac:dyDescent="0.25">
      <c r="A60" s="16">
        <v>56</v>
      </c>
      <c r="B60" s="19" t="s">
        <v>27</v>
      </c>
      <c r="C60" s="19"/>
      <c r="D60" s="19" t="s">
        <v>52</v>
      </c>
      <c r="E60" s="19" t="s">
        <v>75</v>
      </c>
      <c r="F60" s="19" t="s">
        <v>8</v>
      </c>
      <c r="G60" s="19" t="s">
        <v>837</v>
      </c>
      <c r="H60" s="539">
        <v>-99</v>
      </c>
      <c r="I60" s="539">
        <v>-99</v>
      </c>
      <c r="J60" s="539">
        <v>-99</v>
      </c>
      <c r="K60" s="539">
        <v>-99</v>
      </c>
      <c r="L60" s="539">
        <v>-99</v>
      </c>
      <c r="M60" s="539">
        <v>-99</v>
      </c>
      <c r="N60" s="539">
        <v>-99</v>
      </c>
      <c r="O60" s="539">
        <v>-99</v>
      </c>
      <c r="P60" s="539">
        <v>-99</v>
      </c>
      <c r="Q60" s="539">
        <v>-99</v>
      </c>
      <c r="R60" s="539">
        <v>-99</v>
      </c>
      <c r="S60" s="539">
        <v>-99</v>
      </c>
      <c r="T60" s="539">
        <v>-99</v>
      </c>
      <c r="U60" s="539">
        <v>-99</v>
      </c>
      <c r="V60" s="539">
        <v>-99</v>
      </c>
      <c r="W60" s="539">
        <v>-99</v>
      </c>
      <c r="X60" s="539">
        <v>-99</v>
      </c>
      <c r="Y60" s="539">
        <v>-99</v>
      </c>
      <c r="Z60" s="539">
        <v>-99</v>
      </c>
      <c r="AA60" s="539">
        <v>-99</v>
      </c>
      <c r="AB60" s="539">
        <v>-99</v>
      </c>
      <c r="AC60" s="539">
        <v>-99</v>
      </c>
      <c r="AD60" s="539">
        <v>-99</v>
      </c>
      <c r="AE60" s="539">
        <v>-99</v>
      </c>
      <c r="AF60" s="539">
        <v>-99</v>
      </c>
      <c r="AG60" s="539">
        <v>-99</v>
      </c>
      <c r="AH60" s="540">
        <v>-99</v>
      </c>
      <c r="AI60" s="539">
        <v>-99</v>
      </c>
      <c r="AJ60" s="540">
        <v>-99</v>
      </c>
      <c r="AK60" s="539">
        <v>-99</v>
      </c>
      <c r="AL60" s="539">
        <v>-99</v>
      </c>
      <c r="AM60" s="540">
        <v>-99</v>
      </c>
      <c r="AN60" s="539">
        <v>-99</v>
      </c>
      <c r="AO60" s="540">
        <v>-99</v>
      </c>
      <c r="AP60" s="541">
        <v>-99</v>
      </c>
      <c r="AQ60" s="539">
        <v>-99</v>
      </c>
      <c r="AR60" s="540">
        <v>-99</v>
      </c>
      <c r="AS60" s="539">
        <v>-99</v>
      </c>
      <c r="AT60" s="540">
        <v>-99</v>
      </c>
      <c r="AU60" s="539">
        <v>-99</v>
      </c>
      <c r="AV60" s="540">
        <v>-99</v>
      </c>
      <c r="AW60" s="540">
        <v>-99</v>
      </c>
      <c r="AX60" s="540">
        <v>-99</v>
      </c>
      <c r="AY60" s="540">
        <v>-99</v>
      </c>
      <c r="AZ60" s="539">
        <v>-99</v>
      </c>
      <c r="BA60" s="539">
        <v>-99</v>
      </c>
      <c r="BB60" s="540">
        <v>-99</v>
      </c>
      <c r="BC60" s="539">
        <v>-99</v>
      </c>
      <c r="BD60" s="540">
        <v>-99</v>
      </c>
      <c r="BE60" s="541">
        <v>-99</v>
      </c>
      <c r="BF60" s="612"/>
      <c r="BG60" s="612"/>
      <c r="BH60" s="612">
        <v>-99</v>
      </c>
      <c r="BI60" s="576"/>
      <c r="BJ60" s="576"/>
      <c r="BK60" s="576"/>
      <c r="BL60" s="576"/>
      <c r="BM60" s="545">
        <v>-99</v>
      </c>
      <c r="BN60" s="545">
        <v>-99</v>
      </c>
      <c r="BO60" s="576"/>
      <c r="BP60" s="576"/>
      <c r="BQ60" s="576"/>
      <c r="BR60" s="570"/>
      <c r="BS60" s="547" t="s">
        <v>188</v>
      </c>
      <c r="BT60" s="549" t="s">
        <v>188</v>
      </c>
      <c r="BU60" s="549" t="s">
        <v>188</v>
      </c>
      <c r="BV60" s="549" t="s">
        <v>188</v>
      </c>
      <c r="BW60" s="549" t="s">
        <v>188</v>
      </c>
      <c r="BX60" s="549" t="s">
        <v>188</v>
      </c>
      <c r="BY60" s="549" t="s">
        <v>188</v>
      </c>
      <c r="BZ60" s="549" t="s">
        <v>188</v>
      </c>
      <c r="CA60" s="549" t="s">
        <v>188</v>
      </c>
      <c r="CB60" s="549" t="s">
        <v>188</v>
      </c>
      <c r="CC60" s="549" t="s">
        <v>188</v>
      </c>
      <c r="CD60" s="662"/>
      <c r="CE60" s="661" t="s">
        <v>188</v>
      </c>
      <c r="CF60" s="662" t="s">
        <v>188</v>
      </c>
      <c r="CG60" s="662" t="s">
        <v>188</v>
      </c>
      <c r="CH60" s="662" t="s">
        <v>188</v>
      </c>
      <c r="CI60" s="662" t="s">
        <v>188</v>
      </c>
      <c r="CJ60" s="662" t="s">
        <v>188</v>
      </c>
      <c r="CK60" s="662" t="s">
        <v>188</v>
      </c>
      <c r="CL60" s="662" t="s">
        <v>188</v>
      </c>
      <c r="CM60" s="662" t="s">
        <v>188</v>
      </c>
      <c r="CN60" s="662" t="s">
        <v>188</v>
      </c>
      <c r="CO60" s="616"/>
      <c r="CP60" s="616"/>
      <c r="CQ60" s="616"/>
      <c r="CR60" s="616"/>
      <c r="CS60" s="616"/>
      <c r="CT60" s="616"/>
      <c r="CU60" s="616"/>
      <c r="CV60" s="616"/>
      <c r="CW60" s="616"/>
      <c r="CX60" s="616"/>
      <c r="CY60" s="616"/>
      <c r="CZ60" s="616"/>
      <c r="DA60" s="616"/>
      <c r="DB60" s="616"/>
      <c r="DC60" s="640"/>
      <c r="DD60" s="640"/>
      <c r="DE60" s="640"/>
      <c r="DF60" s="640"/>
      <c r="DG60" s="640"/>
      <c r="DH60" s="640"/>
      <c r="DI60" s="576"/>
      <c r="DJ60" s="576"/>
      <c r="DK60" s="576"/>
      <c r="DL60" s="576"/>
      <c r="DM60" s="576"/>
      <c r="DN60" s="576"/>
      <c r="DO60" s="576"/>
      <c r="DP60" s="576"/>
      <c r="DQ60" s="576"/>
      <c r="DR60" s="576"/>
      <c r="DS60" s="576"/>
      <c r="DT60" s="576"/>
      <c r="DU60" s="576"/>
      <c r="DV60" s="576"/>
      <c r="DW60" s="576"/>
      <c r="DX60" s="577"/>
      <c r="DY60" s="577"/>
      <c r="DZ60" s="577"/>
      <c r="EA60" s="577"/>
      <c r="EB60" s="577"/>
      <c r="EC60" s="577"/>
      <c r="ED60" s="577"/>
      <c r="EE60" s="577"/>
      <c r="EF60" s="577"/>
      <c r="EG60" s="577"/>
      <c r="EH60" s="8">
        <v>44</v>
      </c>
    </row>
    <row r="61" spans="1:138" x14ac:dyDescent="0.25">
      <c r="A61" s="16">
        <v>57</v>
      </c>
      <c r="B61" s="19" t="s">
        <v>105</v>
      </c>
      <c r="C61" s="19" t="s">
        <v>106</v>
      </c>
      <c r="D61" s="19" t="s">
        <v>52</v>
      </c>
      <c r="E61" s="19" t="s">
        <v>74</v>
      </c>
      <c r="F61" s="19" t="s">
        <v>8</v>
      </c>
      <c r="G61" s="19" t="s">
        <v>837</v>
      </c>
      <c r="H61" s="539">
        <v>-99</v>
      </c>
      <c r="I61" s="539">
        <v>-99</v>
      </c>
      <c r="J61" s="539">
        <v>-99</v>
      </c>
      <c r="K61" s="539">
        <v>-99</v>
      </c>
      <c r="L61" s="539">
        <v>-99</v>
      </c>
      <c r="M61" s="539">
        <v>-99</v>
      </c>
      <c r="N61" s="539">
        <v>-99</v>
      </c>
      <c r="O61" s="539">
        <v>-99</v>
      </c>
      <c r="P61" s="539">
        <v>-99</v>
      </c>
      <c r="Q61" s="539">
        <v>-99</v>
      </c>
      <c r="R61" s="539">
        <v>-99</v>
      </c>
      <c r="S61" s="539">
        <v>-99</v>
      </c>
      <c r="T61" s="539">
        <v>-99</v>
      </c>
      <c r="U61" s="539">
        <v>-99</v>
      </c>
      <c r="V61" s="539">
        <v>-99</v>
      </c>
      <c r="W61" s="539">
        <v>-99</v>
      </c>
      <c r="X61" s="539">
        <v>-99</v>
      </c>
      <c r="Y61" s="539">
        <v>-99</v>
      </c>
      <c r="Z61" s="539">
        <v>-99</v>
      </c>
      <c r="AA61" s="539">
        <v>-99</v>
      </c>
      <c r="AB61" s="539">
        <v>-99</v>
      </c>
      <c r="AC61" s="539">
        <v>-99</v>
      </c>
      <c r="AD61" s="539">
        <v>-99</v>
      </c>
      <c r="AE61" s="539">
        <v>-99</v>
      </c>
      <c r="AF61" s="539">
        <v>-99</v>
      </c>
      <c r="AG61" s="539">
        <v>-99</v>
      </c>
      <c r="AH61" s="540">
        <v>-99</v>
      </c>
      <c r="AI61" s="539">
        <v>-99</v>
      </c>
      <c r="AJ61" s="540">
        <v>-99</v>
      </c>
      <c r="AK61" s="539">
        <v>-99</v>
      </c>
      <c r="AL61" s="539">
        <v>-99</v>
      </c>
      <c r="AM61" s="540">
        <v>-99</v>
      </c>
      <c r="AN61" s="539">
        <v>-99</v>
      </c>
      <c r="AO61" s="540">
        <v>-99</v>
      </c>
      <c r="AP61" s="541">
        <v>-99</v>
      </c>
      <c r="AQ61" s="539">
        <v>-99</v>
      </c>
      <c r="AR61" s="540">
        <v>-99</v>
      </c>
      <c r="AS61" s="539">
        <v>-99</v>
      </c>
      <c r="AT61" s="540">
        <v>-99</v>
      </c>
      <c r="AU61" s="539">
        <v>-99</v>
      </c>
      <c r="AV61" s="540">
        <v>-99</v>
      </c>
      <c r="AW61" s="540">
        <v>-99</v>
      </c>
      <c r="AX61" s="540">
        <v>-99</v>
      </c>
      <c r="AY61" s="540">
        <v>-99</v>
      </c>
      <c r="AZ61" s="539">
        <v>-99</v>
      </c>
      <c r="BA61" s="539">
        <v>-99</v>
      </c>
      <c r="BB61" s="540">
        <v>-99</v>
      </c>
      <c r="BC61" s="539">
        <v>-99</v>
      </c>
      <c r="BD61" s="540">
        <v>-99</v>
      </c>
      <c r="BE61" s="541">
        <v>-99</v>
      </c>
      <c r="BF61" s="542"/>
      <c r="BG61" s="612"/>
      <c r="BH61" s="542">
        <v>0.62</v>
      </c>
      <c r="BI61" s="576"/>
      <c r="BJ61" s="576"/>
      <c r="BK61" s="576"/>
      <c r="BL61" s="576"/>
      <c r="BM61" s="545">
        <v>70</v>
      </c>
      <c r="BN61" s="545">
        <v>0</v>
      </c>
      <c r="BO61" s="576"/>
      <c r="BP61" s="576"/>
      <c r="BQ61" s="576"/>
      <c r="BR61" s="570"/>
      <c r="BS61" s="547" t="s">
        <v>188</v>
      </c>
      <c r="BT61" s="549" t="s">
        <v>188</v>
      </c>
      <c r="BU61" s="549" t="s">
        <v>188</v>
      </c>
      <c r="BV61" s="549" t="s">
        <v>188</v>
      </c>
      <c r="BW61" s="549" t="s">
        <v>188</v>
      </c>
      <c r="BX61" s="549" t="s">
        <v>188</v>
      </c>
      <c r="BY61" s="549" t="s">
        <v>188</v>
      </c>
      <c r="BZ61" s="549" t="s">
        <v>188</v>
      </c>
      <c r="CA61" s="549" t="s">
        <v>188</v>
      </c>
      <c r="CB61" s="549" t="s">
        <v>188</v>
      </c>
      <c r="CC61" s="549" t="s">
        <v>188</v>
      </c>
      <c r="CD61" s="662"/>
      <c r="CE61" s="661" t="s">
        <v>188</v>
      </c>
      <c r="CF61" s="662" t="s">
        <v>188</v>
      </c>
      <c r="CG61" s="662" t="s">
        <v>188</v>
      </c>
      <c r="CH61" s="662" t="s">
        <v>188</v>
      </c>
      <c r="CI61" s="662" t="s">
        <v>188</v>
      </c>
      <c r="CJ61" s="662" t="s">
        <v>188</v>
      </c>
      <c r="CK61" s="662" t="s">
        <v>188</v>
      </c>
      <c r="CL61" s="662" t="s">
        <v>188</v>
      </c>
      <c r="CM61" s="662" t="s">
        <v>188</v>
      </c>
      <c r="CN61" s="662" t="s">
        <v>188</v>
      </c>
      <c r="CO61" s="616"/>
      <c r="CP61" s="616"/>
      <c r="CQ61" s="616"/>
      <c r="CR61" s="616"/>
      <c r="CS61" s="616"/>
      <c r="CT61" s="616"/>
      <c r="CU61" s="616"/>
      <c r="CV61" s="616"/>
      <c r="CW61" s="616"/>
      <c r="CX61" s="616"/>
      <c r="CY61" s="616"/>
      <c r="CZ61" s="616"/>
      <c r="DA61" s="616"/>
      <c r="DB61" s="616"/>
      <c r="DC61" s="640"/>
      <c r="DD61" s="640"/>
      <c r="DE61" s="640"/>
      <c r="DF61" s="640"/>
      <c r="DG61" s="640"/>
      <c r="DH61" s="640"/>
      <c r="DI61" s="576"/>
      <c r="DJ61" s="576"/>
      <c r="DK61" s="576"/>
      <c r="DL61" s="576"/>
      <c r="DM61" s="576"/>
      <c r="DN61" s="576"/>
      <c r="DO61" s="576"/>
      <c r="DP61" s="576"/>
      <c r="DQ61" s="576"/>
      <c r="DR61" s="576"/>
      <c r="DS61" s="576"/>
      <c r="DT61" s="576"/>
      <c r="DU61" s="576"/>
      <c r="DV61" s="576"/>
      <c r="DW61" s="576"/>
      <c r="DX61" s="577"/>
      <c r="DY61" s="577"/>
      <c r="DZ61" s="577"/>
      <c r="EA61" s="577"/>
      <c r="EB61" s="577"/>
      <c r="EC61" s="577"/>
      <c r="ED61" s="577"/>
      <c r="EE61" s="577"/>
      <c r="EF61" s="577"/>
      <c r="EG61" s="577"/>
      <c r="EH61" s="8">
        <v>29</v>
      </c>
    </row>
    <row r="62" spans="1:138" x14ac:dyDescent="0.25">
      <c r="A62" s="16">
        <v>58</v>
      </c>
      <c r="B62" s="19" t="s">
        <v>717</v>
      </c>
      <c r="C62" s="19"/>
      <c r="D62" s="19" t="s">
        <v>52</v>
      </c>
      <c r="E62" s="19" t="s">
        <v>75</v>
      </c>
      <c r="F62" s="19" t="s">
        <v>8</v>
      </c>
      <c r="G62" s="19" t="s">
        <v>837</v>
      </c>
      <c r="H62" s="539">
        <v>-99</v>
      </c>
      <c r="I62" s="539">
        <v>-99</v>
      </c>
      <c r="J62" s="539">
        <v>-99</v>
      </c>
      <c r="K62" s="539">
        <v>-99</v>
      </c>
      <c r="L62" s="539">
        <v>6.7116000000000009E-2</v>
      </c>
      <c r="M62" s="539">
        <v>-99</v>
      </c>
      <c r="N62" s="539">
        <v>-99</v>
      </c>
      <c r="O62" s="539">
        <v>-99</v>
      </c>
      <c r="P62" s="539">
        <v>-99</v>
      </c>
      <c r="Q62" s="539">
        <v>6.2659999999999993E-2</v>
      </c>
      <c r="R62" s="539">
        <v>-99</v>
      </c>
      <c r="S62" s="539">
        <v>-99</v>
      </c>
      <c r="T62" s="539">
        <v>-99</v>
      </c>
      <c r="U62" s="539">
        <v>-99</v>
      </c>
      <c r="V62" s="539">
        <v>7.6615000000000003E-2</v>
      </c>
      <c r="W62" s="539">
        <v>-99</v>
      </c>
      <c r="X62" s="539">
        <v>-99</v>
      </c>
      <c r="Y62" s="539">
        <v>-99</v>
      </c>
      <c r="Z62" s="539">
        <v>-99</v>
      </c>
      <c r="AA62" s="539">
        <v>-99</v>
      </c>
      <c r="AB62" s="539">
        <v>-99</v>
      </c>
      <c r="AC62" s="539">
        <v>-99</v>
      </c>
      <c r="AD62" s="539">
        <v>-99</v>
      </c>
      <c r="AE62" s="539">
        <v>-99</v>
      </c>
      <c r="AF62" s="539">
        <v>5.0642999999999994E-2</v>
      </c>
      <c r="AG62" s="539">
        <v>-99</v>
      </c>
      <c r="AH62" s="540">
        <v>-99</v>
      </c>
      <c r="AI62" s="539">
        <v>-99</v>
      </c>
      <c r="AJ62" s="540">
        <v>-99</v>
      </c>
      <c r="AK62" s="539">
        <v>8.3000000000000004E-2</v>
      </c>
      <c r="AL62" s="539">
        <v>-99</v>
      </c>
      <c r="AM62" s="540">
        <v>-99</v>
      </c>
      <c r="AN62" s="539">
        <v>-99</v>
      </c>
      <c r="AO62" s="540">
        <v>-99</v>
      </c>
      <c r="AP62" s="541">
        <v>8.3000000000000004E-2</v>
      </c>
      <c r="AQ62" s="539">
        <v>-99</v>
      </c>
      <c r="AR62" s="540">
        <v>-99</v>
      </c>
      <c r="AS62" s="539">
        <v>-99</v>
      </c>
      <c r="AT62" s="540">
        <v>-99</v>
      </c>
      <c r="AU62" s="539">
        <v>8.8999999999999996E-2</v>
      </c>
      <c r="AV62" s="540">
        <v>-99</v>
      </c>
      <c r="AW62" s="540">
        <v>-99</v>
      </c>
      <c r="AX62" s="540">
        <v>-99</v>
      </c>
      <c r="AY62" s="540">
        <v>-99</v>
      </c>
      <c r="AZ62" s="539">
        <v>-99</v>
      </c>
      <c r="BA62" s="539">
        <v>-99</v>
      </c>
      <c r="BB62" s="540">
        <v>-99</v>
      </c>
      <c r="BC62" s="539">
        <v>-99</v>
      </c>
      <c r="BD62" s="540">
        <v>-99</v>
      </c>
      <c r="BE62" s="541">
        <v>6.0999999999999999E-2</v>
      </c>
      <c r="BF62" s="612"/>
      <c r="BG62" s="612"/>
      <c r="BH62" s="612">
        <v>-99</v>
      </c>
      <c r="BI62" s="576"/>
      <c r="BJ62" s="576"/>
      <c r="BK62" s="576"/>
      <c r="BL62" s="576"/>
      <c r="BM62" s="545">
        <v>-99</v>
      </c>
      <c r="BN62" s="545">
        <v>-99</v>
      </c>
      <c r="BO62" s="576"/>
      <c r="BP62" s="576"/>
      <c r="BQ62" s="576"/>
      <c r="BR62" s="570"/>
      <c r="BS62" s="547" t="s">
        <v>188</v>
      </c>
      <c r="BT62" s="549" t="s">
        <v>188</v>
      </c>
      <c r="BU62" s="549" t="s">
        <v>188</v>
      </c>
      <c r="BV62" s="549" t="s">
        <v>188</v>
      </c>
      <c r="BW62" s="549" t="s">
        <v>188</v>
      </c>
      <c r="BX62" s="549" t="s">
        <v>188</v>
      </c>
      <c r="BY62" s="549" t="s">
        <v>188</v>
      </c>
      <c r="BZ62" s="549" t="s">
        <v>188</v>
      </c>
      <c r="CA62" s="549" t="s">
        <v>188</v>
      </c>
      <c r="CB62" s="549" t="s">
        <v>188</v>
      </c>
      <c r="CC62" s="549" t="s">
        <v>188</v>
      </c>
      <c r="CD62" s="662"/>
      <c r="CE62" s="661" t="s">
        <v>188</v>
      </c>
      <c r="CF62" s="662" t="s">
        <v>188</v>
      </c>
      <c r="CG62" s="662" t="s">
        <v>188</v>
      </c>
      <c r="CH62" s="662" t="s">
        <v>188</v>
      </c>
      <c r="CI62" s="662" t="s">
        <v>188</v>
      </c>
      <c r="CJ62" s="662" t="s">
        <v>188</v>
      </c>
      <c r="CK62" s="662" t="s">
        <v>188</v>
      </c>
      <c r="CL62" s="662" t="s">
        <v>188</v>
      </c>
      <c r="CM62" s="662" t="s">
        <v>188</v>
      </c>
      <c r="CN62" s="662" t="s">
        <v>188</v>
      </c>
      <c r="CO62" s="616"/>
      <c r="CP62" s="616"/>
      <c r="CQ62" s="616"/>
      <c r="CR62" s="616"/>
      <c r="CS62" s="616"/>
      <c r="CT62" s="616"/>
      <c r="CU62" s="616"/>
      <c r="CV62" s="616"/>
      <c r="CW62" s="616"/>
      <c r="CX62" s="616"/>
      <c r="CY62" s="616"/>
      <c r="CZ62" s="616"/>
      <c r="DA62" s="616"/>
      <c r="DB62" s="616"/>
      <c r="DC62" s="640"/>
      <c r="DD62" s="640"/>
      <c r="DE62" s="640"/>
      <c r="DF62" s="640"/>
      <c r="DG62" s="640"/>
      <c r="DH62" s="640"/>
      <c r="DI62" s="576"/>
      <c r="DJ62" s="576"/>
      <c r="DK62" s="576"/>
      <c r="DL62" s="576"/>
      <c r="DM62" s="576"/>
      <c r="DN62" s="576"/>
      <c r="DO62" s="576"/>
      <c r="DP62" s="576"/>
      <c r="DQ62" s="576"/>
      <c r="DR62" s="576"/>
      <c r="DS62" s="576"/>
      <c r="DT62" s="576"/>
      <c r="DU62" s="576"/>
      <c r="DV62" s="576"/>
      <c r="DW62" s="576"/>
      <c r="DX62" s="577"/>
      <c r="DY62" s="577"/>
      <c r="DZ62" s="577"/>
      <c r="EA62" s="577"/>
      <c r="EB62" s="577"/>
      <c r="EC62" s="577"/>
      <c r="ED62" s="577"/>
      <c r="EE62" s="577"/>
      <c r="EF62" s="577"/>
      <c r="EG62" s="577"/>
      <c r="EH62" s="8">
        <v>11</v>
      </c>
    </row>
    <row r="63" spans="1:138" x14ac:dyDescent="0.25">
      <c r="A63" s="16">
        <v>59</v>
      </c>
      <c r="B63" s="19" t="s">
        <v>68</v>
      </c>
      <c r="C63" s="19"/>
      <c r="D63" s="19" t="s">
        <v>60</v>
      </c>
      <c r="E63" s="19" t="s">
        <v>75</v>
      </c>
      <c r="F63" s="19" t="s">
        <v>8</v>
      </c>
      <c r="G63" s="19" t="s">
        <v>837</v>
      </c>
      <c r="H63" s="539">
        <v>-99</v>
      </c>
      <c r="I63" s="539">
        <v>1.504527058943011E-2</v>
      </c>
      <c r="J63" s="539">
        <v>-99</v>
      </c>
      <c r="K63" s="539">
        <v>1.6986509075526315E-2</v>
      </c>
      <c r="L63" s="539">
        <v>-99</v>
      </c>
      <c r="M63" s="539">
        <v>-99</v>
      </c>
      <c r="N63" s="539">
        <v>0.02</v>
      </c>
      <c r="O63" s="539">
        <v>-99</v>
      </c>
      <c r="P63" s="539">
        <v>1.4999999999999999E-2</v>
      </c>
      <c r="Q63" s="539">
        <v>-99</v>
      </c>
      <c r="R63" s="539">
        <v>-99</v>
      </c>
      <c r="S63" s="539">
        <v>1.2999999999999999E-2</v>
      </c>
      <c r="T63" s="539">
        <v>-99</v>
      </c>
      <c r="U63" s="539">
        <v>2.1000000000000001E-2</v>
      </c>
      <c r="V63" s="539">
        <v>-99</v>
      </c>
      <c r="W63" s="539">
        <v>-99</v>
      </c>
      <c r="X63" s="539">
        <v>-99</v>
      </c>
      <c r="Y63" s="539">
        <v>-99</v>
      </c>
      <c r="Z63" s="539">
        <v>-99</v>
      </c>
      <c r="AA63" s="539">
        <v>-99</v>
      </c>
      <c r="AB63" s="539">
        <v>-99</v>
      </c>
      <c r="AC63" s="539">
        <v>7.0000000000000001E-3</v>
      </c>
      <c r="AD63" s="539">
        <v>-99</v>
      </c>
      <c r="AE63" s="539">
        <v>1.2E-2</v>
      </c>
      <c r="AF63" s="539">
        <v>-99</v>
      </c>
      <c r="AG63" s="539">
        <v>-99</v>
      </c>
      <c r="AH63" s="540">
        <v>-99</v>
      </c>
      <c r="AI63" s="539">
        <v>-99</v>
      </c>
      <c r="AJ63" s="540">
        <v>-99</v>
      </c>
      <c r="AK63" s="539">
        <v>-99</v>
      </c>
      <c r="AL63" s="539">
        <v>-99</v>
      </c>
      <c r="AM63" s="540">
        <v>-99</v>
      </c>
      <c r="AN63" s="539">
        <v>-99</v>
      </c>
      <c r="AO63" s="540">
        <v>-99</v>
      </c>
      <c r="AP63" s="541">
        <v>-99</v>
      </c>
      <c r="AQ63" s="539">
        <v>-99</v>
      </c>
      <c r="AR63" s="540">
        <v>-99</v>
      </c>
      <c r="AS63" s="539">
        <v>-99</v>
      </c>
      <c r="AT63" s="540">
        <v>-99</v>
      </c>
      <c r="AU63" s="539">
        <v>-99</v>
      </c>
      <c r="AV63" s="540">
        <v>-99</v>
      </c>
      <c r="AW63" s="540">
        <v>-99</v>
      </c>
      <c r="AX63" s="540">
        <v>-99</v>
      </c>
      <c r="AY63" s="540">
        <v>-99</v>
      </c>
      <c r="AZ63" s="539">
        <v>-99</v>
      </c>
      <c r="BA63" s="539">
        <v>-99</v>
      </c>
      <c r="BB63" s="540">
        <v>-99</v>
      </c>
      <c r="BC63" s="539">
        <v>-99</v>
      </c>
      <c r="BD63" s="540">
        <v>-99</v>
      </c>
      <c r="BE63" s="541">
        <v>-99</v>
      </c>
      <c r="BF63" s="612"/>
      <c r="BG63" s="541"/>
      <c r="BH63" s="612">
        <v>-99</v>
      </c>
      <c r="BI63" s="576"/>
      <c r="BJ63" s="576"/>
      <c r="BK63" s="576"/>
      <c r="BL63" s="576"/>
      <c r="BM63" s="545">
        <v>-99</v>
      </c>
      <c r="BN63" s="545">
        <v>-99</v>
      </c>
      <c r="BO63" s="576"/>
      <c r="BP63" s="576"/>
      <c r="BQ63" s="576"/>
      <c r="BR63" s="570"/>
      <c r="BS63" s="547" t="s">
        <v>188</v>
      </c>
      <c r="BT63" s="549" t="s">
        <v>188</v>
      </c>
      <c r="BU63" s="549" t="s">
        <v>188</v>
      </c>
      <c r="BV63" s="549" t="s">
        <v>188</v>
      </c>
      <c r="BW63" s="549" t="s">
        <v>188</v>
      </c>
      <c r="BX63" s="549" t="s">
        <v>188</v>
      </c>
      <c r="BY63" s="549" t="s">
        <v>188</v>
      </c>
      <c r="BZ63" s="549" t="s">
        <v>188</v>
      </c>
      <c r="CA63" s="549" t="s">
        <v>188</v>
      </c>
      <c r="CB63" s="549" t="s">
        <v>188</v>
      </c>
      <c r="CC63" s="549" t="s">
        <v>188</v>
      </c>
      <c r="CD63" s="662"/>
      <c r="CE63" s="661" t="s">
        <v>188</v>
      </c>
      <c r="CF63" s="662" t="s">
        <v>188</v>
      </c>
      <c r="CG63" s="662" t="s">
        <v>188</v>
      </c>
      <c r="CH63" s="662" t="s">
        <v>188</v>
      </c>
      <c r="CI63" s="662" t="s">
        <v>188</v>
      </c>
      <c r="CJ63" s="662" t="s">
        <v>188</v>
      </c>
      <c r="CK63" s="662" t="s">
        <v>188</v>
      </c>
      <c r="CL63" s="662" t="s">
        <v>188</v>
      </c>
      <c r="CM63" s="662" t="s">
        <v>188</v>
      </c>
      <c r="CN63" s="662" t="s">
        <v>188</v>
      </c>
      <c r="CO63" s="616"/>
      <c r="CP63" s="616"/>
      <c r="CQ63" s="616"/>
      <c r="CR63" s="616"/>
      <c r="CS63" s="616"/>
      <c r="CT63" s="616"/>
      <c r="CU63" s="616"/>
      <c r="CV63" s="616"/>
      <c r="CW63" s="616"/>
      <c r="CX63" s="616"/>
      <c r="CY63" s="616"/>
      <c r="CZ63" s="616"/>
      <c r="DA63" s="616"/>
      <c r="DB63" s="616"/>
      <c r="DC63" s="640"/>
      <c r="DD63" s="640"/>
      <c r="DE63" s="640"/>
      <c r="DF63" s="640"/>
      <c r="DG63" s="640"/>
      <c r="DH63" s="640"/>
      <c r="DI63" s="576"/>
      <c r="DJ63" s="576"/>
      <c r="DK63" s="576"/>
      <c r="DL63" s="576"/>
      <c r="DM63" s="576"/>
      <c r="DN63" s="576"/>
      <c r="DO63" s="576"/>
      <c r="DP63" s="576"/>
      <c r="DQ63" s="576"/>
      <c r="DR63" s="576"/>
      <c r="DS63" s="576"/>
      <c r="DT63" s="576"/>
      <c r="DU63" s="576"/>
      <c r="DV63" s="576"/>
      <c r="DW63" s="576"/>
      <c r="DX63" s="577"/>
      <c r="DY63" s="577"/>
      <c r="DZ63" s="577"/>
      <c r="EA63" s="577"/>
      <c r="EB63" s="577"/>
      <c r="EC63" s="577"/>
      <c r="ED63" s="577"/>
      <c r="EE63" s="577"/>
      <c r="EF63" s="577"/>
      <c r="EG63" s="577"/>
      <c r="EH63" s="8">
        <v>123</v>
      </c>
    </row>
    <row r="64" spans="1:138" x14ac:dyDescent="0.25">
      <c r="A64" s="16">
        <v>60</v>
      </c>
      <c r="B64" s="19" t="s">
        <v>70</v>
      </c>
      <c r="C64" s="19"/>
      <c r="D64" s="19" t="s">
        <v>60</v>
      </c>
      <c r="E64" s="19" t="s">
        <v>75</v>
      </c>
      <c r="F64" s="526"/>
      <c r="G64" s="526" t="s">
        <v>6</v>
      </c>
      <c r="H64" s="539">
        <v>-99</v>
      </c>
      <c r="I64" s="539">
        <v>1.0341557691020886E-3</v>
      </c>
      <c r="J64" s="539">
        <v>-99</v>
      </c>
      <c r="K64" s="539">
        <v>4.5156423550262061E-4</v>
      </c>
      <c r="L64" s="539">
        <v>-99</v>
      </c>
      <c r="M64" s="539">
        <v>-99</v>
      </c>
      <c r="N64" s="539">
        <v>0</v>
      </c>
      <c r="O64" s="539">
        <v>-99</v>
      </c>
      <c r="P64" s="539">
        <v>0</v>
      </c>
      <c r="Q64" s="539">
        <v>-99</v>
      </c>
      <c r="R64" s="539">
        <v>-99</v>
      </c>
      <c r="S64" s="539">
        <v>-99</v>
      </c>
      <c r="T64" s="539">
        <v>-99</v>
      </c>
      <c r="U64" s="539">
        <v>-99</v>
      </c>
      <c r="V64" s="539">
        <v>-99</v>
      </c>
      <c r="W64" s="539">
        <v>-99</v>
      </c>
      <c r="X64" s="539">
        <v>2E-3</v>
      </c>
      <c r="Y64" s="539">
        <v>-99</v>
      </c>
      <c r="Z64" s="539">
        <v>1E-3</v>
      </c>
      <c r="AA64" s="539">
        <v>-99</v>
      </c>
      <c r="AB64" s="539">
        <v>-99</v>
      </c>
      <c r="AC64" s="539">
        <v>0</v>
      </c>
      <c r="AD64" s="539">
        <v>-99</v>
      </c>
      <c r="AE64" s="539">
        <v>0</v>
      </c>
      <c r="AF64" s="539">
        <v>-99</v>
      </c>
      <c r="AG64" s="539">
        <v>-99</v>
      </c>
      <c r="AH64" s="540">
        <v>-99</v>
      </c>
      <c r="AI64" s="539">
        <v>-99</v>
      </c>
      <c r="AJ64" s="540">
        <v>-99</v>
      </c>
      <c r="AK64" s="539">
        <v>-99</v>
      </c>
      <c r="AL64" s="539">
        <v>-99</v>
      </c>
      <c r="AM64" s="540">
        <v>-99</v>
      </c>
      <c r="AN64" s="539">
        <v>-99</v>
      </c>
      <c r="AO64" s="540">
        <v>-99</v>
      </c>
      <c r="AP64" s="541">
        <v>-99</v>
      </c>
      <c r="AQ64" s="539">
        <v>-99</v>
      </c>
      <c r="AR64" s="540">
        <v>-99</v>
      </c>
      <c r="AS64" s="539">
        <v>-99</v>
      </c>
      <c r="AT64" s="540">
        <v>-99</v>
      </c>
      <c r="AU64" s="539">
        <v>-99</v>
      </c>
      <c r="AV64" s="540">
        <v>-99</v>
      </c>
      <c r="AW64" s="540">
        <v>-99</v>
      </c>
      <c r="AX64" s="540">
        <v>-99</v>
      </c>
      <c r="AY64" s="540">
        <v>-99</v>
      </c>
      <c r="AZ64" s="539">
        <v>-99</v>
      </c>
      <c r="BA64" s="539">
        <v>-99</v>
      </c>
      <c r="BB64" s="540">
        <v>-99</v>
      </c>
      <c r="BC64" s="539">
        <v>-99</v>
      </c>
      <c r="BD64" s="540">
        <v>-99</v>
      </c>
      <c r="BE64" s="541">
        <v>-99</v>
      </c>
      <c r="BF64" s="612"/>
      <c r="BG64" s="541"/>
      <c r="BH64" s="612">
        <v>-99</v>
      </c>
      <c r="BI64" s="641"/>
      <c r="BJ64" s="641"/>
      <c r="BK64" s="641"/>
      <c r="BL64" s="641"/>
      <c r="BM64" s="545">
        <v>-99</v>
      </c>
      <c r="BN64" s="545">
        <v>-99</v>
      </c>
      <c r="BO64" s="641"/>
      <c r="BP64" s="641"/>
      <c r="BQ64" s="641"/>
      <c r="BR64" s="640"/>
      <c r="BS64" s="547" t="s">
        <v>188</v>
      </c>
      <c r="BT64" s="549" t="s">
        <v>188</v>
      </c>
      <c r="BU64" s="549" t="s">
        <v>188</v>
      </c>
      <c r="BV64" s="549" t="s">
        <v>188</v>
      </c>
      <c r="BW64" s="549" t="s">
        <v>188</v>
      </c>
      <c r="BX64" s="549" t="s">
        <v>188</v>
      </c>
      <c r="BY64" s="549" t="s">
        <v>188</v>
      </c>
      <c r="BZ64" s="549" t="s">
        <v>188</v>
      </c>
      <c r="CA64" s="549" t="s">
        <v>188</v>
      </c>
      <c r="CB64" s="549" t="s">
        <v>188</v>
      </c>
      <c r="CC64" s="549" t="s">
        <v>188</v>
      </c>
      <c r="CD64" s="662"/>
      <c r="CE64" s="661" t="s">
        <v>188</v>
      </c>
      <c r="CF64" s="662" t="s">
        <v>188</v>
      </c>
      <c r="CG64" s="662" t="s">
        <v>188</v>
      </c>
      <c r="CH64" s="662" t="s">
        <v>188</v>
      </c>
      <c r="CI64" s="662" t="s">
        <v>188</v>
      </c>
      <c r="CJ64" s="662" t="s">
        <v>188</v>
      </c>
      <c r="CK64" s="662" t="s">
        <v>188</v>
      </c>
      <c r="CL64" s="662" t="s">
        <v>188</v>
      </c>
      <c r="CM64" s="662" t="s">
        <v>188</v>
      </c>
      <c r="CN64" s="662" t="s">
        <v>188</v>
      </c>
      <c r="CO64" s="640"/>
      <c r="CP64" s="640"/>
      <c r="CQ64" s="640"/>
      <c r="CR64" s="640"/>
      <c r="CS64" s="640"/>
      <c r="CT64" s="640"/>
      <c r="CU64" s="640"/>
      <c r="CV64" s="640"/>
      <c r="CW64" s="640"/>
      <c r="CX64" s="640"/>
      <c r="CY64" s="640"/>
      <c r="CZ64" s="640"/>
      <c r="DA64" s="640"/>
      <c r="DB64" s="640"/>
      <c r="DC64" s="640"/>
      <c r="DD64" s="640"/>
      <c r="DE64" s="640"/>
      <c r="DF64" s="640"/>
      <c r="DG64" s="640"/>
      <c r="DH64" s="640"/>
      <c r="DI64" s="641"/>
      <c r="DJ64" s="641"/>
      <c r="DK64" s="641"/>
      <c r="DL64" s="641"/>
      <c r="DM64" s="641"/>
      <c r="DN64" s="641"/>
      <c r="DO64" s="641"/>
      <c r="DP64" s="641"/>
      <c r="DQ64" s="641"/>
      <c r="DR64" s="641"/>
      <c r="DS64" s="641"/>
      <c r="DT64" s="641"/>
      <c r="DU64" s="641"/>
      <c r="DV64" s="641"/>
      <c r="DW64" s="641"/>
      <c r="DX64" s="607"/>
      <c r="DY64" s="607"/>
      <c r="DZ64" s="607"/>
      <c r="EA64" s="607"/>
      <c r="EB64" s="607"/>
      <c r="EC64" s="607"/>
      <c r="ED64" s="607"/>
      <c r="EE64" s="607"/>
      <c r="EF64" s="607"/>
      <c r="EG64" s="607"/>
      <c r="EH64" s="8">
        <v>122</v>
      </c>
    </row>
    <row r="65" spans="1:139" s="14" customFormat="1" x14ac:dyDescent="0.25">
      <c r="A65" s="16">
        <v>61</v>
      </c>
      <c r="B65" s="526" t="s">
        <v>718</v>
      </c>
      <c r="C65" s="526"/>
      <c r="D65" s="19" t="s">
        <v>60</v>
      </c>
      <c r="E65" s="19" t="s">
        <v>75</v>
      </c>
      <c r="F65" s="19" t="s">
        <v>8</v>
      </c>
      <c r="G65" s="19" t="s">
        <v>837</v>
      </c>
      <c r="H65" s="539">
        <v>-99</v>
      </c>
      <c r="I65" s="539">
        <v>-99</v>
      </c>
      <c r="J65" s="539">
        <v>-99</v>
      </c>
      <c r="K65" s="539">
        <v>-99</v>
      </c>
      <c r="L65" s="539">
        <v>-99</v>
      </c>
      <c r="M65" s="539">
        <v>-99</v>
      </c>
      <c r="N65" s="539">
        <v>-99</v>
      </c>
      <c r="O65" s="539">
        <v>-99</v>
      </c>
      <c r="P65" s="539">
        <v>-99</v>
      </c>
      <c r="Q65" s="539">
        <v>-99</v>
      </c>
      <c r="R65" s="539">
        <v>-99</v>
      </c>
      <c r="S65" s="539">
        <v>-99</v>
      </c>
      <c r="T65" s="539">
        <v>-99</v>
      </c>
      <c r="U65" s="539">
        <v>-99</v>
      </c>
      <c r="V65" s="539">
        <v>-99</v>
      </c>
      <c r="W65" s="539">
        <v>-99</v>
      </c>
      <c r="X65" s="539">
        <v>-99</v>
      </c>
      <c r="Y65" s="539">
        <v>-99</v>
      </c>
      <c r="Z65" s="539">
        <v>-99</v>
      </c>
      <c r="AA65" s="539">
        <v>-99</v>
      </c>
      <c r="AB65" s="539">
        <v>-99</v>
      </c>
      <c r="AC65" s="539">
        <v>-99</v>
      </c>
      <c r="AD65" s="539">
        <v>-99</v>
      </c>
      <c r="AE65" s="539">
        <v>-99</v>
      </c>
      <c r="AF65" s="539">
        <v>-99</v>
      </c>
      <c r="AG65" s="539">
        <v>-99</v>
      </c>
      <c r="AH65" s="540">
        <v>-99</v>
      </c>
      <c r="AI65" s="539">
        <v>-99</v>
      </c>
      <c r="AJ65" s="540">
        <v>-99</v>
      </c>
      <c r="AK65" s="539">
        <v>-99</v>
      </c>
      <c r="AL65" s="539">
        <v>-99</v>
      </c>
      <c r="AM65" s="540">
        <v>-99</v>
      </c>
      <c r="AN65" s="539">
        <v>-99</v>
      </c>
      <c r="AO65" s="540">
        <v>-99</v>
      </c>
      <c r="AP65" s="541">
        <v>-99</v>
      </c>
      <c r="AQ65" s="539">
        <v>-99</v>
      </c>
      <c r="AR65" s="540">
        <v>-99</v>
      </c>
      <c r="AS65" s="539">
        <v>-99</v>
      </c>
      <c r="AT65" s="540">
        <v>-99</v>
      </c>
      <c r="AU65" s="539">
        <v>-99</v>
      </c>
      <c r="AV65" s="540">
        <v>-99</v>
      </c>
      <c r="AW65" s="540">
        <v>-99</v>
      </c>
      <c r="AX65" s="540">
        <v>-99</v>
      </c>
      <c r="AY65" s="540">
        <v>-99</v>
      </c>
      <c r="AZ65" s="539">
        <v>-99</v>
      </c>
      <c r="BA65" s="539">
        <v>-99</v>
      </c>
      <c r="BB65" s="540">
        <v>-99</v>
      </c>
      <c r="BC65" s="539">
        <v>-99</v>
      </c>
      <c r="BD65" s="540">
        <v>-99</v>
      </c>
      <c r="BE65" s="541">
        <v>-99</v>
      </c>
      <c r="BF65" s="612"/>
      <c r="BG65" s="541"/>
      <c r="BH65" s="612">
        <v>-99</v>
      </c>
      <c r="BI65" s="576"/>
      <c r="BJ65" s="576"/>
      <c r="BK65" s="576"/>
      <c r="BL65" s="576"/>
      <c r="BM65" s="545">
        <v>-99</v>
      </c>
      <c r="BN65" s="545">
        <v>-99</v>
      </c>
      <c r="BO65" s="576"/>
      <c r="BP65" s="576"/>
      <c r="BQ65" s="576"/>
      <c r="BR65" s="570"/>
      <c r="BS65" s="547" t="s">
        <v>188</v>
      </c>
      <c r="BT65" s="549" t="s">
        <v>188</v>
      </c>
      <c r="BU65" s="549" t="s">
        <v>188</v>
      </c>
      <c r="BV65" s="549" t="s">
        <v>188</v>
      </c>
      <c r="BW65" s="549" t="s">
        <v>188</v>
      </c>
      <c r="BX65" s="549" t="s">
        <v>188</v>
      </c>
      <c r="BY65" s="549" t="s">
        <v>188</v>
      </c>
      <c r="BZ65" s="549" t="s">
        <v>188</v>
      </c>
      <c r="CA65" s="549" t="s">
        <v>188</v>
      </c>
      <c r="CB65" s="549" t="s">
        <v>188</v>
      </c>
      <c r="CC65" s="549" t="s">
        <v>188</v>
      </c>
      <c r="CD65" s="662"/>
      <c r="CE65" s="661" t="s">
        <v>188</v>
      </c>
      <c r="CF65" s="662" t="s">
        <v>188</v>
      </c>
      <c r="CG65" s="662" t="s">
        <v>188</v>
      </c>
      <c r="CH65" s="662" t="s">
        <v>188</v>
      </c>
      <c r="CI65" s="662" t="s">
        <v>188</v>
      </c>
      <c r="CJ65" s="662" t="s">
        <v>188</v>
      </c>
      <c r="CK65" s="662" t="s">
        <v>188</v>
      </c>
      <c r="CL65" s="662" t="s">
        <v>188</v>
      </c>
      <c r="CM65" s="662" t="s">
        <v>188</v>
      </c>
      <c r="CN65" s="662" t="s">
        <v>188</v>
      </c>
      <c r="CO65" s="616"/>
      <c r="CP65" s="616"/>
      <c r="CQ65" s="616"/>
      <c r="CR65" s="616"/>
      <c r="CS65" s="616"/>
      <c r="CT65" s="616"/>
      <c r="CU65" s="616"/>
      <c r="CV65" s="616"/>
      <c r="CW65" s="616"/>
      <c r="CX65" s="616"/>
      <c r="CY65" s="616"/>
      <c r="CZ65" s="616"/>
      <c r="DA65" s="616"/>
      <c r="DB65" s="616"/>
      <c r="DC65" s="640"/>
      <c r="DD65" s="640"/>
      <c r="DE65" s="640"/>
      <c r="DF65" s="640"/>
      <c r="DG65" s="640"/>
      <c r="DH65" s="640"/>
      <c r="DI65" s="576"/>
      <c r="DJ65" s="576"/>
      <c r="DK65" s="576"/>
      <c r="DL65" s="576"/>
      <c r="DM65" s="576"/>
      <c r="DN65" s="576"/>
      <c r="DO65" s="576"/>
      <c r="DP65" s="576"/>
      <c r="DQ65" s="576"/>
      <c r="DR65" s="576"/>
      <c r="DS65" s="576"/>
      <c r="DT65" s="576"/>
      <c r="DU65" s="576"/>
      <c r="DV65" s="576"/>
      <c r="DW65" s="576"/>
      <c r="DX65" s="577"/>
      <c r="DY65" s="577"/>
      <c r="DZ65" s="577"/>
      <c r="EA65" s="577"/>
      <c r="EB65" s="577"/>
      <c r="EC65" s="577"/>
      <c r="ED65" s="577"/>
      <c r="EE65" s="577"/>
      <c r="EF65" s="577"/>
      <c r="EG65" s="577"/>
      <c r="EH65" s="8">
        <v>121</v>
      </c>
      <c r="EI65" s="360"/>
    </row>
    <row r="66" spans="1:139" s="14" customFormat="1" x14ac:dyDescent="0.25">
      <c r="A66" s="16">
        <v>62</v>
      </c>
      <c r="B66" s="526" t="s">
        <v>719</v>
      </c>
      <c r="C66" s="526"/>
      <c r="D66" s="19" t="s">
        <v>60</v>
      </c>
      <c r="E66" s="19" t="s">
        <v>75</v>
      </c>
      <c r="F66" s="19" t="s">
        <v>8</v>
      </c>
      <c r="G66" s="19" t="s">
        <v>837</v>
      </c>
      <c r="H66" s="539">
        <v>-99</v>
      </c>
      <c r="I66" s="539">
        <v>0.10302462686472426</v>
      </c>
      <c r="J66" s="539">
        <v>-99</v>
      </c>
      <c r="K66" s="539">
        <v>0.1034211599950292</v>
      </c>
      <c r="L66" s="539">
        <v>-99</v>
      </c>
      <c r="M66" s="539">
        <v>-99</v>
      </c>
      <c r="N66" s="539">
        <v>0.109</v>
      </c>
      <c r="O66" s="539">
        <v>-99</v>
      </c>
      <c r="P66" s="539">
        <v>0.1</v>
      </c>
      <c r="Q66" s="539">
        <v>-99</v>
      </c>
      <c r="R66" s="539">
        <v>-99</v>
      </c>
      <c r="S66" s="539">
        <v>9.7000000000000003E-2</v>
      </c>
      <c r="T66" s="539">
        <v>-99</v>
      </c>
      <c r="U66" s="539">
        <v>0.111</v>
      </c>
      <c r="V66" s="539">
        <v>-99</v>
      </c>
      <c r="W66" s="539">
        <v>-99</v>
      </c>
      <c r="X66" s="539">
        <v>-99</v>
      </c>
      <c r="Y66" s="539">
        <v>-99</v>
      </c>
      <c r="Z66" s="539">
        <v>-99</v>
      </c>
      <c r="AA66" s="539">
        <v>-99</v>
      </c>
      <c r="AB66" s="539">
        <v>-99</v>
      </c>
      <c r="AC66" s="539">
        <v>0.104</v>
      </c>
      <c r="AD66" s="539">
        <v>-99</v>
      </c>
      <c r="AE66" s="539">
        <v>8.6999999999999994E-2</v>
      </c>
      <c r="AF66" s="539">
        <v>-99</v>
      </c>
      <c r="AG66" s="539">
        <v>-99</v>
      </c>
      <c r="AH66" s="540">
        <v>-99</v>
      </c>
      <c r="AI66" s="539">
        <v>-99</v>
      </c>
      <c r="AJ66" s="540">
        <v>-99</v>
      </c>
      <c r="AK66" s="539">
        <v>-99</v>
      </c>
      <c r="AL66" s="539">
        <v>-99</v>
      </c>
      <c r="AM66" s="540">
        <v>-99</v>
      </c>
      <c r="AN66" s="539">
        <v>-99</v>
      </c>
      <c r="AO66" s="540">
        <v>-99</v>
      </c>
      <c r="AP66" s="541">
        <v>-99</v>
      </c>
      <c r="AQ66" s="539">
        <v>-99</v>
      </c>
      <c r="AR66" s="540">
        <v>-99</v>
      </c>
      <c r="AS66" s="539">
        <v>-99</v>
      </c>
      <c r="AT66" s="540">
        <v>-99</v>
      </c>
      <c r="AU66" s="539">
        <v>-99</v>
      </c>
      <c r="AV66" s="540">
        <v>-99</v>
      </c>
      <c r="AW66" s="540">
        <v>-99</v>
      </c>
      <c r="AX66" s="540">
        <v>-99</v>
      </c>
      <c r="AY66" s="540">
        <v>-99</v>
      </c>
      <c r="AZ66" s="539">
        <v>-99</v>
      </c>
      <c r="BA66" s="539">
        <v>-99</v>
      </c>
      <c r="BB66" s="540">
        <v>-99</v>
      </c>
      <c r="BC66" s="539">
        <v>-99</v>
      </c>
      <c r="BD66" s="540">
        <v>-99</v>
      </c>
      <c r="BE66" s="541">
        <v>-99</v>
      </c>
      <c r="BF66" s="612"/>
      <c r="BG66" s="612"/>
      <c r="BH66" s="612">
        <v>-99</v>
      </c>
      <c r="BI66" s="641"/>
      <c r="BJ66" s="641"/>
      <c r="BK66" s="641"/>
      <c r="BL66" s="641"/>
      <c r="BM66" s="545">
        <v>-99</v>
      </c>
      <c r="BN66" s="545">
        <v>-99</v>
      </c>
      <c r="BO66" s="641"/>
      <c r="BP66" s="641"/>
      <c r="BQ66" s="641"/>
      <c r="BR66" s="640"/>
      <c r="BS66" s="547" t="s">
        <v>188</v>
      </c>
      <c r="BT66" s="549" t="s">
        <v>188</v>
      </c>
      <c r="BU66" s="549" t="s">
        <v>188</v>
      </c>
      <c r="BV66" s="549" t="s">
        <v>188</v>
      </c>
      <c r="BW66" s="549" t="s">
        <v>188</v>
      </c>
      <c r="BX66" s="549" t="s">
        <v>188</v>
      </c>
      <c r="BY66" s="549" t="s">
        <v>188</v>
      </c>
      <c r="BZ66" s="549" t="s">
        <v>188</v>
      </c>
      <c r="CA66" s="549" t="s">
        <v>188</v>
      </c>
      <c r="CB66" s="549" t="s">
        <v>188</v>
      </c>
      <c r="CC66" s="549" t="s">
        <v>188</v>
      </c>
      <c r="CD66" s="662"/>
      <c r="CE66" s="661" t="s">
        <v>188</v>
      </c>
      <c r="CF66" s="662" t="s">
        <v>188</v>
      </c>
      <c r="CG66" s="662" t="s">
        <v>188</v>
      </c>
      <c r="CH66" s="662" t="s">
        <v>188</v>
      </c>
      <c r="CI66" s="662" t="s">
        <v>188</v>
      </c>
      <c r="CJ66" s="662" t="s">
        <v>188</v>
      </c>
      <c r="CK66" s="662" t="s">
        <v>188</v>
      </c>
      <c r="CL66" s="662" t="s">
        <v>188</v>
      </c>
      <c r="CM66" s="662" t="s">
        <v>188</v>
      </c>
      <c r="CN66" s="662" t="s">
        <v>188</v>
      </c>
      <c r="CO66" s="640"/>
      <c r="CP66" s="640"/>
      <c r="CQ66" s="640"/>
      <c r="CR66" s="640"/>
      <c r="CS66" s="640"/>
      <c r="CT66" s="640"/>
      <c r="CU66" s="640"/>
      <c r="CV66" s="640"/>
      <c r="CW66" s="640"/>
      <c r="CX66" s="640"/>
      <c r="CY66" s="640"/>
      <c r="CZ66" s="640"/>
      <c r="DA66" s="640"/>
      <c r="DB66" s="640"/>
      <c r="DC66" s="640"/>
      <c r="DD66" s="640"/>
      <c r="DE66" s="640"/>
      <c r="DF66" s="640"/>
      <c r="DG66" s="640"/>
      <c r="DH66" s="640"/>
      <c r="DI66" s="641"/>
      <c r="DJ66" s="641"/>
      <c r="DK66" s="641"/>
      <c r="DL66" s="641"/>
      <c r="DM66" s="641"/>
      <c r="DN66" s="641"/>
      <c r="DO66" s="641"/>
      <c r="DP66" s="641"/>
      <c r="DQ66" s="641"/>
      <c r="DR66" s="641"/>
      <c r="DS66" s="641"/>
      <c r="DT66" s="641"/>
      <c r="DU66" s="641"/>
      <c r="DV66" s="641"/>
      <c r="DW66" s="641"/>
      <c r="DX66" s="607"/>
      <c r="DY66" s="607"/>
      <c r="DZ66" s="607"/>
      <c r="EA66" s="607"/>
      <c r="EB66" s="607"/>
      <c r="EC66" s="607"/>
      <c r="ED66" s="607"/>
      <c r="EE66" s="607"/>
      <c r="EF66" s="607"/>
      <c r="EG66" s="607"/>
      <c r="EH66" s="8">
        <v>80</v>
      </c>
      <c r="EI66" s="360"/>
    </row>
    <row r="67" spans="1:139" x14ac:dyDescent="0.25">
      <c r="A67" s="16">
        <v>63</v>
      </c>
      <c r="B67" s="19" t="s">
        <v>720</v>
      </c>
      <c r="C67" s="19"/>
      <c r="D67" s="19" t="s">
        <v>60</v>
      </c>
      <c r="E67" s="19" t="s">
        <v>75</v>
      </c>
      <c r="F67" s="19" t="s">
        <v>8</v>
      </c>
      <c r="G67" s="19" t="s">
        <v>837</v>
      </c>
      <c r="H67" s="539">
        <v>-99</v>
      </c>
      <c r="I67" s="539">
        <v>-99</v>
      </c>
      <c r="J67" s="539">
        <v>-99</v>
      </c>
      <c r="K67" s="539">
        <v>-99</v>
      </c>
      <c r="L67" s="539">
        <v>-99</v>
      </c>
      <c r="M67" s="539">
        <v>-99</v>
      </c>
      <c r="N67" s="539">
        <v>-99</v>
      </c>
      <c r="O67" s="539">
        <v>-99</v>
      </c>
      <c r="P67" s="539">
        <v>-99</v>
      </c>
      <c r="Q67" s="539">
        <v>-99</v>
      </c>
      <c r="R67" s="539">
        <v>-99</v>
      </c>
      <c r="S67" s="539">
        <v>-99</v>
      </c>
      <c r="T67" s="539">
        <v>-99</v>
      </c>
      <c r="U67" s="539">
        <v>-99</v>
      </c>
      <c r="V67" s="539">
        <v>-99</v>
      </c>
      <c r="W67" s="539">
        <v>-99</v>
      </c>
      <c r="X67" s="539">
        <v>-99</v>
      </c>
      <c r="Y67" s="539">
        <v>-99</v>
      </c>
      <c r="Z67" s="539">
        <v>-99</v>
      </c>
      <c r="AA67" s="539">
        <v>-99</v>
      </c>
      <c r="AB67" s="539">
        <v>-99</v>
      </c>
      <c r="AC67" s="539">
        <v>-99</v>
      </c>
      <c r="AD67" s="539">
        <v>-99</v>
      </c>
      <c r="AE67" s="539">
        <v>-99</v>
      </c>
      <c r="AF67" s="539">
        <v>-99</v>
      </c>
      <c r="AG67" s="539">
        <v>-99</v>
      </c>
      <c r="AH67" s="540">
        <v>-99</v>
      </c>
      <c r="AI67" s="539">
        <v>-99</v>
      </c>
      <c r="AJ67" s="540">
        <v>-99</v>
      </c>
      <c r="AK67" s="539">
        <v>-99</v>
      </c>
      <c r="AL67" s="539">
        <v>-99</v>
      </c>
      <c r="AM67" s="540">
        <v>-99</v>
      </c>
      <c r="AN67" s="539">
        <v>-99</v>
      </c>
      <c r="AO67" s="540">
        <v>-99</v>
      </c>
      <c r="AP67" s="541">
        <v>-99</v>
      </c>
      <c r="AQ67" s="539">
        <v>-99</v>
      </c>
      <c r="AR67" s="540">
        <v>-99</v>
      </c>
      <c r="AS67" s="539">
        <v>-99</v>
      </c>
      <c r="AT67" s="540">
        <v>-99</v>
      </c>
      <c r="AU67" s="539">
        <v>-99</v>
      </c>
      <c r="AV67" s="540">
        <v>-99</v>
      </c>
      <c r="AW67" s="540">
        <v>-99</v>
      </c>
      <c r="AX67" s="540">
        <v>-99</v>
      </c>
      <c r="AY67" s="540">
        <v>-99</v>
      </c>
      <c r="AZ67" s="539">
        <v>-99</v>
      </c>
      <c r="BA67" s="539">
        <v>-99</v>
      </c>
      <c r="BB67" s="540">
        <v>-99</v>
      </c>
      <c r="BC67" s="539">
        <v>-99</v>
      </c>
      <c r="BD67" s="540">
        <v>-99</v>
      </c>
      <c r="BE67" s="541">
        <v>-99</v>
      </c>
      <c r="BF67" s="612"/>
      <c r="BG67" s="612"/>
      <c r="BH67" s="612">
        <v>-99</v>
      </c>
      <c r="BI67" s="641"/>
      <c r="BJ67" s="641"/>
      <c r="BK67" s="641"/>
      <c r="BL67" s="641"/>
      <c r="BM67" s="545">
        <v>-99</v>
      </c>
      <c r="BN67" s="545">
        <v>-99</v>
      </c>
      <c r="BO67" s="641"/>
      <c r="BP67" s="641"/>
      <c r="BQ67" s="641"/>
      <c r="BR67" s="640"/>
      <c r="BS67" s="547" t="s">
        <v>188</v>
      </c>
      <c r="BT67" s="549" t="s">
        <v>188</v>
      </c>
      <c r="BU67" s="549" t="s">
        <v>188</v>
      </c>
      <c r="BV67" s="549" t="s">
        <v>188</v>
      </c>
      <c r="BW67" s="549" t="s">
        <v>188</v>
      </c>
      <c r="BX67" s="549" t="s">
        <v>188</v>
      </c>
      <c r="BY67" s="549" t="s">
        <v>188</v>
      </c>
      <c r="BZ67" s="549" t="s">
        <v>188</v>
      </c>
      <c r="CA67" s="549" t="s">
        <v>188</v>
      </c>
      <c r="CB67" s="549" t="s">
        <v>188</v>
      </c>
      <c r="CC67" s="549" t="s">
        <v>188</v>
      </c>
      <c r="CD67" s="662"/>
      <c r="CE67" s="661" t="s">
        <v>188</v>
      </c>
      <c r="CF67" s="662" t="s">
        <v>188</v>
      </c>
      <c r="CG67" s="662" t="s">
        <v>188</v>
      </c>
      <c r="CH67" s="662" t="s">
        <v>188</v>
      </c>
      <c r="CI67" s="662" t="s">
        <v>188</v>
      </c>
      <c r="CJ67" s="662" t="s">
        <v>188</v>
      </c>
      <c r="CK67" s="662" t="s">
        <v>188</v>
      </c>
      <c r="CL67" s="662" t="s">
        <v>188</v>
      </c>
      <c r="CM67" s="662" t="s">
        <v>188</v>
      </c>
      <c r="CN67" s="662" t="s">
        <v>188</v>
      </c>
      <c r="CO67" s="640"/>
      <c r="CP67" s="640"/>
      <c r="CQ67" s="640"/>
      <c r="CR67" s="640"/>
      <c r="CS67" s="640"/>
      <c r="CT67" s="640"/>
      <c r="CU67" s="640"/>
      <c r="CV67" s="640"/>
      <c r="CW67" s="640"/>
      <c r="CX67" s="640"/>
      <c r="CY67" s="640"/>
      <c r="CZ67" s="640"/>
      <c r="DA67" s="640"/>
      <c r="DB67" s="640"/>
      <c r="DC67" s="640"/>
      <c r="DD67" s="640"/>
      <c r="DE67" s="640"/>
      <c r="DF67" s="640"/>
      <c r="DG67" s="640"/>
      <c r="DH67" s="640"/>
      <c r="DI67" s="641"/>
      <c r="DJ67" s="641"/>
      <c r="DK67" s="641"/>
      <c r="DL67" s="641"/>
      <c r="DM67" s="641"/>
      <c r="DN67" s="641"/>
      <c r="DO67" s="641"/>
      <c r="DP67" s="641"/>
      <c r="DQ67" s="641"/>
      <c r="DR67" s="641"/>
      <c r="DS67" s="641"/>
      <c r="DT67" s="641"/>
      <c r="DU67" s="641"/>
      <c r="DV67" s="641"/>
      <c r="DW67" s="641"/>
      <c r="DX67" s="607"/>
      <c r="DY67" s="607"/>
      <c r="DZ67" s="607"/>
      <c r="EA67" s="607"/>
      <c r="EB67" s="607"/>
      <c r="EC67" s="607"/>
      <c r="ED67" s="607"/>
      <c r="EE67" s="607"/>
      <c r="EF67" s="607"/>
      <c r="EG67" s="607"/>
      <c r="EH67" s="8">
        <v>64</v>
      </c>
    </row>
    <row r="68" spans="1:139" x14ac:dyDescent="0.25">
      <c r="A68" s="16">
        <v>64</v>
      </c>
      <c r="B68" s="19" t="s">
        <v>747</v>
      </c>
      <c r="C68" s="19" t="s">
        <v>127</v>
      </c>
      <c r="D68" s="19" t="s">
        <v>60</v>
      </c>
      <c r="E68" s="19" t="s">
        <v>75</v>
      </c>
      <c r="F68" s="19" t="s">
        <v>8</v>
      </c>
      <c r="G68" s="19" t="s">
        <v>837</v>
      </c>
      <c r="H68" s="539">
        <v>-99</v>
      </c>
      <c r="I68" s="539">
        <v>-99</v>
      </c>
      <c r="J68" s="539">
        <v>-99</v>
      </c>
      <c r="K68" s="539">
        <v>-99</v>
      </c>
      <c r="L68" s="539">
        <v>-99</v>
      </c>
      <c r="M68" s="539">
        <v>-99</v>
      </c>
      <c r="N68" s="539">
        <v>-99</v>
      </c>
      <c r="O68" s="539">
        <v>-99</v>
      </c>
      <c r="P68" s="539">
        <v>-99</v>
      </c>
      <c r="Q68" s="539">
        <v>-99</v>
      </c>
      <c r="R68" s="539">
        <v>-99</v>
      </c>
      <c r="S68" s="539">
        <v>-99</v>
      </c>
      <c r="T68" s="539">
        <v>-99</v>
      </c>
      <c r="U68" s="539">
        <v>-99</v>
      </c>
      <c r="V68" s="539">
        <v>-99</v>
      </c>
      <c r="W68" s="539">
        <v>-99</v>
      </c>
      <c r="X68" s="539">
        <v>-99</v>
      </c>
      <c r="Y68" s="539">
        <v>-99</v>
      </c>
      <c r="Z68" s="539">
        <v>-99</v>
      </c>
      <c r="AA68" s="539">
        <v>-99</v>
      </c>
      <c r="AB68" s="539">
        <v>-99</v>
      </c>
      <c r="AC68" s="539">
        <v>-99</v>
      </c>
      <c r="AD68" s="539">
        <v>-99</v>
      </c>
      <c r="AE68" s="539">
        <v>-99</v>
      </c>
      <c r="AF68" s="539">
        <v>-99</v>
      </c>
      <c r="AG68" s="539">
        <v>-99</v>
      </c>
      <c r="AH68" s="540">
        <v>-99</v>
      </c>
      <c r="AI68" s="539">
        <v>-99</v>
      </c>
      <c r="AJ68" s="540">
        <v>-99</v>
      </c>
      <c r="AK68" s="539">
        <v>-99</v>
      </c>
      <c r="AL68" s="539">
        <v>-99</v>
      </c>
      <c r="AM68" s="540">
        <v>-99</v>
      </c>
      <c r="AN68" s="539">
        <v>-99</v>
      </c>
      <c r="AO68" s="540">
        <v>-99</v>
      </c>
      <c r="AP68" s="541">
        <v>-99</v>
      </c>
      <c r="AQ68" s="539">
        <v>-99</v>
      </c>
      <c r="AR68" s="540">
        <v>-99</v>
      </c>
      <c r="AS68" s="539">
        <v>-99</v>
      </c>
      <c r="AT68" s="540">
        <v>-99</v>
      </c>
      <c r="AU68" s="539">
        <v>-99</v>
      </c>
      <c r="AV68" s="540">
        <v>-99</v>
      </c>
      <c r="AW68" s="540">
        <v>-99</v>
      </c>
      <c r="AX68" s="540">
        <v>-99</v>
      </c>
      <c r="AY68" s="540">
        <v>-99</v>
      </c>
      <c r="AZ68" s="539">
        <v>-99</v>
      </c>
      <c r="BA68" s="539">
        <v>-99</v>
      </c>
      <c r="BB68" s="540">
        <v>-99</v>
      </c>
      <c r="BC68" s="539">
        <v>-99</v>
      </c>
      <c r="BD68" s="540">
        <v>-99</v>
      </c>
      <c r="BE68" s="541">
        <v>-99</v>
      </c>
      <c r="BF68" s="542"/>
      <c r="BG68" s="612"/>
      <c r="BH68" s="612">
        <v>-99</v>
      </c>
      <c r="BI68" s="576"/>
      <c r="BJ68" s="576"/>
      <c r="BK68" s="576"/>
      <c r="BL68" s="576"/>
      <c r="BM68" s="545">
        <v>-99</v>
      </c>
      <c r="BN68" s="545">
        <v>-99</v>
      </c>
      <c r="BO68" s="576"/>
      <c r="BP68" s="576"/>
      <c r="BQ68" s="576"/>
      <c r="BR68" s="570"/>
      <c r="BS68" s="547" t="s">
        <v>188</v>
      </c>
      <c r="BT68" s="549" t="s">
        <v>188</v>
      </c>
      <c r="BU68" s="549" t="s">
        <v>188</v>
      </c>
      <c r="BV68" s="549" t="s">
        <v>188</v>
      </c>
      <c r="BW68" s="549" t="s">
        <v>188</v>
      </c>
      <c r="BX68" s="549" t="s">
        <v>188</v>
      </c>
      <c r="BY68" s="549" t="s">
        <v>188</v>
      </c>
      <c r="BZ68" s="549" t="s">
        <v>188</v>
      </c>
      <c r="CA68" s="549" t="s">
        <v>188</v>
      </c>
      <c r="CB68" s="549" t="s">
        <v>188</v>
      </c>
      <c r="CC68" s="549" t="s">
        <v>188</v>
      </c>
      <c r="CD68" s="662"/>
      <c r="CE68" s="661" t="s">
        <v>188</v>
      </c>
      <c r="CF68" s="662" t="s">
        <v>188</v>
      </c>
      <c r="CG68" s="662" t="s">
        <v>188</v>
      </c>
      <c r="CH68" s="662" t="s">
        <v>188</v>
      </c>
      <c r="CI68" s="662" t="s">
        <v>188</v>
      </c>
      <c r="CJ68" s="662" t="s">
        <v>188</v>
      </c>
      <c r="CK68" s="662" t="s">
        <v>188</v>
      </c>
      <c r="CL68" s="662" t="s">
        <v>188</v>
      </c>
      <c r="CM68" s="662" t="s">
        <v>188</v>
      </c>
      <c r="CN68" s="662" t="s">
        <v>188</v>
      </c>
      <c r="CO68" s="616"/>
      <c r="CP68" s="616"/>
      <c r="CQ68" s="616"/>
      <c r="CR68" s="616"/>
      <c r="CS68" s="616"/>
      <c r="CT68" s="616"/>
      <c r="CU68" s="616"/>
      <c r="CV68" s="616"/>
      <c r="CW68" s="616"/>
      <c r="CX68" s="616"/>
      <c r="CY68" s="616"/>
      <c r="CZ68" s="616"/>
      <c r="DA68" s="616"/>
      <c r="DB68" s="616"/>
      <c r="DC68" s="640"/>
      <c r="DD68" s="640"/>
      <c r="DE68" s="640"/>
      <c r="DF68" s="640"/>
      <c r="DG68" s="640"/>
      <c r="DH68" s="640"/>
      <c r="DI68" s="576"/>
      <c r="DJ68" s="576"/>
      <c r="DK68" s="576"/>
      <c r="DL68" s="576"/>
      <c r="DM68" s="576"/>
      <c r="DN68" s="576"/>
      <c r="DO68" s="576"/>
      <c r="DP68" s="576"/>
      <c r="DQ68" s="576"/>
      <c r="DR68" s="576"/>
      <c r="DS68" s="576"/>
      <c r="DT68" s="576"/>
      <c r="DU68" s="576"/>
      <c r="DV68" s="576"/>
      <c r="DW68" s="576"/>
      <c r="DX68" s="577"/>
      <c r="DY68" s="577"/>
      <c r="DZ68" s="577"/>
      <c r="EA68" s="577"/>
      <c r="EB68" s="577"/>
      <c r="EC68" s="577"/>
      <c r="ED68" s="577"/>
      <c r="EE68" s="577"/>
      <c r="EF68" s="577"/>
      <c r="EG68" s="577"/>
      <c r="EH68" s="8">
        <v>48</v>
      </c>
    </row>
    <row r="69" spans="1:139" x14ac:dyDescent="0.25">
      <c r="A69" s="16">
        <v>65</v>
      </c>
      <c r="B69" s="19" t="s">
        <v>48</v>
      </c>
      <c r="C69" s="19"/>
      <c r="D69" s="19" t="s">
        <v>60</v>
      </c>
      <c r="E69" s="19" t="s">
        <v>75</v>
      </c>
      <c r="F69" s="19" t="s">
        <v>8</v>
      </c>
      <c r="G69" s="19" t="s">
        <v>837</v>
      </c>
      <c r="H69" s="539">
        <v>-99</v>
      </c>
      <c r="I69" s="539">
        <v>-99</v>
      </c>
      <c r="J69" s="539">
        <v>-99</v>
      </c>
      <c r="K69" s="539">
        <v>-99</v>
      </c>
      <c r="L69" s="539">
        <v>-99</v>
      </c>
      <c r="M69" s="539">
        <v>-99</v>
      </c>
      <c r="N69" s="539">
        <v>-99</v>
      </c>
      <c r="O69" s="539">
        <v>-99</v>
      </c>
      <c r="P69" s="539">
        <v>-99</v>
      </c>
      <c r="Q69" s="539">
        <v>-99</v>
      </c>
      <c r="R69" s="539">
        <v>-99</v>
      </c>
      <c r="S69" s="539">
        <v>-99</v>
      </c>
      <c r="T69" s="539">
        <v>-99</v>
      </c>
      <c r="U69" s="539">
        <v>-99</v>
      </c>
      <c r="V69" s="539">
        <v>-99</v>
      </c>
      <c r="W69" s="539">
        <v>-99</v>
      </c>
      <c r="X69" s="539">
        <v>-99</v>
      </c>
      <c r="Y69" s="539">
        <v>-99</v>
      </c>
      <c r="Z69" s="539">
        <v>-99</v>
      </c>
      <c r="AA69" s="539">
        <v>-99</v>
      </c>
      <c r="AB69" s="539">
        <v>-99</v>
      </c>
      <c r="AC69" s="539">
        <v>-99</v>
      </c>
      <c r="AD69" s="539">
        <v>-99</v>
      </c>
      <c r="AE69" s="539">
        <v>-99</v>
      </c>
      <c r="AF69" s="539">
        <v>-99</v>
      </c>
      <c r="AG69" s="539">
        <v>-99</v>
      </c>
      <c r="AH69" s="540">
        <v>-99</v>
      </c>
      <c r="AI69" s="539">
        <v>-99</v>
      </c>
      <c r="AJ69" s="540">
        <v>-99</v>
      </c>
      <c r="AK69" s="539">
        <v>-99</v>
      </c>
      <c r="AL69" s="539">
        <v>-99</v>
      </c>
      <c r="AM69" s="540">
        <v>-99</v>
      </c>
      <c r="AN69" s="539">
        <v>-99</v>
      </c>
      <c r="AO69" s="540">
        <v>-99</v>
      </c>
      <c r="AP69" s="541">
        <v>-99</v>
      </c>
      <c r="AQ69" s="539">
        <v>-99</v>
      </c>
      <c r="AR69" s="540">
        <v>-99</v>
      </c>
      <c r="AS69" s="539">
        <v>-99</v>
      </c>
      <c r="AT69" s="540">
        <v>-99</v>
      </c>
      <c r="AU69" s="539">
        <v>-99</v>
      </c>
      <c r="AV69" s="540">
        <v>-99</v>
      </c>
      <c r="AW69" s="540">
        <v>-99</v>
      </c>
      <c r="AX69" s="540">
        <v>-99</v>
      </c>
      <c r="AY69" s="540">
        <v>-99</v>
      </c>
      <c r="AZ69" s="539">
        <v>-99</v>
      </c>
      <c r="BA69" s="539">
        <v>-99</v>
      </c>
      <c r="BB69" s="540">
        <v>-99</v>
      </c>
      <c r="BC69" s="539">
        <v>-99</v>
      </c>
      <c r="BD69" s="540">
        <v>-99</v>
      </c>
      <c r="BE69" s="541">
        <v>-99</v>
      </c>
      <c r="BF69" s="612"/>
      <c r="BG69" s="612"/>
      <c r="BH69" s="612">
        <v>-99</v>
      </c>
      <c r="BI69" s="576"/>
      <c r="BJ69" s="576"/>
      <c r="BK69" s="576"/>
      <c r="BL69" s="576"/>
      <c r="BM69" s="545">
        <v>-99</v>
      </c>
      <c r="BN69" s="545">
        <v>-99</v>
      </c>
      <c r="BO69" s="576"/>
      <c r="BP69" s="576"/>
      <c r="BQ69" s="576"/>
      <c r="BR69" s="570"/>
      <c r="BS69" s="547" t="s">
        <v>188</v>
      </c>
      <c r="BT69" s="549" t="s">
        <v>188</v>
      </c>
      <c r="BU69" s="549" t="s">
        <v>188</v>
      </c>
      <c r="BV69" s="549" t="s">
        <v>188</v>
      </c>
      <c r="BW69" s="549" t="s">
        <v>188</v>
      </c>
      <c r="BX69" s="549" t="s">
        <v>188</v>
      </c>
      <c r="BY69" s="549" t="s">
        <v>188</v>
      </c>
      <c r="BZ69" s="549" t="s">
        <v>188</v>
      </c>
      <c r="CA69" s="549" t="s">
        <v>188</v>
      </c>
      <c r="CB69" s="549" t="s">
        <v>188</v>
      </c>
      <c r="CC69" s="549" t="s">
        <v>188</v>
      </c>
      <c r="CD69" s="662"/>
      <c r="CE69" s="661" t="s">
        <v>188</v>
      </c>
      <c r="CF69" s="662" t="s">
        <v>188</v>
      </c>
      <c r="CG69" s="662" t="s">
        <v>188</v>
      </c>
      <c r="CH69" s="662" t="s">
        <v>188</v>
      </c>
      <c r="CI69" s="662" t="s">
        <v>188</v>
      </c>
      <c r="CJ69" s="662" t="s">
        <v>188</v>
      </c>
      <c r="CK69" s="662" t="s">
        <v>188</v>
      </c>
      <c r="CL69" s="662" t="s">
        <v>188</v>
      </c>
      <c r="CM69" s="662" t="s">
        <v>188</v>
      </c>
      <c r="CN69" s="662" t="s">
        <v>188</v>
      </c>
      <c r="CO69" s="616"/>
      <c r="CP69" s="616"/>
      <c r="CQ69" s="616"/>
      <c r="CR69" s="616"/>
      <c r="CS69" s="616"/>
      <c r="CT69" s="616"/>
      <c r="CU69" s="616"/>
      <c r="CV69" s="616"/>
      <c r="CW69" s="616"/>
      <c r="CX69" s="616"/>
      <c r="CY69" s="616"/>
      <c r="CZ69" s="616"/>
      <c r="DA69" s="616"/>
      <c r="DB69" s="616"/>
      <c r="DC69" s="640"/>
      <c r="DD69" s="640"/>
      <c r="DE69" s="640"/>
      <c r="DF69" s="640"/>
      <c r="DG69" s="640"/>
      <c r="DH69" s="640"/>
      <c r="DI69" s="576"/>
      <c r="DJ69" s="576"/>
      <c r="DK69" s="576"/>
      <c r="DL69" s="576"/>
      <c r="DM69" s="576"/>
      <c r="DN69" s="576"/>
      <c r="DO69" s="576"/>
      <c r="DP69" s="576"/>
      <c r="DQ69" s="576"/>
      <c r="DR69" s="576"/>
      <c r="DS69" s="576"/>
      <c r="DT69" s="576"/>
      <c r="DU69" s="576"/>
      <c r="DV69" s="576"/>
      <c r="DW69" s="576"/>
      <c r="DX69" s="577"/>
      <c r="DY69" s="577"/>
      <c r="DZ69" s="577"/>
      <c r="EA69" s="577"/>
      <c r="EB69" s="577"/>
      <c r="EC69" s="577"/>
      <c r="ED69" s="577"/>
      <c r="EE69" s="577"/>
      <c r="EF69" s="577"/>
      <c r="EG69" s="577"/>
      <c r="EH69" s="8">
        <v>34</v>
      </c>
    </row>
    <row r="70" spans="1:139" x14ac:dyDescent="0.25">
      <c r="A70" s="16">
        <v>66</v>
      </c>
      <c r="B70" s="19" t="s">
        <v>31</v>
      </c>
      <c r="C70" s="19"/>
      <c r="D70" s="19" t="s">
        <v>77</v>
      </c>
      <c r="E70" s="19" t="s">
        <v>75</v>
      </c>
      <c r="F70" s="19" t="s">
        <v>8</v>
      </c>
      <c r="G70" s="19" t="s">
        <v>837</v>
      </c>
      <c r="H70" s="539">
        <v>-99</v>
      </c>
      <c r="I70" s="539">
        <v>5.4521266888862913E-2</v>
      </c>
      <c r="J70" s="539">
        <v>-99</v>
      </c>
      <c r="K70" s="539">
        <v>7.1832805136575473E-2</v>
      </c>
      <c r="L70" s="539">
        <v>-99</v>
      </c>
      <c r="M70" s="539">
        <v>-99</v>
      </c>
      <c r="N70" s="539">
        <v>5.8885824838847252E-2</v>
      </c>
      <c r="O70" s="539">
        <v>-99</v>
      </c>
      <c r="P70" s="539">
        <v>7.6371345257020759E-2</v>
      </c>
      <c r="Q70" s="539">
        <v>-99</v>
      </c>
      <c r="R70" s="539">
        <v>-99</v>
      </c>
      <c r="S70" s="539">
        <v>4.7942917429509346E-2</v>
      </c>
      <c r="T70" s="539">
        <v>-99</v>
      </c>
      <c r="U70" s="539">
        <v>6.9698253460505219E-2</v>
      </c>
      <c r="V70" s="539">
        <v>-99</v>
      </c>
      <c r="W70" s="539">
        <v>-99</v>
      </c>
      <c r="X70" s="539">
        <v>-99</v>
      </c>
      <c r="Y70" s="539">
        <v>-99</v>
      </c>
      <c r="Z70" s="539">
        <v>-99</v>
      </c>
      <c r="AA70" s="539">
        <v>-99</v>
      </c>
      <c r="AB70" s="539">
        <v>-99</v>
      </c>
      <c r="AC70" s="539">
        <v>6.1103073259833204E-2</v>
      </c>
      <c r="AD70" s="539">
        <v>-99</v>
      </c>
      <c r="AE70" s="539">
        <v>6.2320742200456559E-2</v>
      </c>
      <c r="AF70" s="539">
        <v>-99</v>
      </c>
      <c r="AG70" s="539">
        <v>-99</v>
      </c>
      <c r="AH70" s="540">
        <v>6.6804335947603863E-2</v>
      </c>
      <c r="AI70" s="539">
        <v>-99</v>
      </c>
      <c r="AJ70" s="540">
        <v>8.8005503055022055E-2</v>
      </c>
      <c r="AK70" s="539">
        <v>-99</v>
      </c>
      <c r="AL70" s="539">
        <v>-99</v>
      </c>
      <c r="AM70" s="540">
        <v>7.2153477777822217E-2</v>
      </c>
      <c r="AN70" s="539">
        <v>-99</v>
      </c>
      <c r="AO70" s="540">
        <v>9.552595217908362E-2</v>
      </c>
      <c r="AP70" s="541">
        <v>-99</v>
      </c>
      <c r="AQ70" s="539">
        <v>-99</v>
      </c>
      <c r="AR70" s="540">
        <v>6.0187041047916494E-2</v>
      </c>
      <c r="AS70" s="539">
        <v>-99</v>
      </c>
      <c r="AT70" s="540">
        <v>8.3828954784683746E-2</v>
      </c>
      <c r="AU70" s="539">
        <v>-99</v>
      </c>
      <c r="AV70" s="540">
        <v>-99</v>
      </c>
      <c r="AW70" s="540">
        <v>-99</v>
      </c>
      <c r="AX70" s="540">
        <v>-99</v>
      </c>
      <c r="AY70" s="540">
        <v>-99</v>
      </c>
      <c r="AZ70" s="539">
        <v>-99</v>
      </c>
      <c r="BA70" s="539">
        <v>-99</v>
      </c>
      <c r="BB70" s="540">
        <v>7.0000722566421494E-2</v>
      </c>
      <c r="BC70" s="539">
        <v>-99</v>
      </c>
      <c r="BD70" s="540">
        <v>7.4516776253747752E-2</v>
      </c>
      <c r="BE70" s="541">
        <v>-99</v>
      </c>
      <c r="BF70" s="542"/>
      <c r="BG70" s="541"/>
      <c r="BH70" s="542">
        <v>0.31</v>
      </c>
      <c r="BI70" s="576"/>
      <c r="BJ70" s="576"/>
      <c r="BK70" s="576"/>
      <c r="BL70" s="576"/>
      <c r="BM70" s="545">
        <v>225</v>
      </c>
      <c r="BN70" s="545">
        <v>0</v>
      </c>
      <c r="BO70" s="576"/>
      <c r="BP70" s="576"/>
      <c r="BQ70" s="576"/>
      <c r="BR70" s="570"/>
      <c r="BS70" s="547" t="s">
        <v>188</v>
      </c>
      <c r="BT70" s="549" t="s">
        <v>188</v>
      </c>
      <c r="BU70" s="549" t="s">
        <v>188</v>
      </c>
      <c r="BV70" s="549" t="s">
        <v>188</v>
      </c>
      <c r="BW70" s="549" t="s">
        <v>188</v>
      </c>
      <c r="BX70" s="549" t="s">
        <v>188</v>
      </c>
      <c r="BY70" s="549" t="s">
        <v>188</v>
      </c>
      <c r="BZ70" s="549" t="s">
        <v>188</v>
      </c>
      <c r="CA70" s="549" t="s">
        <v>188</v>
      </c>
      <c r="CB70" s="549" t="s">
        <v>188</v>
      </c>
      <c r="CC70" s="549" t="s">
        <v>188</v>
      </c>
      <c r="CD70" s="662"/>
      <c r="CE70" s="661" t="s">
        <v>188</v>
      </c>
      <c r="CF70" s="662" t="s">
        <v>188</v>
      </c>
      <c r="CG70" s="662" t="s">
        <v>188</v>
      </c>
      <c r="CH70" s="662" t="s">
        <v>188</v>
      </c>
      <c r="CI70" s="662" t="s">
        <v>188</v>
      </c>
      <c r="CJ70" s="662" t="s">
        <v>188</v>
      </c>
      <c r="CK70" s="662" t="s">
        <v>188</v>
      </c>
      <c r="CL70" s="662" t="s">
        <v>188</v>
      </c>
      <c r="CM70" s="662" t="s">
        <v>188</v>
      </c>
      <c r="CN70" s="662" t="s">
        <v>188</v>
      </c>
      <c r="CO70" s="616"/>
      <c r="CP70" s="616"/>
      <c r="CQ70" s="616"/>
      <c r="CR70" s="616"/>
      <c r="CS70" s="616"/>
      <c r="CT70" s="616"/>
      <c r="CU70" s="616"/>
      <c r="CV70" s="616"/>
      <c r="CW70" s="616"/>
      <c r="CX70" s="616"/>
      <c r="CY70" s="616"/>
      <c r="CZ70" s="616"/>
      <c r="DA70" s="616"/>
      <c r="DB70" s="616"/>
      <c r="DC70" s="640"/>
      <c r="DD70" s="640"/>
      <c r="DE70" s="640"/>
      <c r="DF70" s="640"/>
      <c r="DG70" s="640"/>
      <c r="DH70" s="640"/>
      <c r="DI70" s="576"/>
      <c r="DJ70" s="576"/>
      <c r="DK70" s="576"/>
      <c r="DL70" s="576"/>
      <c r="DM70" s="576"/>
      <c r="DN70" s="576"/>
      <c r="DO70" s="576"/>
      <c r="DP70" s="576"/>
      <c r="DQ70" s="576"/>
      <c r="DR70" s="576"/>
      <c r="DS70" s="576"/>
      <c r="DT70" s="576"/>
      <c r="DU70" s="576"/>
      <c r="DV70" s="576"/>
      <c r="DW70" s="576"/>
      <c r="DX70" s="577"/>
      <c r="DY70" s="577"/>
      <c r="DZ70" s="577"/>
      <c r="EA70" s="577"/>
      <c r="EB70" s="577"/>
      <c r="EC70" s="577"/>
      <c r="ED70" s="577"/>
      <c r="EE70" s="577"/>
      <c r="EF70" s="577"/>
      <c r="EG70" s="577"/>
      <c r="EH70" s="8">
        <v>137</v>
      </c>
    </row>
    <row r="71" spans="1:139" x14ac:dyDescent="0.25">
      <c r="A71" s="16">
        <v>67</v>
      </c>
      <c r="B71" s="19" t="s">
        <v>690</v>
      </c>
      <c r="C71" s="19"/>
      <c r="D71" s="19" t="s">
        <v>77</v>
      </c>
      <c r="E71" s="19" t="s">
        <v>75</v>
      </c>
      <c r="F71" s="19" t="s">
        <v>8</v>
      </c>
      <c r="G71" s="19" t="s">
        <v>837</v>
      </c>
      <c r="H71" s="539">
        <v>-99</v>
      </c>
      <c r="I71" s="539">
        <v>5.9898197375220903E-2</v>
      </c>
      <c r="J71" s="539">
        <v>-99</v>
      </c>
      <c r="K71" s="539">
        <v>7.9451480391947105E-2</v>
      </c>
      <c r="L71" s="539">
        <v>-99</v>
      </c>
      <c r="M71" s="539">
        <v>-99</v>
      </c>
      <c r="N71" s="539">
        <v>7.152469801281601E-2</v>
      </c>
      <c r="O71" s="539">
        <v>-99</v>
      </c>
      <c r="P71" s="539">
        <v>8.5243457169492109E-2</v>
      </c>
      <c r="Q71" s="539">
        <v>-99</v>
      </c>
      <c r="R71" s="539">
        <v>-99</v>
      </c>
      <c r="S71" s="539">
        <v>5.7605855043401023E-2</v>
      </c>
      <c r="T71" s="539">
        <v>-99</v>
      </c>
      <c r="U71" s="539">
        <v>8.1367146298497783E-2</v>
      </c>
      <c r="V71" s="539">
        <v>-99</v>
      </c>
      <c r="W71" s="539">
        <v>-99</v>
      </c>
      <c r="X71" s="539">
        <v>-99</v>
      </c>
      <c r="Y71" s="539">
        <v>-99</v>
      </c>
      <c r="Z71" s="539">
        <v>-99</v>
      </c>
      <c r="AA71" s="539">
        <v>-99</v>
      </c>
      <c r="AB71" s="539">
        <v>-99</v>
      </c>
      <c r="AC71" s="539">
        <v>2.6097228792063203E-2</v>
      </c>
      <c r="AD71" s="539">
        <v>-99</v>
      </c>
      <c r="AE71" s="539">
        <v>5.0823041252869752E-2</v>
      </c>
      <c r="AF71" s="539">
        <v>-99</v>
      </c>
      <c r="AG71" s="539">
        <v>-99</v>
      </c>
      <c r="AH71" s="540">
        <v>6.9779706229129435E-2</v>
      </c>
      <c r="AI71" s="539">
        <v>-99</v>
      </c>
      <c r="AJ71" s="540">
        <v>9.4017850539612605E-2</v>
      </c>
      <c r="AK71" s="539">
        <v>-99</v>
      </c>
      <c r="AL71" s="539">
        <v>-99</v>
      </c>
      <c r="AM71" s="540">
        <v>8.2287817409695541E-2</v>
      </c>
      <c r="AN71" s="539">
        <v>-99</v>
      </c>
      <c r="AO71" s="540">
        <v>0.10298786382626109</v>
      </c>
      <c r="AP71" s="541">
        <v>-99</v>
      </c>
      <c r="AQ71" s="539">
        <v>-99</v>
      </c>
      <c r="AR71" s="540">
        <v>6.8706465292768373E-2</v>
      </c>
      <c r="AS71" s="539">
        <v>-99</v>
      </c>
      <c r="AT71" s="540">
        <v>9.4882968933463291E-2</v>
      </c>
      <c r="AU71" s="539">
        <v>-99</v>
      </c>
      <c r="AV71" s="540">
        <v>-99</v>
      </c>
      <c r="AW71" s="540">
        <v>-99</v>
      </c>
      <c r="AX71" s="540">
        <v>-99</v>
      </c>
      <c r="AY71" s="540">
        <v>-99</v>
      </c>
      <c r="AZ71" s="539">
        <v>-99</v>
      </c>
      <c r="BA71" s="539">
        <v>-99</v>
      </c>
      <c r="BB71" s="540">
        <v>2.8721150929715351E-2</v>
      </c>
      <c r="BC71" s="539">
        <v>-99</v>
      </c>
      <c r="BD71" s="540">
        <v>5.7150313152400836E-2</v>
      </c>
      <c r="BE71" s="541">
        <v>-99</v>
      </c>
      <c r="BF71" s="612"/>
      <c r="BG71" s="541"/>
      <c r="BH71" s="612">
        <v>-99</v>
      </c>
      <c r="BI71" s="576"/>
      <c r="BJ71" s="576"/>
      <c r="BK71" s="576"/>
      <c r="BL71" s="576"/>
      <c r="BM71" s="545">
        <v>-99</v>
      </c>
      <c r="BN71" s="545">
        <v>-99</v>
      </c>
      <c r="BO71" s="576"/>
      <c r="BP71" s="576"/>
      <c r="BQ71" s="576"/>
      <c r="BR71" s="570"/>
      <c r="BS71" s="547" t="s">
        <v>188</v>
      </c>
      <c r="BT71" s="549" t="s">
        <v>188</v>
      </c>
      <c r="BU71" s="549" t="s">
        <v>188</v>
      </c>
      <c r="BV71" s="549" t="s">
        <v>188</v>
      </c>
      <c r="BW71" s="549" t="s">
        <v>188</v>
      </c>
      <c r="BX71" s="549" t="s">
        <v>188</v>
      </c>
      <c r="BY71" s="549" t="s">
        <v>188</v>
      </c>
      <c r="BZ71" s="549" t="s">
        <v>188</v>
      </c>
      <c r="CA71" s="549" t="s">
        <v>188</v>
      </c>
      <c r="CB71" s="549" t="s">
        <v>188</v>
      </c>
      <c r="CC71" s="549" t="s">
        <v>188</v>
      </c>
      <c r="CD71" s="662"/>
      <c r="CE71" s="661" t="s">
        <v>188</v>
      </c>
      <c r="CF71" s="662" t="s">
        <v>188</v>
      </c>
      <c r="CG71" s="662" t="s">
        <v>188</v>
      </c>
      <c r="CH71" s="662" t="s">
        <v>188</v>
      </c>
      <c r="CI71" s="662" t="s">
        <v>188</v>
      </c>
      <c r="CJ71" s="662" t="s">
        <v>188</v>
      </c>
      <c r="CK71" s="662" t="s">
        <v>188</v>
      </c>
      <c r="CL71" s="662" t="s">
        <v>188</v>
      </c>
      <c r="CM71" s="662" t="s">
        <v>188</v>
      </c>
      <c r="CN71" s="662" t="s">
        <v>188</v>
      </c>
      <c r="CO71" s="616"/>
      <c r="CP71" s="616"/>
      <c r="CQ71" s="616"/>
      <c r="CR71" s="616"/>
      <c r="CS71" s="616"/>
      <c r="CT71" s="616"/>
      <c r="CU71" s="616"/>
      <c r="CV71" s="616"/>
      <c r="CW71" s="616"/>
      <c r="CX71" s="616"/>
      <c r="CY71" s="616"/>
      <c r="CZ71" s="616"/>
      <c r="DA71" s="616"/>
      <c r="DB71" s="616"/>
      <c r="DC71" s="640"/>
      <c r="DD71" s="640"/>
      <c r="DE71" s="640"/>
      <c r="DF71" s="640"/>
      <c r="DG71" s="640"/>
      <c r="DH71" s="640"/>
      <c r="DI71" s="576"/>
      <c r="DJ71" s="576"/>
      <c r="DK71" s="576"/>
      <c r="DL71" s="576"/>
      <c r="DM71" s="576"/>
      <c r="DN71" s="576"/>
      <c r="DO71" s="576"/>
      <c r="DP71" s="576"/>
      <c r="DQ71" s="576"/>
      <c r="DR71" s="576"/>
      <c r="DS71" s="576"/>
      <c r="DT71" s="576"/>
      <c r="DU71" s="576"/>
      <c r="DV71" s="576"/>
      <c r="DW71" s="576"/>
      <c r="DX71" s="577"/>
      <c r="DY71" s="577"/>
      <c r="DZ71" s="577"/>
      <c r="EA71" s="577"/>
      <c r="EB71" s="577"/>
      <c r="EC71" s="577"/>
      <c r="ED71" s="577"/>
      <c r="EE71" s="577"/>
      <c r="EF71" s="577"/>
      <c r="EG71" s="577"/>
      <c r="EH71" s="8">
        <v>134</v>
      </c>
    </row>
    <row r="72" spans="1:139" x14ac:dyDescent="0.25">
      <c r="A72" s="16">
        <v>68</v>
      </c>
      <c r="B72" s="19" t="s">
        <v>18</v>
      </c>
      <c r="C72" s="19"/>
      <c r="D72" s="19" t="s">
        <v>77</v>
      </c>
      <c r="E72" s="19" t="s">
        <v>74</v>
      </c>
      <c r="F72" s="19" t="s">
        <v>8</v>
      </c>
      <c r="G72" s="19" t="s">
        <v>6</v>
      </c>
      <c r="H72" s="539">
        <v>7.5239999999999994E-3</v>
      </c>
      <c r="I72" s="539">
        <v>8.1721377068936611E-3</v>
      </c>
      <c r="J72" s="539">
        <v>5.9820000000000003E-3</v>
      </c>
      <c r="K72" s="539">
        <v>1.1238458891811822E-2</v>
      </c>
      <c r="L72" s="539">
        <v>1.473E-2</v>
      </c>
      <c r="M72" s="539">
        <v>8.8660000000000006E-3</v>
      </c>
      <c r="N72" s="539">
        <v>1.6E-2</v>
      </c>
      <c r="O72" s="539">
        <v>4.9950000000000003E-3</v>
      </c>
      <c r="P72" s="539">
        <v>0.02</v>
      </c>
      <c r="Q72" s="539">
        <v>2.4725E-2</v>
      </c>
      <c r="R72" s="539">
        <v>-99</v>
      </c>
      <c r="S72" s="539">
        <v>-99</v>
      </c>
      <c r="T72" s="539">
        <v>-99</v>
      </c>
      <c r="U72" s="539">
        <v>-99</v>
      </c>
      <c r="V72" s="539">
        <v>-99</v>
      </c>
      <c r="W72" s="539">
        <v>-99</v>
      </c>
      <c r="X72" s="539">
        <v>7.0000000000000001E-3</v>
      </c>
      <c r="Y72" s="539">
        <v>-99</v>
      </c>
      <c r="Z72" s="539">
        <v>1.0999999999999999E-2</v>
      </c>
      <c r="AA72" s="539">
        <v>0</v>
      </c>
      <c r="AB72" s="539">
        <v>1.4433000000000001E-2</v>
      </c>
      <c r="AC72" s="539">
        <v>9.0000000000000011E-3</v>
      </c>
      <c r="AD72" s="539">
        <v>0</v>
      </c>
      <c r="AE72" s="539">
        <v>1.6E-2</v>
      </c>
      <c r="AF72" s="539">
        <v>1.7513999999999998E-2</v>
      </c>
      <c r="AG72" s="539">
        <v>-99</v>
      </c>
      <c r="AH72" s="540">
        <v>-99</v>
      </c>
      <c r="AI72" s="539">
        <v>-99</v>
      </c>
      <c r="AJ72" s="540">
        <v>-99</v>
      </c>
      <c r="AK72" s="539">
        <v>-99</v>
      </c>
      <c r="AL72" s="539">
        <v>-99</v>
      </c>
      <c r="AM72" s="540">
        <v>-99</v>
      </c>
      <c r="AN72" s="539">
        <v>-99</v>
      </c>
      <c r="AO72" s="540">
        <v>-99</v>
      </c>
      <c r="AP72" s="541">
        <v>-99</v>
      </c>
      <c r="AQ72" s="539">
        <v>-99</v>
      </c>
      <c r="AR72" s="540">
        <v>-99</v>
      </c>
      <c r="AS72" s="539">
        <v>-99</v>
      </c>
      <c r="AT72" s="540">
        <v>-99</v>
      </c>
      <c r="AU72" s="539">
        <v>-99</v>
      </c>
      <c r="AV72" s="540">
        <v>-99</v>
      </c>
      <c r="AW72" s="540">
        <v>-99</v>
      </c>
      <c r="AX72" s="540">
        <v>-99</v>
      </c>
      <c r="AY72" s="540">
        <v>-99</v>
      </c>
      <c r="AZ72" s="539">
        <v>-99</v>
      </c>
      <c r="BA72" s="539">
        <v>-99</v>
      </c>
      <c r="BB72" s="540">
        <v>-99</v>
      </c>
      <c r="BC72" s="539">
        <v>-99</v>
      </c>
      <c r="BD72" s="540">
        <v>-99</v>
      </c>
      <c r="BE72" s="541">
        <v>-99</v>
      </c>
      <c r="BF72" s="542"/>
      <c r="BG72" s="541"/>
      <c r="BH72" s="542">
        <v>0.57999999999999996</v>
      </c>
      <c r="BI72" s="576"/>
      <c r="BJ72" s="576"/>
      <c r="BK72" s="576"/>
      <c r="BL72" s="576"/>
      <c r="BM72" s="545">
        <v>13</v>
      </c>
      <c r="BN72" s="545">
        <v>60</v>
      </c>
      <c r="BO72" s="576"/>
      <c r="BP72" s="576"/>
      <c r="BQ72" s="576"/>
      <c r="BR72" s="640"/>
      <c r="BS72" s="547" t="s">
        <v>188</v>
      </c>
      <c r="BT72" s="549" t="s">
        <v>188</v>
      </c>
      <c r="BU72" s="549" t="s">
        <v>188</v>
      </c>
      <c r="BV72" s="549" t="s">
        <v>188</v>
      </c>
      <c r="BW72" s="549" t="s">
        <v>188</v>
      </c>
      <c r="BX72" s="549" t="s">
        <v>188</v>
      </c>
      <c r="BY72" s="549" t="s">
        <v>188</v>
      </c>
      <c r="BZ72" s="549" t="s">
        <v>188</v>
      </c>
      <c r="CA72" s="549" t="s">
        <v>188</v>
      </c>
      <c r="CB72" s="549" t="s">
        <v>188</v>
      </c>
      <c r="CC72" s="549" t="s">
        <v>188</v>
      </c>
      <c r="CD72" s="662"/>
      <c r="CE72" s="661" t="s">
        <v>188</v>
      </c>
      <c r="CF72" s="662" t="s">
        <v>188</v>
      </c>
      <c r="CG72" s="662" t="s">
        <v>188</v>
      </c>
      <c r="CH72" s="662" t="s">
        <v>188</v>
      </c>
      <c r="CI72" s="662" t="s">
        <v>188</v>
      </c>
      <c r="CJ72" s="662" t="s">
        <v>188</v>
      </c>
      <c r="CK72" s="662" t="s">
        <v>188</v>
      </c>
      <c r="CL72" s="662" t="s">
        <v>188</v>
      </c>
      <c r="CM72" s="662" t="s">
        <v>188</v>
      </c>
      <c r="CN72" s="662" t="s">
        <v>188</v>
      </c>
      <c r="CO72" s="640"/>
      <c r="CP72" s="640"/>
      <c r="CQ72" s="640"/>
      <c r="CR72" s="640"/>
      <c r="CS72" s="640"/>
      <c r="CT72" s="640"/>
      <c r="CU72" s="640"/>
      <c r="CV72" s="640"/>
      <c r="CW72" s="640"/>
      <c r="CX72" s="640"/>
      <c r="CY72" s="640"/>
      <c r="CZ72" s="640"/>
      <c r="DA72" s="640"/>
      <c r="DB72" s="640"/>
      <c r="DC72" s="640"/>
      <c r="DD72" s="640"/>
      <c r="DE72" s="640"/>
      <c r="DF72" s="640"/>
      <c r="DG72" s="640"/>
      <c r="DH72" s="640"/>
      <c r="DI72" s="576"/>
      <c r="DJ72" s="576"/>
      <c r="DK72" s="576"/>
      <c r="DL72" s="576"/>
      <c r="DM72" s="576"/>
      <c r="DN72" s="576"/>
      <c r="DO72" s="576"/>
      <c r="DP72" s="576"/>
      <c r="DQ72" s="576"/>
      <c r="DR72" s="576"/>
      <c r="DS72" s="576"/>
      <c r="DT72" s="576"/>
      <c r="DU72" s="576"/>
      <c r="DV72" s="576"/>
      <c r="DW72" s="576"/>
      <c r="DX72" s="577"/>
      <c r="DY72" s="577"/>
      <c r="DZ72" s="577"/>
      <c r="EA72" s="577"/>
      <c r="EB72" s="577"/>
      <c r="EC72" s="577"/>
      <c r="ED72" s="577"/>
      <c r="EE72" s="577"/>
      <c r="EF72" s="577"/>
      <c r="EG72" s="577"/>
      <c r="EH72" s="8">
        <v>128</v>
      </c>
    </row>
    <row r="73" spans="1:139" x14ac:dyDescent="0.25">
      <c r="A73" s="16">
        <v>69</v>
      </c>
      <c r="B73" s="19" t="s">
        <v>692</v>
      </c>
      <c r="C73" s="19"/>
      <c r="D73" s="19" t="s">
        <v>77</v>
      </c>
      <c r="E73" s="19" t="s">
        <v>74</v>
      </c>
      <c r="F73" s="19" t="s">
        <v>8</v>
      </c>
      <c r="G73" s="19" t="s">
        <v>837</v>
      </c>
      <c r="H73" s="539">
        <v>-99</v>
      </c>
      <c r="I73" s="539">
        <v>0.54472503026679209</v>
      </c>
      <c r="J73" s="539">
        <v>-99</v>
      </c>
      <c r="K73" s="539">
        <v>0.56739042252992744</v>
      </c>
      <c r="L73" s="539">
        <v>-99</v>
      </c>
      <c r="M73" s="539">
        <v>-99</v>
      </c>
      <c r="N73" s="539">
        <v>0.50440604541281286</v>
      </c>
      <c r="O73" s="539">
        <v>-99</v>
      </c>
      <c r="P73" s="539">
        <v>0.52295049527598014</v>
      </c>
      <c r="Q73" s="539">
        <v>-99</v>
      </c>
      <c r="R73" s="539">
        <v>-99</v>
      </c>
      <c r="S73" s="539">
        <v>0.58628442735276687</v>
      </c>
      <c r="T73" s="539">
        <v>-99</v>
      </c>
      <c r="U73" s="539">
        <v>0.60716275007623033</v>
      </c>
      <c r="V73" s="539">
        <v>-99</v>
      </c>
      <c r="W73" s="539">
        <v>-99</v>
      </c>
      <c r="X73" s="539">
        <v>-99</v>
      </c>
      <c r="Y73" s="539">
        <v>-99</v>
      </c>
      <c r="Z73" s="539">
        <v>-99</v>
      </c>
      <c r="AA73" s="539">
        <v>-99</v>
      </c>
      <c r="AB73" s="539">
        <v>-99</v>
      </c>
      <c r="AC73" s="539">
        <v>0.54866728728856562</v>
      </c>
      <c r="AD73" s="539">
        <v>-99</v>
      </c>
      <c r="AE73" s="539">
        <v>0.59346119576740219</v>
      </c>
      <c r="AF73" s="539">
        <v>-99</v>
      </c>
      <c r="AG73" s="539">
        <v>-99</v>
      </c>
      <c r="AH73" s="540">
        <v>1.032643385886048</v>
      </c>
      <c r="AI73" s="539">
        <v>-99</v>
      </c>
      <c r="AJ73" s="540">
        <v>1.1281365978062037</v>
      </c>
      <c r="AK73" s="539">
        <v>-99</v>
      </c>
      <c r="AL73" s="539">
        <v>-99</v>
      </c>
      <c r="AM73" s="540">
        <v>0.94802181369441396</v>
      </c>
      <c r="AN73" s="539">
        <v>-99</v>
      </c>
      <c r="AO73" s="540">
        <v>1.0361555889266549</v>
      </c>
      <c r="AP73" s="541">
        <v>-99</v>
      </c>
      <c r="AQ73" s="539">
        <v>-99</v>
      </c>
      <c r="AR73" s="540">
        <v>1.1269184198973452</v>
      </c>
      <c r="AS73" s="539">
        <v>-99</v>
      </c>
      <c r="AT73" s="540">
        <v>1.2271145894070776</v>
      </c>
      <c r="AU73" s="539">
        <v>-99</v>
      </c>
      <c r="AV73" s="540">
        <v>-99</v>
      </c>
      <c r="AW73" s="540">
        <v>-99</v>
      </c>
      <c r="AX73" s="540">
        <v>-99</v>
      </c>
      <c r="AY73" s="540">
        <v>-99</v>
      </c>
      <c r="AZ73" s="539">
        <v>-99</v>
      </c>
      <c r="BA73" s="539">
        <v>-99</v>
      </c>
      <c r="BB73" s="540">
        <v>1.0171567227130811</v>
      </c>
      <c r="BC73" s="539">
        <v>-99</v>
      </c>
      <c r="BD73" s="540">
        <v>1.1228960581169232</v>
      </c>
      <c r="BE73" s="541">
        <v>-99</v>
      </c>
      <c r="BF73" s="542"/>
      <c r="BG73" s="541"/>
      <c r="BH73" s="542">
        <v>0.27</v>
      </c>
      <c r="BI73" s="576"/>
      <c r="BJ73" s="576"/>
      <c r="BK73" s="576"/>
      <c r="BL73" s="576"/>
      <c r="BM73" s="545">
        <v>165</v>
      </c>
      <c r="BN73" s="545">
        <v>0</v>
      </c>
      <c r="BO73" s="576"/>
      <c r="BP73" s="576"/>
      <c r="BQ73" s="576"/>
      <c r="BR73" s="570"/>
      <c r="BS73" s="547" t="s">
        <v>188</v>
      </c>
      <c r="BT73" s="549" t="s">
        <v>188</v>
      </c>
      <c r="BU73" s="549" t="s">
        <v>188</v>
      </c>
      <c r="BV73" s="549" t="s">
        <v>188</v>
      </c>
      <c r="BW73" s="549" t="s">
        <v>188</v>
      </c>
      <c r="BX73" s="549" t="s">
        <v>188</v>
      </c>
      <c r="BY73" s="549" t="s">
        <v>188</v>
      </c>
      <c r="BZ73" s="549" t="s">
        <v>188</v>
      </c>
      <c r="CA73" s="549" t="s">
        <v>188</v>
      </c>
      <c r="CB73" s="549" t="s">
        <v>188</v>
      </c>
      <c r="CC73" s="549" t="s">
        <v>188</v>
      </c>
      <c r="CD73" s="662"/>
      <c r="CE73" s="661" t="s">
        <v>188</v>
      </c>
      <c r="CF73" s="662" t="s">
        <v>188</v>
      </c>
      <c r="CG73" s="662" t="s">
        <v>188</v>
      </c>
      <c r="CH73" s="662" t="s">
        <v>188</v>
      </c>
      <c r="CI73" s="662" t="s">
        <v>188</v>
      </c>
      <c r="CJ73" s="662" t="s">
        <v>188</v>
      </c>
      <c r="CK73" s="662" t="s">
        <v>188</v>
      </c>
      <c r="CL73" s="662" t="s">
        <v>188</v>
      </c>
      <c r="CM73" s="662" t="s">
        <v>188</v>
      </c>
      <c r="CN73" s="662" t="s">
        <v>188</v>
      </c>
      <c r="CO73" s="616"/>
      <c r="CP73" s="616"/>
      <c r="CQ73" s="616"/>
      <c r="CR73" s="616"/>
      <c r="CS73" s="616"/>
      <c r="CT73" s="616"/>
      <c r="CU73" s="616"/>
      <c r="CV73" s="616"/>
      <c r="CW73" s="616"/>
      <c r="CX73" s="616"/>
      <c r="CY73" s="616"/>
      <c r="CZ73" s="616"/>
      <c r="DA73" s="616"/>
      <c r="DB73" s="616"/>
      <c r="DC73" s="640"/>
      <c r="DD73" s="640"/>
      <c r="DE73" s="640"/>
      <c r="DF73" s="640"/>
      <c r="DG73" s="640"/>
      <c r="DH73" s="640"/>
      <c r="DI73" s="576"/>
      <c r="DJ73" s="576"/>
      <c r="DK73" s="576"/>
      <c r="DL73" s="576"/>
      <c r="DM73" s="576"/>
      <c r="DN73" s="576"/>
      <c r="DO73" s="576"/>
      <c r="DP73" s="576"/>
      <c r="DQ73" s="576"/>
      <c r="DR73" s="576"/>
      <c r="DS73" s="576"/>
      <c r="DT73" s="576"/>
      <c r="DU73" s="576"/>
      <c r="DV73" s="576"/>
      <c r="DW73" s="576"/>
      <c r="DX73" s="577"/>
      <c r="DY73" s="577"/>
      <c r="DZ73" s="577"/>
      <c r="EA73" s="577"/>
      <c r="EB73" s="577"/>
      <c r="EC73" s="577"/>
      <c r="ED73" s="577"/>
      <c r="EE73" s="577"/>
      <c r="EF73" s="577"/>
      <c r="EG73" s="577"/>
      <c r="EH73" s="8">
        <v>126</v>
      </c>
    </row>
    <row r="74" spans="1:139" x14ac:dyDescent="0.25">
      <c r="A74" s="16">
        <v>70</v>
      </c>
      <c r="B74" s="19" t="s">
        <v>28</v>
      </c>
      <c r="C74" s="19"/>
      <c r="D74" s="19" t="s">
        <v>77</v>
      </c>
      <c r="E74" s="19" t="s">
        <v>74</v>
      </c>
      <c r="F74" s="19" t="s">
        <v>8</v>
      </c>
      <c r="G74" s="19" t="s">
        <v>837</v>
      </c>
      <c r="H74" s="539">
        <v>0.29399999999999998</v>
      </c>
      <c r="I74" s="539">
        <v>0.45629088951766317</v>
      </c>
      <c r="J74" s="539">
        <v>-98</v>
      </c>
      <c r="K74" s="539">
        <v>0.5441207733508614</v>
      </c>
      <c r="L74" s="539">
        <v>-99</v>
      </c>
      <c r="M74" s="539">
        <v>0.22800000000000001</v>
      </c>
      <c r="N74" s="539">
        <v>0.41650141493122939</v>
      </c>
      <c r="O74" s="539">
        <v>-98</v>
      </c>
      <c r="P74" s="539">
        <v>0.48469211377787447</v>
      </c>
      <c r="Q74" s="539">
        <v>-99</v>
      </c>
      <c r="R74" s="539">
        <v>0.39500000000000002</v>
      </c>
      <c r="S74" s="539">
        <v>0.52749275050158151</v>
      </c>
      <c r="T74" s="539">
        <v>-98</v>
      </c>
      <c r="U74" s="539">
        <v>0.63351827642644654</v>
      </c>
      <c r="V74" s="539">
        <v>-99</v>
      </c>
      <c r="W74" s="539">
        <v>-99</v>
      </c>
      <c r="X74" s="539">
        <v>-99</v>
      </c>
      <c r="Y74" s="539">
        <v>-99</v>
      </c>
      <c r="Z74" s="539">
        <v>-99</v>
      </c>
      <c r="AA74" s="539">
        <v>-99</v>
      </c>
      <c r="AB74" s="539">
        <v>0.193</v>
      </c>
      <c r="AC74" s="539">
        <v>0.35843855339084729</v>
      </c>
      <c r="AD74" s="539">
        <v>-98</v>
      </c>
      <c r="AE74" s="539">
        <v>0.45029351964236208</v>
      </c>
      <c r="AF74" s="539">
        <v>-99</v>
      </c>
      <c r="AG74" s="539">
        <v>-99</v>
      </c>
      <c r="AH74" s="540">
        <v>0.47891956990484952</v>
      </c>
      <c r="AI74" s="539">
        <v>-99</v>
      </c>
      <c r="AJ74" s="540">
        <v>0.57346727671045294</v>
      </c>
      <c r="AK74" s="539">
        <v>-99</v>
      </c>
      <c r="AL74" s="539">
        <v>-99</v>
      </c>
      <c r="AM74" s="540">
        <v>0.43799825456529973</v>
      </c>
      <c r="AN74" s="539">
        <v>-99</v>
      </c>
      <c r="AO74" s="540">
        <v>0.50481260366130765</v>
      </c>
      <c r="AP74" s="541">
        <v>-99</v>
      </c>
      <c r="AQ74" s="539">
        <v>-99</v>
      </c>
      <c r="AR74" s="540">
        <v>0.55297643264847007</v>
      </c>
      <c r="AS74" s="539">
        <v>-99</v>
      </c>
      <c r="AT74" s="540">
        <v>0.67695691409238923</v>
      </c>
      <c r="AU74" s="539">
        <v>-99</v>
      </c>
      <c r="AV74" s="540">
        <v>-99</v>
      </c>
      <c r="AW74" s="540">
        <v>-99</v>
      </c>
      <c r="AX74" s="540">
        <v>-99</v>
      </c>
      <c r="AY74" s="540">
        <v>-99</v>
      </c>
      <c r="AZ74" s="539">
        <v>-99</v>
      </c>
      <c r="BA74" s="539">
        <v>-99</v>
      </c>
      <c r="BB74" s="540">
        <v>0.37548773151493359</v>
      </c>
      <c r="BC74" s="539">
        <v>-99</v>
      </c>
      <c r="BD74" s="540">
        <v>0.46431466151140871</v>
      </c>
      <c r="BE74" s="541">
        <v>-99</v>
      </c>
      <c r="BF74" s="612"/>
      <c r="BG74" s="541"/>
      <c r="BH74" s="542">
        <v>0.18</v>
      </c>
      <c r="BI74" s="576"/>
      <c r="BJ74" s="576"/>
      <c r="BK74" s="576"/>
      <c r="BL74" s="576"/>
      <c r="BM74" s="545">
        <v>440</v>
      </c>
      <c r="BN74" s="545">
        <v>0</v>
      </c>
      <c r="BO74" s="576"/>
      <c r="BP74" s="576"/>
      <c r="BQ74" s="576"/>
      <c r="BR74" s="570" t="s">
        <v>833</v>
      </c>
      <c r="BS74" s="747">
        <v>204.27114679051616</v>
      </c>
      <c r="BT74" s="747">
        <v>-0.1333469889034449</v>
      </c>
      <c r="BU74" s="747">
        <v>233.67112902778399</v>
      </c>
      <c r="BV74" s="747">
        <v>-0.27513358678615901</v>
      </c>
      <c r="BW74" s="747">
        <v>172.015375731673</v>
      </c>
      <c r="BX74" s="747">
        <v>-0.15228909121978601</v>
      </c>
      <c r="BY74" s="648" t="s">
        <v>188</v>
      </c>
      <c r="BZ74" s="747" t="s">
        <v>188</v>
      </c>
      <c r="CA74" s="747">
        <v>205.45503311206701</v>
      </c>
      <c r="CB74" s="747">
        <v>-0.146038581052854</v>
      </c>
      <c r="CC74" s="597" t="s">
        <v>995</v>
      </c>
      <c r="CD74" s="748"/>
      <c r="CE74" s="748">
        <v>1369086543.5711401</v>
      </c>
      <c r="CF74" s="748">
        <v>0</v>
      </c>
      <c r="CG74" s="748">
        <v>581175698.16863501</v>
      </c>
      <c r="CH74" s="748">
        <v>0</v>
      </c>
      <c r="CI74" s="748">
        <v>620364930.88316905</v>
      </c>
      <c r="CJ74" s="748" t="s">
        <v>188</v>
      </c>
      <c r="CK74" s="748" t="s">
        <v>188</v>
      </c>
      <c r="CL74" s="748">
        <v>0</v>
      </c>
      <c r="CM74" s="748">
        <v>167545914.51933599</v>
      </c>
      <c r="CN74" s="749">
        <v>0</v>
      </c>
      <c r="CO74" s="616"/>
      <c r="CP74" s="616"/>
      <c r="CQ74" s="616"/>
      <c r="CR74" s="616"/>
      <c r="CS74" s="616"/>
      <c r="CT74" s="616"/>
      <c r="CU74" s="616"/>
      <c r="CV74" s="616"/>
      <c r="CW74" s="616"/>
      <c r="CX74" s="616"/>
      <c r="CY74" s="616"/>
      <c r="CZ74" s="616"/>
      <c r="DA74" s="616"/>
      <c r="DB74" s="616"/>
      <c r="DC74" s="640"/>
      <c r="DD74" s="640"/>
      <c r="DE74" s="640"/>
      <c r="DF74" s="640"/>
      <c r="DG74" s="640"/>
      <c r="DH74" s="640"/>
      <c r="DI74" s="576"/>
      <c r="DJ74" s="576"/>
      <c r="DK74" s="576"/>
      <c r="DL74" s="576"/>
      <c r="DM74" s="576"/>
      <c r="DN74" s="576"/>
      <c r="DO74" s="576"/>
      <c r="DP74" s="576"/>
      <c r="DQ74" s="576"/>
      <c r="DR74" s="576"/>
      <c r="DS74" s="576"/>
      <c r="DT74" s="576"/>
      <c r="DU74" s="576"/>
      <c r="DV74" s="576"/>
      <c r="DW74" s="576"/>
      <c r="DX74" s="577"/>
      <c r="DY74" s="577"/>
      <c r="DZ74" s="577"/>
      <c r="EA74" s="577"/>
      <c r="EB74" s="577"/>
      <c r="EC74" s="577"/>
      <c r="ED74" s="577"/>
      <c r="EE74" s="577"/>
      <c r="EF74" s="577"/>
      <c r="EG74" s="577"/>
      <c r="EH74" s="8">
        <v>124</v>
      </c>
    </row>
    <row r="75" spans="1:139" x14ac:dyDescent="0.25">
      <c r="A75" s="16">
        <v>71</v>
      </c>
      <c r="B75" s="19" t="s">
        <v>633</v>
      </c>
      <c r="C75" s="19"/>
      <c r="D75" s="19" t="s">
        <v>77</v>
      </c>
      <c r="E75" s="19" t="s">
        <v>75</v>
      </c>
      <c r="F75" s="19" t="s">
        <v>8</v>
      </c>
      <c r="G75" s="19" t="s">
        <v>837</v>
      </c>
      <c r="H75" s="539">
        <v>-99</v>
      </c>
      <c r="I75" s="539">
        <v>1.0073942579849681E-2</v>
      </c>
      <c r="J75" s="539">
        <v>-99</v>
      </c>
      <c r="K75" s="539">
        <v>-99</v>
      </c>
      <c r="L75" s="539">
        <v>-99</v>
      </c>
      <c r="M75" s="539">
        <v>-99</v>
      </c>
      <c r="N75" s="539">
        <v>1.2323659973404474E-2</v>
      </c>
      <c r="O75" s="539">
        <v>-99</v>
      </c>
      <c r="P75" s="539">
        <v>-99</v>
      </c>
      <c r="Q75" s="539">
        <v>-99</v>
      </c>
      <c r="R75" s="539">
        <v>-99</v>
      </c>
      <c r="S75" s="539">
        <v>6.8244521554175182E-3</v>
      </c>
      <c r="T75" s="539">
        <v>-99</v>
      </c>
      <c r="U75" s="539">
        <v>-99</v>
      </c>
      <c r="V75" s="539">
        <v>-99</v>
      </c>
      <c r="W75" s="539">
        <v>-99</v>
      </c>
      <c r="X75" s="539">
        <v>-99</v>
      </c>
      <c r="Y75" s="539">
        <v>-99</v>
      </c>
      <c r="Z75" s="539">
        <v>-99</v>
      </c>
      <c r="AA75" s="539">
        <v>-99</v>
      </c>
      <c r="AB75" s="539">
        <v>-99</v>
      </c>
      <c r="AC75" s="539">
        <v>1.2990220995914143E-2</v>
      </c>
      <c r="AD75" s="539">
        <v>-99</v>
      </c>
      <c r="AE75" s="539">
        <v>-99</v>
      </c>
      <c r="AF75" s="539">
        <v>-99</v>
      </c>
      <c r="AG75" s="539">
        <v>-99</v>
      </c>
      <c r="AH75" s="540">
        <v>1.0681076803695913E-2</v>
      </c>
      <c r="AI75" s="539">
        <v>-99</v>
      </c>
      <c r="AJ75" s="540">
        <v>-99</v>
      </c>
      <c r="AK75" s="539">
        <v>-99</v>
      </c>
      <c r="AL75" s="539">
        <v>-99</v>
      </c>
      <c r="AM75" s="540">
        <v>1.2830588665356728E-2</v>
      </c>
      <c r="AN75" s="539">
        <v>-99</v>
      </c>
      <c r="AO75" s="540">
        <v>-99</v>
      </c>
      <c r="AP75" s="541">
        <v>-99</v>
      </c>
      <c r="AQ75" s="539">
        <v>-99</v>
      </c>
      <c r="AR75" s="540">
        <v>7.2569790774138429E-3</v>
      </c>
      <c r="AS75" s="539">
        <v>-99</v>
      </c>
      <c r="AT75" s="540">
        <v>-99</v>
      </c>
      <c r="AU75" s="539">
        <v>-99</v>
      </c>
      <c r="AV75" s="540">
        <v>-99</v>
      </c>
      <c r="AW75" s="540">
        <v>-99</v>
      </c>
      <c r="AX75" s="540">
        <v>-99</v>
      </c>
      <c r="AY75" s="540">
        <v>-99</v>
      </c>
      <c r="AZ75" s="539">
        <v>-99</v>
      </c>
      <c r="BA75" s="539">
        <v>-99</v>
      </c>
      <c r="BB75" s="540">
        <v>1.4543737496880784E-2</v>
      </c>
      <c r="BC75" s="539">
        <v>-99</v>
      </c>
      <c r="BD75" s="540">
        <v>-99</v>
      </c>
      <c r="BE75" s="541">
        <v>-99</v>
      </c>
      <c r="BF75" s="557"/>
      <c r="BG75" s="541"/>
      <c r="BH75" s="557">
        <v>0.99</v>
      </c>
      <c r="BI75" s="576"/>
      <c r="BJ75" s="576"/>
      <c r="BK75" s="576"/>
      <c r="BL75" s="576"/>
      <c r="BM75" s="639">
        <v>140</v>
      </c>
      <c r="BN75" s="545">
        <v>0</v>
      </c>
      <c r="BO75" s="576"/>
      <c r="BP75" s="576"/>
      <c r="BQ75" s="576"/>
      <c r="BR75" s="570"/>
      <c r="BS75" s="547" t="s">
        <v>188</v>
      </c>
      <c r="BT75" s="549" t="s">
        <v>188</v>
      </c>
      <c r="BU75" s="549" t="s">
        <v>188</v>
      </c>
      <c r="BV75" s="549" t="s">
        <v>188</v>
      </c>
      <c r="BW75" s="549" t="s">
        <v>188</v>
      </c>
      <c r="BX75" s="549" t="s">
        <v>188</v>
      </c>
      <c r="BY75" s="549" t="s">
        <v>188</v>
      </c>
      <c r="BZ75" s="549" t="s">
        <v>188</v>
      </c>
      <c r="CA75" s="549" t="s">
        <v>188</v>
      </c>
      <c r="CB75" s="549" t="s">
        <v>188</v>
      </c>
      <c r="CC75" s="549" t="s">
        <v>188</v>
      </c>
      <c r="CD75" s="662"/>
      <c r="CE75" s="661" t="s">
        <v>188</v>
      </c>
      <c r="CF75" s="662" t="s">
        <v>188</v>
      </c>
      <c r="CG75" s="662" t="s">
        <v>188</v>
      </c>
      <c r="CH75" s="662" t="s">
        <v>188</v>
      </c>
      <c r="CI75" s="662" t="s">
        <v>188</v>
      </c>
      <c r="CJ75" s="662" t="s">
        <v>188</v>
      </c>
      <c r="CK75" s="662" t="s">
        <v>188</v>
      </c>
      <c r="CL75" s="662" t="s">
        <v>188</v>
      </c>
      <c r="CM75" s="662" t="s">
        <v>188</v>
      </c>
      <c r="CN75" s="662" t="s">
        <v>188</v>
      </c>
      <c r="CO75" s="616"/>
      <c r="CP75" s="616"/>
      <c r="CQ75" s="616"/>
      <c r="CR75" s="616"/>
      <c r="CS75" s="616"/>
      <c r="CT75" s="616"/>
      <c r="CU75" s="616"/>
      <c r="CV75" s="616"/>
      <c r="CW75" s="616"/>
      <c r="CX75" s="616"/>
      <c r="CY75" s="616"/>
      <c r="CZ75" s="616"/>
      <c r="DA75" s="616"/>
      <c r="DB75" s="616"/>
      <c r="DC75" s="640"/>
      <c r="DD75" s="640"/>
      <c r="DE75" s="640"/>
      <c r="DF75" s="640"/>
      <c r="DG75" s="640"/>
      <c r="DH75" s="640"/>
      <c r="DI75" s="576"/>
      <c r="DJ75" s="576"/>
      <c r="DK75" s="576"/>
      <c r="DL75" s="576"/>
      <c r="DM75" s="576"/>
      <c r="DN75" s="576"/>
      <c r="DO75" s="576"/>
      <c r="DP75" s="576"/>
      <c r="DQ75" s="576"/>
      <c r="DR75" s="576"/>
      <c r="DS75" s="576"/>
      <c r="DT75" s="576"/>
      <c r="DU75" s="576"/>
      <c r="DV75" s="576"/>
      <c r="DW75" s="576"/>
      <c r="DX75" s="577"/>
      <c r="DY75" s="577"/>
      <c r="DZ75" s="577"/>
      <c r="EA75" s="577"/>
      <c r="EB75" s="577"/>
      <c r="EC75" s="577"/>
      <c r="ED75" s="577"/>
      <c r="EE75" s="577"/>
      <c r="EF75" s="577"/>
      <c r="EG75" s="577"/>
      <c r="EH75" s="8">
        <v>108</v>
      </c>
    </row>
    <row r="76" spans="1:139" x14ac:dyDescent="0.25">
      <c r="A76" s="16">
        <v>72</v>
      </c>
      <c r="B76" s="19" t="s">
        <v>29</v>
      </c>
      <c r="C76" s="19"/>
      <c r="D76" s="19" t="s">
        <v>77</v>
      </c>
      <c r="E76" s="19" t="s">
        <v>75</v>
      </c>
      <c r="F76" s="19"/>
      <c r="G76" s="19" t="s">
        <v>6</v>
      </c>
      <c r="H76" s="539">
        <v>2.5079999999999998E-3</v>
      </c>
      <c r="I76" s="539">
        <v>-99</v>
      </c>
      <c r="J76" s="539">
        <v>9.9699999999999997E-3</v>
      </c>
      <c r="K76" s="539">
        <v>0.10217307320947379</v>
      </c>
      <c r="L76" s="539">
        <v>-99</v>
      </c>
      <c r="M76" s="539">
        <v>4.0300000000000006E-3</v>
      </c>
      <c r="N76" s="539">
        <v>-99</v>
      </c>
      <c r="O76" s="539">
        <v>1.7981999999999998E-2</v>
      </c>
      <c r="P76" s="539">
        <v>9.7000000000000003E-2</v>
      </c>
      <c r="Q76" s="539">
        <v>-99</v>
      </c>
      <c r="R76" s="539">
        <v>-99</v>
      </c>
      <c r="S76" s="539">
        <v>-99</v>
      </c>
      <c r="T76" s="539">
        <v>-99</v>
      </c>
      <c r="U76" s="539">
        <v>-99</v>
      </c>
      <c r="V76" s="539">
        <v>-99</v>
      </c>
      <c r="W76" s="539">
        <v>-99</v>
      </c>
      <c r="X76" s="539">
        <v>-99</v>
      </c>
      <c r="Y76" s="539">
        <v>-99</v>
      </c>
      <c r="Z76" s="539">
        <v>0.10400000000000001</v>
      </c>
      <c r="AA76" s="539">
        <v>-99</v>
      </c>
      <c r="AB76" s="539">
        <v>7.6409999999999994E-3</v>
      </c>
      <c r="AC76" s="539">
        <v>-99</v>
      </c>
      <c r="AD76" s="539">
        <v>0</v>
      </c>
      <c r="AE76" s="539">
        <v>0.115</v>
      </c>
      <c r="AF76" s="539">
        <v>-99</v>
      </c>
      <c r="AG76" s="539">
        <v>-99</v>
      </c>
      <c r="AH76" s="540">
        <v>-99</v>
      </c>
      <c r="AI76" s="539">
        <v>-99</v>
      </c>
      <c r="AJ76" s="540">
        <v>-99</v>
      </c>
      <c r="AK76" s="539">
        <v>-99</v>
      </c>
      <c r="AL76" s="539">
        <v>-99</v>
      </c>
      <c r="AM76" s="540">
        <v>-99</v>
      </c>
      <c r="AN76" s="539">
        <v>-99</v>
      </c>
      <c r="AO76" s="540">
        <v>-99</v>
      </c>
      <c r="AP76" s="541">
        <v>-99</v>
      </c>
      <c r="AQ76" s="539">
        <v>-99</v>
      </c>
      <c r="AR76" s="540">
        <v>-99</v>
      </c>
      <c r="AS76" s="539">
        <v>-99</v>
      </c>
      <c r="AT76" s="540">
        <v>-99</v>
      </c>
      <c r="AU76" s="539">
        <v>-99</v>
      </c>
      <c r="AV76" s="540">
        <v>-99</v>
      </c>
      <c r="AW76" s="540">
        <v>-99</v>
      </c>
      <c r="AX76" s="540">
        <v>-99</v>
      </c>
      <c r="AY76" s="540">
        <v>-99</v>
      </c>
      <c r="AZ76" s="539">
        <v>-99</v>
      </c>
      <c r="BA76" s="539">
        <v>-99</v>
      </c>
      <c r="BB76" s="540">
        <v>-99</v>
      </c>
      <c r="BC76" s="539">
        <v>-99</v>
      </c>
      <c r="BD76" s="540">
        <v>-99</v>
      </c>
      <c r="BE76" s="541">
        <v>-99</v>
      </c>
      <c r="BF76" s="612"/>
      <c r="BG76" s="612"/>
      <c r="BH76" s="612">
        <v>-99</v>
      </c>
      <c r="BI76" s="576"/>
      <c r="BJ76" s="576"/>
      <c r="BK76" s="576"/>
      <c r="BL76" s="576"/>
      <c r="BM76" s="545">
        <v>-99</v>
      </c>
      <c r="BN76" s="545">
        <v>-99</v>
      </c>
      <c r="BO76" s="576"/>
      <c r="BP76" s="576"/>
      <c r="BQ76" s="576"/>
      <c r="BR76" s="570"/>
      <c r="BS76" s="547" t="s">
        <v>188</v>
      </c>
      <c r="BT76" s="549" t="s">
        <v>188</v>
      </c>
      <c r="BU76" s="549" t="s">
        <v>188</v>
      </c>
      <c r="BV76" s="549" t="s">
        <v>188</v>
      </c>
      <c r="BW76" s="549" t="s">
        <v>188</v>
      </c>
      <c r="BX76" s="549" t="s">
        <v>188</v>
      </c>
      <c r="BY76" s="549" t="s">
        <v>188</v>
      </c>
      <c r="BZ76" s="549" t="s">
        <v>188</v>
      </c>
      <c r="CA76" s="549" t="s">
        <v>188</v>
      </c>
      <c r="CB76" s="549" t="s">
        <v>188</v>
      </c>
      <c r="CC76" s="549" t="s">
        <v>188</v>
      </c>
      <c r="CD76" s="662"/>
      <c r="CE76" s="661" t="s">
        <v>188</v>
      </c>
      <c r="CF76" s="662" t="s">
        <v>188</v>
      </c>
      <c r="CG76" s="662" t="s">
        <v>188</v>
      </c>
      <c r="CH76" s="662" t="s">
        <v>188</v>
      </c>
      <c r="CI76" s="662" t="s">
        <v>188</v>
      </c>
      <c r="CJ76" s="662" t="s">
        <v>188</v>
      </c>
      <c r="CK76" s="662" t="s">
        <v>188</v>
      </c>
      <c r="CL76" s="662" t="s">
        <v>188</v>
      </c>
      <c r="CM76" s="662" t="s">
        <v>188</v>
      </c>
      <c r="CN76" s="662" t="s">
        <v>188</v>
      </c>
      <c r="CO76" s="616"/>
      <c r="CP76" s="616"/>
      <c r="CQ76" s="616"/>
      <c r="CR76" s="616"/>
      <c r="CS76" s="616"/>
      <c r="CT76" s="616"/>
      <c r="CU76" s="616"/>
      <c r="CV76" s="616"/>
      <c r="CW76" s="616"/>
      <c r="CX76" s="616"/>
      <c r="CY76" s="616"/>
      <c r="CZ76" s="616"/>
      <c r="DA76" s="616"/>
      <c r="DB76" s="616"/>
      <c r="DC76" s="640"/>
      <c r="DD76" s="640"/>
      <c r="DE76" s="640"/>
      <c r="DF76" s="640"/>
      <c r="DG76" s="640"/>
      <c r="DH76" s="640"/>
      <c r="DI76" s="576"/>
      <c r="DJ76" s="576"/>
      <c r="DK76" s="576"/>
      <c r="DL76" s="576"/>
      <c r="DM76" s="576"/>
      <c r="DN76" s="576"/>
      <c r="DO76" s="576"/>
      <c r="DP76" s="576"/>
      <c r="DQ76" s="576"/>
      <c r="DR76" s="576"/>
      <c r="DS76" s="576"/>
      <c r="DT76" s="576"/>
      <c r="DU76" s="576"/>
      <c r="DV76" s="576"/>
      <c r="DW76" s="576"/>
      <c r="DX76" s="577"/>
      <c r="DY76" s="577"/>
      <c r="DZ76" s="577"/>
      <c r="EA76" s="577"/>
      <c r="EB76" s="577"/>
      <c r="EC76" s="577"/>
      <c r="ED76" s="577"/>
      <c r="EE76" s="577"/>
      <c r="EF76" s="577"/>
      <c r="EG76" s="577"/>
      <c r="EH76" s="8">
        <v>90</v>
      </c>
    </row>
    <row r="77" spans="1:139" x14ac:dyDescent="0.25">
      <c r="A77" s="16">
        <v>73</v>
      </c>
      <c r="B77" s="19" t="s">
        <v>721</v>
      </c>
      <c r="C77" s="19" t="s">
        <v>126</v>
      </c>
      <c r="D77" s="19" t="s">
        <v>77</v>
      </c>
      <c r="E77" s="19" t="s">
        <v>75</v>
      </c>
      <c r="F77" s="19" t="s">
        <v>8</v>
      </c>
      <c r="G77" s="19" t="s">
        <v>837</v>
      </c>
      <c r="H77" s="539">
        <v>4.3999999999999997E-2</v>
      </c>
      <c r="I77" s="539">
        <v>4.0531049377393852E-2</v>
      </c>
      <c r="J77" s="539">
        <v>-99</v>
      </c>
      <c r="K77" s="539">
        <v>5.6374665779841827E-2</v>
      </c>
      <c r="L77" s="539">
        <v>2.2585999999999998E-2</v>
      </c>
      <c r="M77" s="539">
        <v>2.1999999999999999E-2</v>
      </c>
      <c r="N77" s="539">
        <v>4.323454849590376E-2</v>
      </c>
      <c r="O77" s="539">
        <v>-99</v>
      </c>
      <c r="P77" s="539">
        <v>5.473384145288817E-2</v>
      </c>
      <c r="Q77" s="539">
        <v>1.7712000000000002E-2</v>
      </c>
      <c r="R77" s="539">
        <v>6.3E-2</v>
      </c>
      <c r="S77" s="539">
        <v>3.6864007801938069E-2</v>
      </c>
      <c r="T77" s="539">
        <v>-99</v>
      </c>
      <c r="U77" s="539">
        <v>5.9327246645806346E-2</v>
      </c>
      <c r="V77" s="539">
        <v>2.2631999999999996E-2</v>
      </c>
      <c r="W77" s="539">
        <v>-99</v>
      </c>
      <c r="X77" s="539">
        <v>-99</v>
      </c>
      <c r="Y77" s="539">
        <v>-99</v>
      </c>
      <c r="Z77" s="539">
        <v>-99</v>
      </c>
      <c r="AA77" s="539">
        <v>-99</v>
      </c>
      <c r="AB77" s="539">
        <v>5.8999999999999997E-2</v>
      </c>
      <c r="AC77" s="539">
        <v>4.3233801292720656E-2</v>
      </c>
      <c r="AD77" s="539">
        <v>-99</v>
      </c>
      <c r="AE77" s="539">
        <v>5.2062848404685586E-2</v>
      </c>
      <c r="AF77" s="539">
        <v>3.4848000000000004E-2</v>
      </c>
      <c r="AG77" s="539">
        <v>-99</v>
      </c>
      <c r="AH77" s="540">
        <v>4.4268114450989965E-2</v>
      </c>
      <c r="AI77" s="539">
        <v>-99</v>
      </c>
      <c r="AJ77" s="540">
        <v>6.1386405006444072E-2</v>
      </c>
      <c r="AK77" s="539">
        <v>-99</v>
      </c>
      <c r="AL77" s="539">
        <v>-99</v>
      </c>
      <c r="AM77" s="540">
        <v>4.8631280770042327E-2</v>
      </c>
      <c r="AN77" s="539">
        <v>-99</v>
      </c>
      <c r="AO77" s="540">
        <v>5.9074293063563856E-2</v>
      </c>
      <c r="AP77" s="541">
        <v>-99</v>
      </c>
      <c r="AQ77" s="539">
        <v>-99</v>
      </c>
      <c r="AR77" s="540">
        <v>3.9274940287601735E-2</v>
      </c>
      <c r="AS77" s="539">
        <v>-99</v>
      </c>
      <c r="AT77" s="540">
        <v>6.5613707696717261E-2</v>
      </c>
      <c r="AU77" s="539">
        <v>-99</v>
      </c>
      <c r="AV77" s="540">
        <v>-99</v>
      </c>
      <c r="AW77" s="540">
        <v>-99</v>
      </c>
      <c r="AX77" s="540">
        <v>-99</v>
      </c>
      <c r="AY77" s="540">
        <v>-99</v>
      </c>
      <c r="AZ77" s="539">
        <v>-99</v>
      </c>
      <c r="BA77" s="539">
        <v>-99</v>
      </c>
      <c r="BB77" s="540">
        <v>4.5512404186512721E-2</v>
      </c>
      <c r="BC77" s="539">
        <v>-99</v>
      </c>
      <c r="BD77" s="540">
        <v>5.5073243739589016E-2</v>
      </c>
      <c r="BE77" s="541">
        <v>-99</v>
      </c>
      <c r="BF77" s="542"/>
      <c r="BG77" s="612"/>
      <c r="BH77" s="542">
        <v>0.37</v>
      </c>
      <c r="BI77" s="641"/>
      <c r="BJ77" s="641"/>
      <c r="BK77" s="641"/>
      <c r="BL77" s="641"/>
      <c r="BM77" s="545">
        <v>570</v>
      </c>
      <c r="BN77" s="545">
        <v>0</v>
      </c>
      <c r="BO77" s="641"/>
      <c r="BP77" s="641"/>
      <c r="BQ77" s="641"/>
      <c r="BR77" s="640" t="s">
        <v>826</v>
      </c>
      <c r="BS77" s="547" t="s">
        <v>188</v>
      </c>
      <c r="BT77" s="549" t="s">
        <v>188</v>
      </c>
      <c r="BU77" s="549" t="s">
        <v>188</v>
      </c>
      <c r="BV77" s="549" t="s">
        <v>188</v>
      </c>
      <c r="BW77" s="549" t="s">
        <v>188</v>
      </c>
      <c r="BX77" s="549" t="s">
        <v>188</v>
      </c>
      <c r="BY77" s="549" t="s">
        <v>188</v>
      </c>
      <c r="BZ77" s="549" t="s">
        <v>188</v>
      </c>
      <c r="CA77" s="549" t="s">
        <v>188</v>
      </c>
      <c r="CB77" s="549" t="s">
        <v>188</v>
      </c>
      <c r="CC77" s="549" t="s">
        <v>188</v>
      </c>
      <c r="CD77" s="662"/>
      <c r="CE77" s="661" t="s">
        <v>188</v>
      </c>
      <c r="CF77" s="662" t="s">
        <v>188</v>
      </c>
      <c r="CG77" s="662" t="s">
        <v>188</v>
      </c>
      <c r="CH77" s="662" t="s">
        <v>188</v>
      </c>
      <c r="CI77" s="662" t="s">
        <v>188</v>
      </c>
      <c r="CJ77" s="662" t="s">
        <v>188</v>
      </c>
      <c r="CK77" s="662" t="s">
        <v>188</v>
      </c>
      <c r="CL77" s="662" t="s">
        <v>188</v>
      </c>
      <c r="CM77" s="662" t="s">
        <v>188</v>
      </c>
      <c r="CN77" s="662" t="s">
        <v>188</v>
      </c>
      <c r="CO77" s="640"/>
      <c r="CP77" s="640"/>
      <c r="CQ77" s="640"/>
      <c r="CR77" s="640"/>
      <c r="CS77" s="640"/>
      <c r="CT77" s="640"/>
      <c r="CU77" s="640"/>
      <c r="CV77" s="640"/>
      <c r="CW77" s="640"/>
      <c r="CX77" s="640"/>
      <c r="CY77" s="640"/>
      <c r="CZ77" s="640"/>
      <c r="DA77" s="640"/>
      <c r="DB77" s="640"/>
      <c r="DC77" s="640"/>
      <c r="DD77" s="640"/>
      <c r="DE77" s="640"/>
      <c r="DF77" s="640"/>
      <c r="DG77" s="640"/>
      <c r="DH77" s="640"/>
      <c r="DI77" s="641"/>
      <c r="DJ77" s="641"/>
      <c r="DK77" s="641"/>
      <c r="DL77" s="641"/>
      <c r="DM77" s="641"/>
      <c r="DN77" s="641"/>
      <c r="DO77" s="641"/>
      <c r="DP77" s="641"/>
      <c r="DQ77" s="641"/>
      <c r="DR77" s="641"/>
      <c r="DS77" s="641"/>
      <c r="DT77" s="641"/>
      <c r="DU77" s="641"/>
      <c r="DV77" s="641"/>
      <c r="DW77" s="641"/>
      <c r="DX77" s="607"/>
      <c r="DY77" s="607"/>
      <c r="DZ77" s="607"/>
      <c r="EA77" s="607"/>
      <c r="EB77" s="607"/>
      <c r="EC77" s="607"/>
      <c r="ED77" s="607"/>
      <c r="EE77" s="607"/>
      <c r="EF77" s="607"/>
      <c r="EG77" s="607"/>
      <c r="EH77" s="8">
        <v>82</v>
      </c>
    </row>
    <row r="78" spans="1:139" x14ac:dyDescent="0.25">
      <c r="A78" s="16">
        <v>74</v>
      </c>
      <c r="B78" s="19" t="s">
        <v>632</v>
      </c>
      <c r="C78" s="19"/>
      <c r="D78" s="19" t="s">
        <v>77</v>
      </c>
      <c r="E78" s="19" t="s">
        <v>75</v>
      </c>
      <c r="F78" s="19" t="s">
        <v>8</v>
      </c>
      <c r="G78" s="19" t="s">
        <v>837</v>
      </c>
      <c r="H78" s="539">
        <v>-99</v>
      </c>
      <c r="I78" s="539">
        <v>4.3762746484937595E-2</v>
      </c>
      <c r="J78" s="539">
        <v>-99</v>
      </c>
      <c r="K78" s="539">
        <v>-99</v>
      </c>
      <c r="L78" s="539">
        <v>-99</v>
      </c>
      <c r="M78" s="539">
        <v>-99</v>
      </c>
      <c r="N78" s="539">
        <v>4.2002394208921899E-2</v>
      </c>
      <c r="O78" s="539">
        <v>-99</v>
      </c>
      <c r="P78" s="539">
        <v>-99</v>
      </c>
      <c r="Q78" s="539">
        <v>-99</v>
      </c>
      <c r="R78" s="539">
        <v>-99</v>
      </c>
      <c r="S78" s="539">
        <v>4.6688227365068426E-2</v>
      </c>
      <c r="T78" s="539">
        <v>-99</v>
      </c>
      <c r="U78" s="539">
        <v>-99</v>
      </c>
      <c r="V78" s="539">
        <v>-99</v>
      </c>
      <c r="W78" s="539">
        <v>-99</v>
      </c>
      <c r="X78" s="539">
        <v>-99</v>
      </c>
      <c r="Y78" s="539">
        <v>-99</v>
      </c>
      <c r="Z78" s="539">
        <v>-99</v>
      </c>
      <c r="AA78" s="539">
        <v>-99</v>
      </c>
      <c r="AB78" s="539">
        <v>-99</v>
      </c>
      <c r="AC78" s="539">
        <v>4.0190589176309272E-2</v>
      </c>
      <c r="AD78" s="539">
        <v>-99</v>
      </c>
      <c r="AE78" s="539">
        <v>-99</v>
      </c>
      <c r="AF78" s="539">
        <v>-99</v>
      </c>
      <c r="AG78" s="539">
        <v>-99</v>
      </c>
      <c r="AH78" s="540">
        <v>4.6099773967094367E-2</v>
      </c>
      <c r="AI78" s="539">
        <v>-99</v>
      </c>
      <c r="AJ78" s="540">
        <v>-99</v>
      </c>
      <c r="AK78" s="539">
        <v>-99</v>
      </c>
      <c r="AL78" s="539">
        <v>-99</v>
      </c>
      <c r="AM78" s="540">
        <v>4.3665967159959643E-2</v>
      </c>
      <c r="AN78" s="539">
        <v>-99</v>
      </c>
      <c r="AO78" s="540">
        <v>-99</v>
      </c>
      <c r="AP78" s="541">
        <v>-99</v>
      </c>
      <c r="AQ78" s="539">
        <v>-99</v>
      </c>
      <c r="AR78" s="540">
        <v>4.8951577177635937E-2</v>
      </c>
      <c r="AS78" s="539">
        <v>-99</v>
      </c>
      <c r="AT78" s="540">
        <v>-99</v>
      </c>
      <c r="AU78" s="539">
        <v>-99</v>
      </c>
      <c r="AV78" s="540">
        <v>-99</v>
      </c>
      <c r="AW78" s="540">
        <v>-99</v>
      </c>
      <c r="AX78" s="540">
        <v>-99</v>
      </c>
      <c r="AY78" s="540">
        <v>-99</v>
      </c>
      <c r="AZ78" s="539">
        <v>-99</v>
      </c>
      <c r="BA78" s="539">
        <v>-99</v>
      </c>
      <c r="BB78" s="540">
        <v>4.5181330259350498E-2</v>
      </c>
      <c r="BC78" s="539">
        <v>-99</v>
      </c>
      <c r="BD78" s="540">
        <v>-99</v>
      </c>
      <c r="BE78" s="541">
        <v>-99</v>
      </c>
      <c r="BF78" s="578"/>
      <c r="BG78" s="612"/>
      <c r="BH78" s="578">
        <v>-99</v>
      </c>
      <c r="BI78" s="576"/>
      <c r="BJ78" s="576"/>
      <c r="BK78" s="576"/>
      <c r="BL78" s="576"/>
      <c r="BM78" s="639">
        <v>-99</v>
      </c>
      <c r="BN78" s="545">
        <v>-99</v>
      </c>
      <c r="BO78" s="576"/>
      <c r="BP78" s="576"/>
      <c r="BQ78" s="576"/>
      <c r="BR78" s="570"/>
      <c r="BS78" s="547" t="s">
        <v>188</v>
      </c>
      <c r="BT78" s="549" t="s">
        <v>188</v>
      </c>
      <c r="BU78" s="549" t="s">
        <v>188</v>
      </c>
      <c r="BV78" s="549" t="s">
        <v>188</v>
      </c>
      <c r="BW78" s="549" t="s">
        <v>188</v>
      </c>
      <c r="BX78" s="549" t="s">
        <v>188</v>
      </c>
      <c r="BY78" s="549" t="s">
        <v>188</v>
      </c>
      <c r="BZ78" s="549" t="s">
        <v>188</v>
      </c>
      <c r="CA78" s="549" t="s">
        <v>188</v>
      </c>
      <c r="CB78" s="549" t="s">
        <v>188</v>
      </c>
      <c r="CC78" s="549" t="s">
        <v>188</v>
      </c>
      <c r="CD78" s="662"/>
      <c r="CE78" s="661" t="s">
        <v>188</v>
      </c>
      <c r="CF78" s="662" t="s">
        <v>188</v>
      </c>
      <c r="CG78" s="662" t="s">
        <v>188</v>
      </c>
      <c r="CH78" s="662" t="s">
        <v>188</v>
      </c>
      <c r="CI78" s="662" t="s">
        <v>188</v>
      </c>
      <c r="CJ78" s="662" t="s">
        <v>188</v>
      </c>
      <c r="CK78" s="662" t="s">
        <v>188</v>
      </c>
      <c r="CL78" s="662" t="s">
        <v>188</v>
      </c>
      <c r="CM78" s="662" t="s">
        <v>188</v>
      </c>
      <c r="CN78" s="662" t="s">
        <v>188</v>
      </c>
      <c r="CO78" s="616"/>
      <c r="CP78" s="616"/>
      <c r="CQ78" s="616"/>
      <c r="CR78" s="616"/>
      <c r="CS78" s="616"/>
      <c r="CT78" s="616"/>
      <c r="CU78" s="616"/>
      <c r="CV78" s="616"/>
      <c r="CW78" s="616"/>
      <c r="CX78" s="616"/>
      <c r="CY78" s="616"/>
      <c r="CZ78" s="616"/>
      <c r="DA78" s="616"/>
      <c r="DB78" s="616"/>
      <c r="DC78" s="640"/>
      <c r="DD78" s="640"/>
      <c r="DE78" s="640"/>
      <c r="DF78" s="640"/>
      <c r="DG78" s="640"/>
      <c r="DH78" s="640"/>
      <c r="DI78" s="576"/>
      <c r="DJ78" s="576"/>
      <c r="DK78" s="576"/>
      <c r="DL78" s="576"/>
      <c r="DM78" s="576"/>
      <c r="DN78" s="576"/>
      <c r="DO78" s="576"/>
      <c r="DP78" s="576"/>
      <c r="DQ78" s="576"/>
      <c r="DR78" s="576"/>
      <c r="DS78" s="576"/>
      <c r="DT78" s="576"/>
      <c r="DU78" s="576"/>
      <c r="DV78" s="576"/>
      <c r="DW78" s="576"/>
      <c r="DX78" s="577"/>
      <c r="DY78" s="577"/>
      <c r="DZ78" s="577"/>
      <c r="EA78" s="577"/>
      <c r="EB78" s="577"/>
      <c r="EC78" s="577"/>
      <c r="ED78" s="577"/>
      <c r="EE78" s="577"/>
      <c r="EF78" s="577"/>
      <c r="EG78" s="577"/>
      <c r="EH78" s="8">
        <v>73</v>
      </c>
    </row>
    <row r="79" spans="1:139" x14ac:dyDescent="0.25">
      <c r="A79" s="16">
        <v>75</v>
      </c>
      <c r="B79" s="19" t="s">
        <v>98</v>
      </c>
      <c r="C79" s="19"/>
      <c r="D79" s="19" t="s">
        <v>77</v>
      </c>
      <c r="E79" s="19" t="s">
        <v>75</v>
      </c>
      <c r="F79" s="19" t="s">
        <v>8</v>
      </c>
      <c r="G79" s="19" t="s">
        <v>837</v>
      </c>
      <c r="H79" s="539">
        <v>-99</v>
      </c>
      <c r="I79" s="539">
        <v>-99</v>
      </c>
      <c r="J79" s="539">
        <v>-99</v>
      </c>
      <c r="K79" s="539">
        <v>-99</v>
      </c>
      <c r="L79" s="539">
        <v>-99</v>
      </c>
      <c r="M79" s="539">
        <v>-99</v>
      </c>
      <c r="N79" s="539">
        <v>-99</v>
      </c>
      <c r="O79" s="539">
        <v>-99</v>
      </c>
      <c r="P79" s="539">
        <v>-99</v>
      </c>
      <c r="Q79" s="539">
        <v>-99</v>
      </c>
      <c r="R79" s="539">
        <v>-99</v>
      </c>
      <c r="S79" s="539">
        <v>-99</v>
      </c>
      <c r="T79" s="539">
        <v>-99</v>
      </c>
      <c r="U79" s="539">
        <v>-99</v>
      </c>
      <c r="V79" s="539">
        <v>-99</v>
      </c>
      <c r="W79" s="539">
        <v>-99</v>
      </c>
      <c r="X79" s="539">
        <v>-99</v>
      </c>
      <c r="Y79" s="539">
        <v>-99</v>
      </c>
      <c r="Z79" s="539">
        <v>-99</v>
      </c>
      <c r="AA79" s="539">
        <v>-99</v>
      </c>
      <c r="AB79" s="539">
        <v>-99</v>
      </c>
      <c r="AC79" s="539">
        <v>-99</v>
      </c>
      <c r="AD79" s="539">
        <v>-99</v>
      </c>
      <c r="AE79" s="539">
        <v>-99</v>
      </c>
      <c r="AF79" s="539">
        <v>-99</v>
      </c>
      <c r="AG79" s="539">
        <v>-99</v>
      </c>
      <c r="AH79" s="540">
        <v>-99</v>
      </c>
      <c r="AI79" s="539">
        <v>-99</v>
      </c>
      <c r="AJ79" s="540">
        <v>-99</v>
      </c>
      <c r="AK79" s="539">
        <v>-99</v>
      </c>
      <c r="AL79" s="539">
        <v>-99</v>
      </c>
      <c r="AM79" s="540">
        <v>-99</v>
      </c>
      <c r="AN79" s="539">
        <v>-99</v>
      </c>
      <c r="AO79" s="540">
        <v>-99</v>
      </c>
      <c r="AP79" s="541">
        <v>-99</v>
      </c>
      <c r="AQ79" s="539">
        <v>-99</v>
      </c>
      <c r="AR79" s="540">
        <v>-99</v>
      </c>
      <c r="AS79" s="539">
        <v>-99</v>
      </c>
      <c r="AT79" s="540">
        <v>-99</v>
      </c>
      <c r="AU79" s="539">
        <v>-99</v>
      </c>
      <c r="AV79" s="540">
        <v>-99</v>
      </c>
      <c r="AW79" s="540">
        <v>-99</v>
      </c>
      <c r="AX79" s="540">
        <v>-99</v>
      </c>
      <c r="AY79" s="540">
        <v>-99</v>
      </c>
      <c r="AZ79" s="539">
        <v>-99</v>
      </c>
      <c r="BA79" s="539">
        <v>-99</v>
      </c>
      <c r="BB79" s="540">
        <v>-99</v>
      </c>
      <c r="BC79" s="539">
        <v>-99</v>
      </c>
      <c r="BD79" s="540">
        <v>-99</v>
      </c>
      <c r="BE79" s="541">
        <v>-99</v>
      </c>
      <c r="BF79" s="612"/>
      <c r="BG79" s="612"/>
      <c r="BH79" s="612">
        <v>-99</v>
      </c>
      <c r="BI79" s="576"/>
      <c r="BJ79" s="576"/>
      <c r="BK79" s="576"/>
      <c r="BL79" s="576"/>
      <c r="BM79" s="545">
        <v>-99</v>
      </c>
      <c r="BN79" s="545">
        <v>-99</v>
      </c>
      <c r="BO79" s="576"/>
      <c r="BP79" s="576"/>
      <c r="BQ79" s="576"/>
      <c r="BR79" s="570"/>
      <c r="BS79" s="547" t="s">
        <v>188</v>
      </c>
      <c r="BT79" s="549" t="s">
        <v>188</v>
      </c>
      <c r="BU79" s="549" t="s">
        <v>188</v>
      </c>
      <c r="BV79" s="549" t="s">
        <v>188</v>
      </c>
      <c r="BW79" s="549" t="s">
        <v>188</v>
      </c>
      <c r="BX79" s="549" t="s">
        <v>188</v>
      </c>
      <c r="BY79" s="549" t="s">
        <v>188</v>
      </c>
      <c r="BZ79" s="549" t="s">
        <v>188</v>
      </c>
      <c r="CA79" s="549" t="s">
        <v>188</v>
      </c>
      <c r="CB79" s="549" t="s">
        <v>188</v>
      </c>
      <c r="CC79" s="549" t="s">
        <v>188</v>
      </c>
      <c r="CD79" s="662"/>
      <c r="CE79" s="661" t="s">
        <v>188</v>
      </c>
      <c r="CF79" s="662" t="s">
        <v>188</v>
      </c>
      <c r="CG79" s="662" t="s">
        <v>188</v>
      </c>
      <c r="CH79" s="662" t="s">
        <v>188</v>
      </c>
      <c r="CI79" s="662" t="s">
        <v>188</v>
      </c>
      <c r="CJ79" s="662" t="s">
        <v>188</v>
      </c>
      <c r="CK79" s="662" t="s">
        <v>188</v>
      </c>
      <c r="CL79" s="662" t="s">
        <v>188</v>
      </c>
      <c r="CM79" s="662" t="s">
        <v>188</v>
      </c>
      <c r="CN79" s="662" t="s">
        <v>188</v>
      </c>
      <c r="CO79" s="616"/>
      <c r="CP79" s="616"/>
      <c r="CQ79" s="616"/>
      <c r="CR79" s="616"/>
      <c r="CS79" s="616"/>
      <c r="CT79" s="616"/>
      <c r="CU79" s="616"/>
      <c r="CV79" s="616"/>
      <c r="CW79" s="616"/>
      <c r="CX79" s="616"/>
      <c r="CY79" s="616"/>
      <c r="CZ79" s="616"/>
      <c r="DA79" s="616"/>
      <c r="DB79" s="616"/>
      <c r="DC79" s="640"/>
      <c r="DD79" s="640"/>
      <c r="DE79" s="640"/>
      <c r="DF79" s="640"/>
      <c r="DG79" s="640"/>
      <c r="DH79" s="640"/>
      <c r="DI79" s="576"/>
      <c r="DJ79" s="576"/>
      <c r="DK79" s="576"/>
      <c r="DL79" s="576"/>
      <c r="DM79" s="576"/>
      <c r="DN79" s="576"/>
      <c r="DO79" s="576"/>
      <c r="DP79" s="576"/>
      <c r="DQ79" s="576"/>
      <c r="DR79" s="576"/>
      <c r="DS79" s="576"/>
      <c r="DT79" s="576"/>
      <c r="DU79" s="576"/>
      <c r="DV79" s="576"/>
      <c r="DW79" s="576"/>
      <c r="DX79" s="577"/>
      <c r="DY79" s="577"/>
      <c r="DZ79" s="577"/>
      <c r="EA79" s="577"/>
      <c r="EB79" s="577"/>
      <c r="EC79" s="577"/>
      <c r="ED79" s="577"/>
      <c r="EE79" s="577"/>
      <c r="EF79" s="577"/>
      <c r="EG79" s="577"/>
      <c r="EH79" s="8">
        <v>52</v>
      </c>
    </row>
    <row r="80" spans="1:139" x14ac:dyDescent="0.25">
      <c r="A80" s="16">
        <v>76</v>
      </c>
      <c r="B80" s="19" t="s">
        <v>739</v>
      </c>
      <c r="C80" s="19"/>
      <c r="D80" s="19" t="s">
        <v>77</v>
      </c>
      <c r="E80" s="19" t="s">
        <v>75</v>
      </c>
      <c r="F80" s="19" t="s">
        <v>8</v>
      </c>
      <c r="G80" s="19" t="s">
        <v>837</v>
      </c>
      <c r="H80" s="539">
        <v>-99</v>
      </c>
      <c r="I80" s="539">
        <v>0.61502267205466932</v>
      </c>
      <c r="J80" s="539">
        <v>-99</v>
      </c>
      <c r="K80" s="539">
        <v>0.47905184261192296</v>
      </c>
      <c r="L80" s="539">
        <v>-99</v>
      </c>
      <c r="M80" s="539">
        <v>-99</v>
      </c>
      <c r="N80" s="539">
        <v>0.57624360428887544</v>
      </c>
      <c r="O80" s="539">
        <v>-99</v>
      </c>
      <c r="P80" s="539">
        <v>0.45540334750298928</v>
      </c>
      <c r="Q80" s="539">
        <v>-99</v>
      </c>
      <c r="R80" s="539">
        <v>-99</v>
      </c>
      <c r="S80" s="539">
        <v>0.64761869623173074</v>
      </c>
      <c r="T80" s="539">
        <v>-99</v>
      </c>
      <c r="U80" s="539">
        <v>0.4899023610490949</v>
      </c>
      <c r="V80" s="539">
        <v>-99</v>
      </c>
      <c r="W80" s="539">
        <v>-99</v>
      </c>
      <c r="X80" s="539">
        <v>-99</v>
      </c>
      <c r="Y80" s="539">
        <v>-99</v>
      </c>
      <c r="Z80" s="539">
        <v>-99</v>
      </c>
      <c r="AA80" s="539">
        <v>-99</v>
      </c>
      <c r="AB80" s="539">
        <v>-99</v>
      </c>
      <c r="AC80" s="539">
        <v>0.64367368955237925</v>
      </c>
      <c r="AD80" s="539">
        <v>-99</v>
      </c>
      <c r="AE80" s="539">
        <v>0.52958119524710745</v>
      </c>
      <c r="AF80" s="539">
        <v>-99</v>
      </c>
      <c r="AG80" s="539">
        <v>-99</v>
      </c>
      <c r="AH80" s="540">
        <v>0.99578941510944174</v>
      </c>
      <c r="AI80" s="539">
        <v>-99</v>
      </c>
      <c r="AJ80" s="540">
        <v>0.74921190581772601</v>
      </c>
      <c r="AK80" s="539">
        <v>-99</v>
      </c>
      <c r="AL80" s="539">
        <v>-99</v>
      </c>
      <c r="AM80" s="540">
        <v>0.90740071195841254</v>
      </c>
      <c r="AN80" s="539">
        <v>-99</v>
      </c>
      <c r="AO80" s="540">
        <v>0.70419010802789161</v>
      </c>
      <c r="AP80" s="541">
        <v>-99</v>
      </c>
      <c r="AQ80" s="539">
        <v>-99</v>
      </c>
      <c r="AR80" s="540">
        <v>1.0759432514706539</v>
      </c>
      <c r="AS80" s="539">
        <v>-99</v>
      </c>
      <c r="AT80" s="540">
        <v>0.76788880816613359</v>
      </c>
      <c r="AU80" s="539">
        <v>-99</v>
      </c>
      <c r="AV80" s="540">
        <v>-99</v>
      </c>
      <c r="AW80" s="540">
        <v>-99</v>
      </c>
      <c r="AX80" s="540">
        <v>-99</v>
      </c>
      <c r="AY80" s="540">
        <v>-99</v>
      </c>
      <c r="AZ80" s="539">
        <v>-99</v>
      </c>
      <c r="BA80" s="539">
        <v>-99</v>
      </c>
      <c r="BB80" s="540">
        <v>1.0413500542764098</v>
      </c>
      <c r="BC80" s="539">
        <v>-99</v>
      </c>
      <c r="BD80" s="540">
        <v>0.8524468486397544</v>
      </c>
      <c r="BE80" s="541">
        <v>-99</v>
      </c>
      <c r="BF80" s="612"/>
      <c r="BG80" s="612"/>
      <c r="BH80" s="612">
        <v>-99</v>
      </c>
      <c r="BI80" s="641"/>
      <c r="BJ80" s="641"/>
      <c r="BK80" s="641"/>
      <c r="BL80" s="641"/>
      <c r="BM80" s="545">
        <v>-99</v>
      </c>
      <c r="BN80" s="545">
        <v>-99</v>
      </c>
      <c r="BO80" s="641"/>
      <c r="BP80" s="641"/>
      <c r="BQ80" s="641"/>
      <c r="BR80" s="640"/>
      <c r="BS80" s="547" t="s">
        <v>188</v>
      </c>
      <c r="BT80" s="549" t="s">
        <v>188</v>
      </c>
      <c r="BU80" s="549" t="s">
        <v>188</v>
      </c>
      <c r="BV80" s="549" t="s">
        <v>188</v>
      </c>
      <c r="BW80" s="549" t="s">
        <v>188</v>
      </c>
      <c r="BX80" s="549" t="s">
        <v>188</v>
      </c>
      <c r="BY80" s="549" t="s">
        <v>188</v>
      </c>
      <c r="BZ80" s="549" t="s">
        <v>188</v>
      </c>
      <c r="CA80" s="549" t="s">
        <v>188</v>
      </c>
      <c r="CB80" s="549" t="s">
        <v>188</v>
      </c>
      <c r="CC80" s="549" t="s">
        <v>188</v>
      </c>
      <c r="CD80" s="662"/>
      <c r="CE80" s="661" t="s">
        <v>188</v>
      </c>
      <c r="CF80" s="662" t="s">
        <v>188</v>
      </c>
      <c r="CG80" s="662" t="s">
        <v>188</v>
      </c>
      <c r="CH80" s="662" t="s">
        <v>188</v>
      </c>
      <c r="CI80" s="662" t="s">
        <v>188</v>
      </c>
      <c r="CJ80" s="662" t="s">
        <v>188</v>
      </c>
      <c r="CK80" s="662" t="s">
        <v>188</v>
      </c>
      <c r="CL80" s="662" t="s">
        <v>188</v>
      </c>
      <c r="CM80" s="662" t="s">
        <v>188</v>
      </c>
      <c r="CN80" s="662" t="s">
        <v>188</v>
      </c>
      <c r="CO80" s="640"/>
      <c r="CP80" s="640"/>
      <c r="CQ80" s="640"/>
      <c r="CR80" s="640"/>
      <c r="CS80" s="640"/>
      <c r="CT80" s="640"/>
      <c r="CU80" s="640"/>
      <c r="CV80" s="640"/>
      <c r="CW80" s="640"/>
      <c r="CX80" s="640"/>
      <c r="CY80" s="640"/>
      <c r="CZ80" s="640"/>
      <c r="DA80" s="640"/>
      <c r="DB80" s="640"/>
      <c r="DC80" s="640"/>
      <c r="DD80" s="640"/>
      <c r="DE80" s="640"/>
      <c r="DF80" s="640"/>
      <c r="DG80" s="640"/>
      <c r="DH80" s="640"/>
      <c r="DI80" s="641"/>
      <c r="DJ80" s="641"/>
      <c r="DK80" s="641"/>
      <c r="DL80" s="641"/>
      <c r="DM80" s="641"/>
      <c r="DN80" s="641"/>
      <c r="DO80" s="641"/>
      <c r="DP80" s="641"/>
      <c r="DQ80" s="641"/>
      <c r="DR80" s="641"/>
      <c r="DS80" s="641"/>
      <c r="DT80" s="641"/>
      <c r="DU80" s="641"/>
      <c r="DV80" s="641"/>
      <c r="DW80" s="641"/>
      <c r="DX80" s="607"/>
      <c r="DY80" s="607"/>
      <c r="DZ80" s="607"/>
      <c r="EA80" s="607"/>
      <c r="EB80" s="607"/>
      <c r="EC80" s="607"/>
      <c r="ED80" s="607"/>
      <c r="EE80" s="607"/>
      <c r="EF80" s="607"/>
      <c r="EG80" s="607"/>
      <c r="EH80" s="8">
        <v>50</v>
      </c>
    </row>
    <row r="81" spans="1:138" x14ac:dyDescent="0.25">
      <c r="A81" s="16">
        <v>77</v>
      </c>
      <c r="B81" s="19" t="s">
        <v>87</v>
      </c>
      <c r="C81" s="19"/>
      <c r="D81" s="19" t="s">
        <v>77</v>
      </c>
      <c r="E81" s="19" t="s">
        <v>75</v>
      </c>
      <c r="F81" s="19" t="s">
        <v>8</v>
      </c>
      <c r="G81" s="19" t="s">
        <v>837</v>
      </c>
      <c r="H81" s="539">
        <v>-99</v>
      </c>
      <c r="I81" s="539">
        <v>0.23682349997699048</v>
      </c>
      <c r="J81" s="539">
        <v>-99</v>
      </c>
      <c r="K81" s="539">
        <v>0.32646402302201455</v>
      </c>
      <c r="L81" s="539">
        <v>-99</v>
      </c>
      <c r="M81" s="539">
        <v>-99</v>
      </c>
      <c r="N81" s="539">
        <v>0.25124421001573477</v>
      </c>
      <c r="O81" s="539">
        <v>-99</v>
      </c>
      <c r="P81" s="539">
        <v>0.35118937282278839</v>
      </c>
      <c r="Q81" s="539">
        <v>-99</v>
      </c>
      <c r="R81" s="539">
        <v>-99</v>
      </c>
      <c r="S81" s="539">
        <v>0.21620318549301848</v>
      </c>
      <c r="T81" s="539">
        <v>-99</v>
      </c>
      <c r="U81" s="539">
        <v>0.29972257398637026</v>
      </c>
      <c r="V81" s="539">
        <v>-99</v>
      </c>
      <c r="W81" s="539">
        <v>-99</v>
      </c>
      <c r="X81" s="539">
        <v>-99</v>
      </c>
      <c r="Y81" s="539">
        <v>-99</v>
      </c>
      <c r="Z81" s="539">
        <v>-99</v>
      </c>
      <c r="AA81" s="539">
        <v>-99</v>
      </c>
      <c r="AB81" s="539">
        <v>-99</v>
      </c>
      <c r="AC81" s="539">
        <v>0.25481262035751856</v>
      </c>
      <c r="AD81" s="539">
        <v>-99</v>
      </c>
      <c r="AE81" s="539">
        <v>0.32835340399050134</v>
      </c>
      <c r="AF81" s="539">
        <v>-99</v>
      </c>
      <c r="AG81" s="539">
        <v>-99</v>
      </c>
      <c r="AH81" s="540">
        <v>0.3031481797874766</v>
      </c>
      <c r="AI81" s="539">
        <v>-99</v>
      </c>
      <c r="AJ81" s="540">
        <v>0.43415130159261134</v>
      </c>
      <c r="AK81" s="539">
        <v>-99</v>
      </c>
      <c r="AL81" s="539">
        <v>-99</v>
      </c>
      <c r="AM81" s="540">
        <v>0.32131257599519747</v>
      </c>
      <c r="AN81" s="539">
        <v>-99</v>
      </c>
      <c r="AO81" s="540">
        <v>0.46836190390284504</v>
      </c>
      <c r="AP81" s="541">
        <v>-99</v>
      </c>
      <c r="AQ81" s="539">
        <v>-99</v>
      </c>
      <c r="AR81" s="540">
        <v>0.28052456678740861</v>
      </c>
      <c r="AS81" s="539">
        <v>-99</v>
      </c>
      <c r="AT81" s="540">
        <v>0.39981942604290954</v>
      </c>
      <c r="AU81" s="539">
        <v>-99</v>
      </c>
      <c r="AV81" s="540">
        <v>-99</v>
      </c>
      <c r="AW81" s="540">
        <v>-99</v>
      </c>
      <c r="AX81" s="540">
        <v>-99</v>
      </c>
      <c r="AY81" s="540">
        <v>-99</v>
      </c>
      <c r="AZ81" s="539">
        <v>-99</v>
      </c>
      <c r="BA81" s="539">
        <v>-99</v>
      </c>
      <c r="BB81" s="540">
        <v>0.31451751128377992</v>
      </c>
      <c r="BC81" s="539">
        <v>-99</v>
      </c>
      <c r="BD81" s="540">
        <v>0.42728265278996092</v>
      </c>
      <c r="BE81" s="541">
        <v>-99</v>
      </c>
      <c r="BF81" s="612"/>
      <c r="BG81" s="612"/>
      <c r="BH81" s="612">
        <v>-99</v>
      </c>
      <c r="BI81" s="641"/>
      <c r="BJ81" s="641"/>
      <c r="BK81" s="641"/>
      <c r="BL81" s="641"/>
      <c r="BM81" s="545">
        <v>-99</v>
      </c>
      <c r="BN81" s="545">
        <v>-99</v>
      </c>
      <c r="BO81" s="641"/>
      <c r="BP81" s="641"/>
      <c r="BQ81" s="641"/>
      <c r="BR81" s="640"/>
      <c r="BS81" s="547" t="s">
        <v>188</v>
      </c>
      <c r="BT81" s="549" t="s">
        <v>188</v>
      </c>
      <c r="BU81" s="549" t="s">
        <v>188</v>
      </c>
      <c r="BV81" s="549" t="s">
        <v>188</v>
      </c>
      <c r="BW81" s="549" t="s">
        <v>188</v>
      </c>
      <c r="BX81" s="549" t="s">
        <v>188</v>
      </c>
      <c r="BY81" s="549" t="s">
        <v>188</v>
      </c>
      <c r="BZ81" s="549" t="s">
        <v>188</v>
      </c>
      <c r="CA81" s="549" t="s">
        <v>188</v>
      </c>
      <c r="CB81" s="549" t="s">
        <v>188</v>
      </c>
      <c r="CC81" s="549" t="s">
        <v>188</v>
      </c>
      <c r="CD81" s="662"/>
      <c r="CE81" s="661" t="s">
        <v>188</v>
      </c>
      <c r="CF81" s="662" t="s">
        <v>188</v>
      </c>
      <c r="CG81" s="662" t="s">
        <v>188</v>
      </c>
      <c r="CH81" s="662" t="s">
        <v>188</v>
      </c>
      <c r="CI81" s="662" t="s">
        <v>188</v>
      </c>
      <c r="CJ81" s="662" t="s">
        <v>188</v>
      </c>
      <c r="CK81" s="662" t="s">
        <v>188</v>
      </c>
      <c r="CL81" s="662" t="s">
        <v>188</v>
      </c>
      <c r="CM81" s="662" t="s">
        <v>188</v>
      </c>
      <c r="CN81" s="662" t="s">
        <v>188</v>
      </c>
      <c r="CO81" s="640"/>
      <c r="CP81" s="640"/>
      <c r="CQ81" s="640"/>
      <c r="CR81" s="640"/>
      <c r="CS81" s="640"/>
      <c r="CT81" s="640"/>
      <c r="CU81" s="640"/>
      <c r="CV81" s="640"/>
      <c r="CW81" s="640"/>
      <c r="CX81" s="640"/>
      <c r="CY81" s="640"/>
      <c r="CZ81" s="640"/>
      <c r="DA81" s="640"/>
      <c r="DB81" s="640"/>
      <c r="DC81" s="640"/>
      <c r="DD81" s="640"/>
      <c r="DE81" s="640"/>
      <c r="DF81" s="640"/>
      <c r="DG81" s="640"/>
      <c r="DH81" s="640"/>
      <c r="DI81" s="641"/>
      <c r="DJ81" s="641"/>
      <c r="DK81" s="641"/>
      <c r="DL81" s="641"/>
      <c r="DM81" s="641"/>
      <c r="DN81" s="641"/>
      <c r="DO81" s="641"/>
      <c r="DP81" s="641"/>
      <c r="DQ81" s="641"/>
      <c r="DR81" s="641"/>
      <c r="DS81" s="641"/>
      <c r="DT81" s="641"/>
      <c r="DU81" s="641"/>
      <c r="DV81" s="641"/>
      <c r="DW81" s="641"/>
      <c r="DX81" s="607"/>
      <c r="DY81" s="607"/>
      <c r="DZ81" s="607"/>
      <c r="EA81" s="607"/>
      <c r="EB81" s="607"/>
      <c r="EC81" s="607"/>
      <c r="ED81" s="607"/>
      <c r="EE81" s="607"/>
      <c r="EF81" s="607"/>
      <c r="EG81" s="607"/>
      <c r="EH81" s="8">
        <v>49</v>
      </c>
    </row>
    <row r="82" spans="1:138" x14ac:dyDescent="0.25">
      <c r="A82" s="16">
        <v>78</v>
      </c>
      <c r="B82" s="19" t="s">
        <v>738</v>
      </c>
      <c r="C82" s="19"/>
      <c r="D82" s="19" t="s">
        <v>77</v>
      </c>
      <c r="E82" s="19" t="s">
        <v>75</v>
      </c>
      <c r="F82" s="19" t="s">
        <v>8</v>
      </c>
      <c r="G82" s="19" t="s">
        <v>837</v>
      </c>
      <c r="H82" s="539">
        <v>6.0191999999999996E-2</v>
      </c>
      <c r="I82" s="539">
        <v>0.10106100888358101</v>
      </c>
      <c r="J82" s="539">
        <v>0.112661</v>
      </c>
      <c r="K82" s="539">
        <v>5.069545329760243E-2</v>
      </c>
      <c r="L82" s="539">
        <v>0.12864200000000001</v>
      </c>
      <c r="M82" s="539">
        <v>4.836E-2</v>
      </c>
      <c r="N82" s="539">
        <v>0.11600000000000001</v>
      </c>
      <c r="O82" s="539">
        <v>0.104895</v>
      </c>
      <c r="P82" s="539">
        <v>6.3E-2</v>
      </c>
      <c r="Q82" s="539">
        <v>0.10430399999999999</v>
      </c>
      <c r="R82" s="539">
        <v>4.4114999999999994E-2</v>
      </c>
      <c r="S82" s="539">
        <v>6.9000000000000006E-2</v>
      </c>
      <c r="T82" s="539">
        <v>0.115</v>
      </c>
      <c r="U82" s="539">
        <v>3.9E-2</v>
      </c>
      <c r="V82" s="539">
        <v>0.13480800000000001</v>
      </c>
      <c r="W82" s="539">
        <v>-99</v>
      </c>
      <c r="X82" s="539">
        <v>-99</v>
      </c>
      <c r="Y82" s="539">
        <v>-99</v>
      </c>
      <c r="Z82" s="539">
        <v>-99</v>
      </c>
      <c r="AA82" s="539">
        <v>-99</v>
      </c>
      <c r="AB82" s="539">
        <v>0.16300799999999999</v>
      </c>
      <c r="AC82" s="539">
        <v>0.153</v>
      </c>
      <c r="AD82" s="539">
        <v>0.13973099999999999</v>
      </c>
      <c r="AE82" s="539">
        <v>4.8000000000000001E-2</v>
      </c>
      <c r="AF82" s="539">
        <v>0.19553600000000002</v>
      </c>
      <c r="AG82" s="539">
        <v>-99</v>
      </c>
      <c r="AH82" s="540">
        <v>-99</v>
      </c>
      <c r="AI82" s="539">
        <v>-99</v>
      </c>
      <c r="AJ82" s="540">
        <v>-99</v>
      </c>
      <c r="AK82" s="539">
        <v>-99</v>
      </c>
      <c r="AL82" s="539">
        <v>-99</v>
      </c>
      <c r="AM82" s="540">
        <v>-99</v>
      </c>
      <c r="AN82" s="539">
        <v>-99</v>
      </c>
      <c r="AO82" s="540">
        <v>-99</v>
      </c>
      <c r="AP82" s="541">
        <v>-99</v>
      </c>
      <c r="AQ82" s="539">
        <v>-99</v>
      </c>
      <c r="AR82" s="540">
        <v>-99</v>
      </c>
      <c r="AS82" s="539">
        <v>-99</v>
      </c>
      <c r="AT82" s="540">
        <v>-99</v>
      </c>
      <c r="AU82" s="539">
        <v>-99</v>
      </c>
      <c r="AV82" s="540">
        <v>-99</v>
      </c>
      <c r="AW82" s="540">
        <v>-99</v>
      </c>
      <c r="AX82" s="540">
        <v>-99</v>
      </c>
      <c r="AY82" s="540">
        <v>-99</v>
      </c>
      <c r="AZ82" s="539">
        <v>-99</v>
      </c>
      <c r="BA82" s="539">
        <v>-99</v>
      </c>
      <c r="BB82" s="540">
        <v>-99</v>
      </c>
      <c r="BC82" s="539">
        <v>-99</v>
      </c>
      <c r="BD82" s="540">
        <v>-99</v>
      </c>
      <c r="BE82" s="541">
        <v>-99</v>
      </c>
      <c r="BF82" s="542"/>
      <c r="BG82" s="612"/>
      <c r="BH82" s="584">
        <v>-98</v>
      </c>
      <c r="BI82" s="576"/>
      <c r="BJ82" s="576"/>
      <c r="BK82" s="576"/>
      <c r="BL82" s="576"/>
      <c r="BM82" s="545">
        <v>-98</v>
      </c>
      <c r="BN82" s="545">
        <v>-98</v>
      </c>
      <c r="BO82" s="576"/>
      <c r="BP82" s="576"/>
      <c r="BQ82" s="576"/>
      <c r="BR82" s="570"/>
      <c r="BS82" s="747">
        <v>47.435384524245436</v>
      </c>
      <c r="BT82" s="747">
        <v>9.5397995088885296E-5</v>
      </c>
      <c r="BU82" s="747">
        <v>64.875391112776398</v>
      </c>
      <c r="BV82" s="747">
        <v>1.8747382747219001E-4</v>
      </c>
      <c r="BW82" s="747">
        <v>33.705462832179798</v>
      </c>
      <c r="BX82" s="754">
        <v>1.01576540346666E-4</v>
      </c>
      <c r="BY82" s="648" t="s">
        <v>188</v>
      </c>
      <c r="BZ82" s="747" t="s">
        <v>188</v>
      </c>
      <c r="CA82" s="747">
        <v>28.345757417773701</v>
      </c>
      <c r="CB82" s="747">
        <v>1.4445226645504701E-4</v>
      </c>
      <c r="CC82" s="597" t="s">
        <v>995</v>
      </c>
      <c r="CD82" s="748"/>
      <c r="CE82" s="749">
        <v>147258920.24618101</v>
      </c>
      <c r="CF82" s="748">
        <v>86.769640674605398</v>
      </c>
      <c r="CG82" s="748">
        <v>58436794.512019597</v>
      </c>
      <c r="CH82" s="748">
        <v>69.258571031500495</v>
      </c>
      <c r="CI82" s="748">
        <v>74222891.172677293</v>
      </c>
      <c r="CJ82" s="748" t="s">
        <v>188</v>
      </c>
      <c r="CK82" s="748" t="s">
        <v>188</v>
      </c>
      <c r="CL82" s="748">
        <v>0</v>
      </c>
      <c r="CM82" s="748">
        <v>14599234.561484899</v>
      </c>
      <c r="CN82" s="748">
        <v>17.5110696431049</v>
      </c>
      <c r="CO82" s="616"/>
      <c r="CP82" s="616"/>
      <c r="CQ82" s="616"/>
      <c r="CR82" s="616"/>
      <c r="CS82" s="616"/>
      <c r="CT82" s="616"/>
      <c r="CU82" s="616"/>
      <c r="CV82" s="616"/>
      <c r="CW82" s="616"/>
      <c r="CX82" s="616"/>
      <c r="CY82" s="616"/>
      <c r="CZ82" s="616"/>
      <c r="DA82" s="616"/>
      <c r="DB82" s="616"/>
      <c r="DC82" s="640"/>
      <c r="DD82" s="640"/>
      <c r="DE82" s="640"/>
      <c r="DF82" s="640"/>
      <c r="DG82" s="640"/>
      <c r="DH82" s="640"/>
      <c r="DI82" s="576"/>
      <c r="DJ82" s="576"/>
      <c r="DK82" s="576"/>
      <c r="DL82" s="576"/>
      <c r="DM82" s="576"/>
      <c r="DN82" s="576"/>
      <c r="DO82" s="576"/>
      <c r="DP82" s="576"/>
      <c r="DQ82" s="576"/>
      <c r="DR82" s="576"/>
      <c r="DS82" s="576"/>
      <c r="DT82" s="576"/>
      <c r="DU82" s="576"/>
      <c r="DV82" s="576"/>
      <c r="DW82" s="576"/>
      <c r="DX82" s="577"/>
      <c r="DY82" s="577"/>
      <c r="DZ82" s="577"/>
      <c r="EA82" s="577"/>
      <c r="EB82" s="577"/>
      <c r="EC82" s="577"/>
      <c r="ED82" s="577"/>
      <c r="EE82" s="577"/>
      <c r="EF82" s="577"/>
      <c r="EG82" s="577"/>
      <c r="EH82" s="8">
        <v>47</v>
      </c>
    </row>
    <row r="83" spans="1:138" x14ac:dyDescent="0.25">
      <c r="A83" s="16">
        <v>79</v>
      </c>
      <c r="B83" s="19" t="s">
        <v>30</v>
      </c>
      <c r="C83" s="19"/>
      <c r="D83" s="19" t="s">
        <v>77</v>
      </c>
      <c r="E83" s="19" t="s">
        <v>74</v>
      </c>
      <c r="F83" s="19" t="s">
        <v>8</v>
      </c>
      <c r="G83" s="19" t="s">
        <v>837</v>
      </c>
      <c r="H83" s="539">
        <v>0.09</v>
      </c>
      <c r="I83" s="539">
        <v>0.17593836027863638</v>
      </c>
      <c r="J83" s="539">
        <v>-98</v>
      </c>
      <c r="K83" s="539">
        <v>0.16778750749333124</v>
      </c>
      <c r="L83" s="539">
        <v>-99</v>
      </c>
      <c r="M83" s="539">
        <v>7.6999999999999999E-2</v>
      </c>
      <c r="N83" s="539">
        <v>0.15732102653177737</v>
      </c>
      <c r="O83" s="539">
        <v>-98</v>
      </c>
      <c r="P83" s="539">
        <v>0.14132079262317598</v>
      </c>
      <c r="Q83" s="539">
        <v>-99</v>
      </c>
      <c r="R83" s="539">
        <v>0.1</v>
      </c>
      <c r="S83" s="539">
        <v>0.21836277466394402</v>
      </c>
      <c r="T83" s="539">
        <v>-98</v>
      </c>
      <c r="U83" s="539">
        <v>0.20464400349893494</v>
      </c>
      <c r="V83" s="539">
        <v>-99</v>
      </c>
      <c r="W83" s="539">
        <v>-99</v>
      </c>
      <c r="X83" s="539">
        <v>-99</v>
      </c>
      <c r="Y83" s="539">
        <v>-99</v>
      </c>
      <c r="Z83" s="539">
        <v>-99</v>
      </c>
      <c r="AA83" s="539">
        <v>-99</v>
      </c>
      <c r="AB83" s="539">
        <v>0.1</v>
      </c>
      <c r="AC83" s="539">
        <v>9.9452698865068509E-2</v>
      </c>
      <c r="AD83" s="539">
        <v>-98</v>
      </c>
      <c r="AE83" s="539">
        <v>0.13651000633296778</v>
      </c>
      <c r="AF83" s="539">
        <v>-99</v>
      </c>
      <c r="AG83" s="539">
        <v>-99</v>
      </c>
      <c r="AH83" s="540">
        <v>0.20676044257001719</v>
      </c>
      <c r="AI83" s="539">
        <v>-99</v>
      </c>
      <c r="AJ83" s="540">
        <v>0.20626864540110718</v>
      </c>
      <c r="AK83" s="539">
        <v>-99</v>
      </c>
      <c r="AL83" s="539">
        <v>-99</v>
      </c>
      <c r="AM83" s="540">
        <v>0.18443571309106296</v>
      </c>
      <c r="AN83" s="539">
        <v>-99</v>
      </c>
      <c r="AO83" s="540">
        <v>0.16911357397507726</v>
      </c>
      <c r="AP83" s="541">
        <v>-99</v>
      </c>
      <c r="AQ83" s="539">
        <v>-99</v>
      </c>
      <c r="AR83" s="540">
        <v>0.25861320650530462</v>
      </c>
      <c r="AS83" s="539">
        <v>-99</v>
      </c>
      <c r="AT83" s="540">
        <v>0.25580128721278356</v>
      </c>
      <c r="AU83" s="539">
        <v>-99</v>
      </c>
      <c r="AV83" s="540">
        <v>-99</v>
      </c>
      <c r="AW83" s="540">
        <v>-99</v>
      </c>
      <c r="AX83" s="540">
        <v>-99</v>
      </c>
      <c r="AY83" s="540">
        <v>-99</v>
      </c>
      <c r="AZ83" s="539">
        <v>-99</v>
      </c>
      <c r="BA83" s="539">
        <v>-99</v>
      </c>
      <c r="BB83" s="540">
        <v>0.1117405083498291</v>
      </c>
      <c r="BC83" s="539">
        <v>-99</v>
      </c>
      <c r="BD83" s="540">
        <v>0.17020724819949418</v>
      </c>
      <c r="BE83" s="541">
        <v>-99</v>
      </c>
      <c r="BF83" s="542">
        <v>0.60199999999999998</v>
      </c>
      <c r="BG83" s="542">
        <v>0.62</v>
      </c>
      <c r="BH83" s="542">
        <v>0.72</v>
      </c>
      <c r="BI83" s="641"/>
      <c r="BJ83" s="641"/>
      <c r="BK83" s="641"/>
      <c r="BL83" s="641"/>
      <c r="BM83" s="545">
        <v>90</v>
      </c>
      <c r="BN83" s="545">
        <v>-99</v>
      </c>
      <c r="BO83" s="641"/>
      <c r="BP83" s="641"/>
      <c r="BQ83" s="641"/>
      <c r="BR83" s="640"/>
      <c r="BS83" s="547" t="s">
        <v>188</v>
      </c>
      <c r="BT83" s="549" t="s">
        <v>188</v>
      </c>
      <c r="BU83" s="549" t="s">
        <v>188</v>
      </c>
      <c r="BV83" s="549" t="s">
        <v>188</v>
      </c>
      <c r="BW83" s="549" t="s">
        <v>188</v>
      </c>
      <c r="BX83" s="549" t="s">
        <v>188</v>
      </c>
      <c r="BY83" s="549" t="s">
        <v>188</v>
      </c>
      <c r="BZ83" s="549" t="s">
        <v>188</v>
      </c>
      <c r="CA83" s="549" t="s">
        <v>188</v>
      </c>
      <c r="CB83" s="549" t="s">
        <v>188</v>
      </c>
      <c r="CC83" s="549" t="s">
        <v>188</v>
      </c>
      <c r="CD83" s="662"/>
      <c r="CE83" s="661" t="s">
        <v>188</v>
      </c>
      <c r="CF83" s="662" t="s">
        <v>188</v>
      </c>
      <c r="CG83" s="662" t="s">
        <v>188</v>
      </c>
      <c r="CH83" s="662" t="s">
        <v>188</v>
      </c>
      <c r="CI83" s="662" t="s">
        <v>188</v>
      </c>
      <c r="CJ83" s="662" t="s">
        <v>188</v>
      </c>
      <c r="CK83" s="662" t="s">
        <v>188</v>
      </c>
      <c r="CL83" s="662" t="s">
        <v>188</v>
      </c>
      <c r="CM83" s="662" t="s">
        <v>188</v>
      </c>
      <c r="CN83" s="662" t="s">
        <v>188</v>
      </c>
      <c r="CO83" s="640"/>
      <c r="CP83" s="640"/>
      <c r="CQ83" s="640"/>
      <c r="CR83" s="640"/>
      <c r="CS83" s="640"/>
      <c r="CT83" s="640"/>
      <c r="CU83" s="640"/>
      <c r="CV83" s="640"/>
      <c r="CW83" s="640"/>
      <c r="CX83" s="640"/>
      <c r="CY83" s="640"/>
      <c r="CZ83" s="640"/>
      <c r="DA83" s="640"/>
      <c r="DB83" s="640"/>
      <c r="DC83" s="640"/>
      <c r="DD83" s="640"/>
      <c r="DE83" s="640"/>
      <c r="DF83" s="640"/>
      <c r="DG83" s="640"/>
      <c r="DH83" s="640"/>
      <c r="DI83" s="641"/>
      <c r="DJ83" s="641"/>
      <c r="DK83" s="641"/>
      <c r="DL83" s="641"/>
      <c r="DM83" s="641"/>
      <c r="DN83" s="641"/>
      <c r="DO83" s="641"/>
      <c r="DP83" s="641"/>
      <c r="DQ83" s="641"/>
      <c r="DR83" s="641"/>
      <c r="DS83" s="641"/>
      <c r="DT83" s="641"/>
      <c r="DU83" s="641"/>
      <c r="DV83" s="641"/>
      <c r="DW83" s="641"/>
      <c r="DX83" s="607"/>
      <c r="DY83" s="607"/>
      <c r="DZ83" s="607"/>
      <c r="EA83" s="607"/>
      <c r="EB83" s="607"/>
      <c r="EC83" s="607"/>
      <c r="ED83" s="607"/>
      <c r="EE83" s="607"/>
      <c r="EF83" s="607"/>
      <c r="EG83" s="607"/>
      <c r="EH83" s="8">
        <v>40</v>
      </c>
    </row>
    <row r="84" spans="1:138" x14ac:dyDescent="0.25">
      <c r="A84" s="16">
        <v>80</v>
      </c>
      <c r="B84" s="526" t="s">
        <v>737</v>
      </c>
      <c r="C84" s="526"/>
      <c r="D84" s="19" t="s">
        <v>77</v>
      </c>
      <c r="E84" s="19" t="s">
        <v>75</v>
      </c>
      <c r="F84" s="19" t="s">
        <v>8</v>
      </c>
      <c r="G84" s="19" t="s">
        <v>837</v>
      </c>
      <c r="H84" s="539">
        <v>3.2000000000000001E-2</v>
      </c>
      <c r="I84" s="539">
        <v>4.9346286092956798E-2</v>
      </c>
      <c r="J84" s="539">
        <v>-98</v>
      </c>
      <c r="K84" s="539">
        <v>4.8223933953954405E-2</v>
      </c>
      <c r="L84" s="539">
        <v>-99</v>
      </c>
      <c r="M84" s="539">
        <v>4.3999999999999997E-2</v>
      </c>
      <c r="N84" s="539">
        <v>4.8692923461982694E-2</v>
      </c>
      <c r="O84" s="539">
        <v>-98</v>
      </c>
      <c r="P84" s="539">
        <v>4.1407131208971097E-2</v>
      </c>
      <c r="Q84" s="539">
        <v>-99</v>
      </c>
      <c r="R84" s="539">
        <v>2.9000000000000001E-2</v>
      </c>
      <c r="S84" s="539">
        <v>6.0677902890625308E-2</v>
      </c>
      <c r="T84" s="539">
        <v>-98</v>
      </c>
      <c r="U84" s="539">
        <v>6.3972681955597202E-2</v>
      </c>
      <c r="V84" s="539">
        <v>-99</v>
      </c>
      <c r="W84" s="539">
        <v>-99</v>
      </c>
      <c r="X84" s="539">
        <v>-99</v>
      </c>
      <c r="Y84" s="539">
        <v>-99</v>
      </c>
      <c r="Z84" s="539">
        <v>-99</v>
      </c>
      <c r="AA84" s="539">
        <v>-99</v>
      </c>
      <c r="AB84" s="539">
        <v>0</v>
      </c>
      <c r="AC84" s="539">
        <v>1.3489284189937186E-2</v>
      </c>
      <c r="AD84" s="539">
        <v>-98</v>
      </c>
      <c r="AE84" s="539">
        <v>1.7934737100541352E-2</v>
      </c>
      <c r="AF84" s="539">
        <v>-99</v>
      </c>
      <c r="AG84" s="539">
        <v>-99</v>
      </c>
      <c r="AH84" s="540">
        <v>5.5545740507961509E-2</v>
      </c>
      <c r="AI84" s="539">
        <v>-99</v>
      </c>
      <c r="AJ84" s="540">
        <v>5.4316197866149371E-2</v>
      </c>
      <c r="AK84" s="539">
        <v>-99</v>
      </c>
      <c r="AL84" s="539">
        <v>-99</v>
      </c>
      <c r="AM84" s="540">
        <v>5.1426340068076656E-2</v>
      </c>
      <c r="AN84" s="539">
        <v>-99</v>
      </c>
      <c r="AO84" s="540">
        <v>4.5386776795658085E-2</v>
      </c>
      <c r="AP84" s="541">
        <v>-99</v>
      </c>
      <c r="AQ84" s="539">
        <v>-99</v>
      </c>
      <c r="AR84" s="540">
        <v>7.1866012915475036E-2</v>
      </c>
      <c r="AS84" s="539">
        <v>-99</v>
      </c>
      <c r="AT84" s="540">
        <v>7.374595572895698E-2</v>
      </c>
      <c r="AU84" s="539">
        <v>-99</v>
      </c>
      <c r="AV84" s="540">
        <v>-99</v>
      </c>
      <c r="AW84" s="540">
        <v>-99</v>
      </c>
      <c r="AX84" s="540">
        <v>-99</v>
      </c>
      <c r="AY84" s="540">
        <v>-99</v>
      </c>
      <c r="AZ84" s="539">
        <v>-99</v>
      </c>
      <c r="BA84" s="539">
        <v>-99</v>
      </c>
      <c r="BB84" s="540">
        <v>1.5255367987336624E-2</v>
      </c>
      <c r="BC84" s="539">
        <v>-99</v>
      </c>
      <c r="BD84" s="540">
        <v>1.890378685457994E-2</v>
      </c>
      <c r="BE84" s="541">
        <v>-99</v>
      </c>
      <c r="BF84" s="612"/>
      <c r="BG84" s="612"/>
      <c r="BH84" s="612">
        <v>-99</v>
      </c>
      <c r="BI84" s="576"/>
      <c r="BJ84" s="576"/>
      <c r="BK84" s="576"/>
      <c r="BL84" s="576"/>
      <c r="BM84" s="545">
        <v>-99</v>
      </c>
      <c r="BN84" s="545">
        <v>-99</v>
      </c>
      <c r="BO84" s="576"/>
      <c r="BP84" s="576"/>
      <c r="BQ84" s="576"/>
      <c r="BR84" s="570"/>
      <c r="BS84" s="747">
        <v>372.92115715074112</v>
      </c>
      <c r="BT84" s="747">
        <v>0</v>
      </c>
      <c r="BU84" s="747">
        <v>252.05994740449199</v>
      </c>
      <c r="BV84" s="747">
        <v>0</v>
      </c>
      <c r="BW84" s="747">
        <v>467.76843718970503</v>
      </c>
      <c r="BX84" s="648">
        <v>0</v>
      </c>
      <c r="BY84" s="648" t="s">
        <v>188</v>
      </c>
      <c r="BZ84" s="747" t="s">
        <v>188</v>
      </c>
      <c r="CA84" s="747">
        <v>506.32274071746002</v>
      </c>
      <c r="CB84" s="747">
        <v>0</v>
      </c>
      <c r="CC84" s="753" t="s">
        <v>988</v>
      </c>
      <c r="CD84" s="748"/>
      <c r="CE84" s="749">
        <v>277129337.82472801</v>
      </c>
      <c r="CF84" s="748">
        <v>0</v>
      </c>
      <c r="CG84" s="748">
        <v>61635957.634643003</v>
      </c>
      <c r="CH84" s="748">
        <v>0</v>
      </c>
      <c r="CI84" s="748">
        <v>171337640.945665</v>
      </c>
      <c r="CJ84" s="748" t="s">
        <v>188</v>
      </c>
      <c r="CK84" s="748" t="s">
        <v>188</v>
      </c>
      <c r="CL84" s="748">
        <v>0</v>
      </c>
      <c r="CM84" s="748">
        <v>44155739.244418897</v>
      </c>
      <c r="CN84" s="748">
        <v>0</v>
      </c>
      <c r="CO84" s="616"/>
      <c r="CP84" s="616"/>
      <c r="CQ84" s="616"/>
      <c r="CR84" s="616"/>
      <c r="CS84" s="616"/>
      <c r="CT84" s="616"/>
      <c r="CU84" s="616"/>
      <c r="CV84" s="616"/>
      <c r="CW84" s="616"/>
      <c r="CX84" s="616"/>
      <c r="CY84" s="616"/>
      <c r="CZ84" s="616"/>
      <c r="DA84" s="616"/>
      <c r="DB84" s="616"/>
      <c r="DC84" s="640"/>
      <c r="DD84" s="640"/>
      <c r="DE84" s="640"/>
      <c r="DF84" s="640"/>
      <c r="DG84" s="640"/>
      <c r="DH84" s="640"/>
      <c r="DI84" s="576"/>
      <c r="DJ84" s="576"/>
      <c r="DK84" s="576"/>
      <c r="DL84" s="576"/>
      <c r="DM84" s="576"/>
      <c r="DN84" s="576"/>
      <c r="DO84" s="576"/>
      <c r="DP84" s="576"/>
      <c r="DQ84" s="576"/>
      <c r="DR84" s="576"/>
      <c r="DS84" s="576"/>
      <c r="DT84" s="576"/>
      <c r="DU84" s="576"/>
      <c r="DV84" s="576"/>
      <c r="DW84" s="576"/>
      <c r="DX84" s="577"/>
      <c r="DY84" s="577"/>
      <c r="DZ84" s="577"/>
      <c r="EA84" s="577"/>
      <c r="EB84" s="577"/>
      <c r="EC84" s="577"/>
      <c r="ED84" s="577"/>
      <c r="EE84" s="577"/>
      <c r="EF84" s="577"/>
      <c r="EG84" s="577"/>
      <c r="EH84" s="8">
        <v>94</v>
      </c>
    </row>
    <row r="85" spans="1:138" x14ac:dyDescent="0.25">
      <c r="A85" s="16">
        <v>81</v>
      </c>
      <c r="B85" s="19" t="s">
        <v>19</v>
      </c>
      <c r="C85" s="19" t="s">
        <v>182</v>
      </c>
      <c r="D85" s="19" t="s">
        <v>77</v>
      </c>
      <c r="E85" s="19" t="s">
        <v>75</v>
      </c>
      <c r="F85" s="19" t="s">
        <v>8</v>
      </c>
      <c r="G85" s="19" t="s">
        <v>837</v>
      </c>
      <c r="H85" s="539">
        <v>-99</v>
      </c>
      <c r="I85" s="539">
        <v>0.31399245879919252</v>
      </c>
      <c r="J85" s="539">
        <v>0.311</v>
      </c>
      <c r="K85" s="539">
        <v>0.45028942619851753</v>
      </c>
      <c r="L85" s="539">
        <v>0.41900000000000004</v>
      </c>
      <c r="M85" s="539">
        <v>-99</v>
      </c>
      <c r="N85" s="539">
        <v>0.35899999999999999</v>
      </c>
      <c r="O85" s="539">
        <v>0.44800000000000001</v>
      </c>
      <c r="P85" s="539">
        <v>0.47199999999999998</v>
      </c>
      <c r="Q85" s="539">
        <v>0.48099999999999998</v>
      </c>
      <c r="R85" s="539">
        <v>-99</v>
      </c>
      <c r="S85" s="539">
        <v>0.27500000000000002</v>
      </c>
      <c r="T85" s="539">
        <v>0.18099999999999999</v>
      </c>
      <c r="U85" s="539">
        <v>0.439</v>
      </c>
      <c r="V85" s="539">
        <v>0.35599999999999998</v>
      </c>
      <c r="W85" s="539">
        <v>-99</v>
      </c>
      <c r="X85" s="539">
        <v>-99</v>
      </c>
      <c r="Y85" s="539">
        <v>-99</v>
      </c>
      <c r="Z85" s="539">
        <v>-99</v>
      </c>
      <c r="AA85" s="539">
        <v>-99</v>
      </c>
      <c r="AB85" s="539">
        <v>-99</v>
      </c>
      <c r="AC85" s="539">
        <v>0.28599999999999998</v>
      </c>
      <c r="AD85" s="539">
        <v>0.221</v>
      </c>
      <c r="AE85" s="539">
        <v>0.41</v>
      </c>
      <c r="AF85" s="539">
        <v>0.41</v>
      </c>
      <c r="AG85" s="539">
        <v>-99</v>
      </c>
      <c r="AH85" s="540">
        <v>-99</v>
      </c>
      <c r="AI85" s="539">
        <v>-99</v>
      </c>
      <c r="AJ85" s="540">
        <v>-99</v>
      </c>
      <c r="AK85" s="539">
        <v>-99</v>
      </c>
      <c r="AL85" s="539">
        <v>-99</v>
      </c>
      <c r="AM85" s="540">
        <v>-99</v>
      </c>
      <c r="AN85" s="539">
        <v>-99</v>
      </c>
      <c r="AO85" s="540">
        <v>-99</v>
      </c>
      <c r="AP85" s="541">
        <v>-99</v>
      </c>
      <c r="AQ85" s="539">
        <v>-99</v>
      </c>
      <c r="AR85" s="540">
        <v>-99</v>
      </c>
      <c r="AS85" s="539">
        <v>-99</v>
      </c>
      <c r="AT85" s="540">
        <v>-99</v>
      </c>
      <c r="AU85" s="539">
        <v>-99</v>
      </c>
      <c r="AV85" s="540">
        <v>-99</v>
      </c>
      <c r="AW85" s="540">
        <v>-99</v>
      </c>
      <c r="AX85" s="540">
        <v>-99</v>
      </c>
      <c r="AY85" s="540">
        <v>-99</v>
      </c>
      <c r="AZ85" s="539">
        <v>-99</v>
      </c>
      <c r="BA85" s="539">
        <v>-99</v>
      </c>
      <c r="BB85" s="540">
        <v>-99</v>
      </c>
      <c r="BC85" s="539">
        <v>-99</v>
      </c>
      <c r="BD85" s="540">
        <v>-99</v>
      </c>
      <c r="BE85" s="541">
        <v>-99</v>
      </c>
      <c r="BF85" s="612"/>
      <c r="BG85" s="612"/>
      <c r="BH85" s="612">
        <v>-99</v>
      </c>
      <c r="BI85" s="641"/>
      <c r="BJ85" s="641"/>
      <c r="BK85" s="641"/>
      <c r="BL85" s="641"/>
      <c r="BM85" s="545">
        <v>-99</v>
      </c>
      <c r="BN85" s="545">
        <v>-99</v>
      </c>
      <c r="BO85" s="641"/>
      <c r="BP85" s="641"/>
      <c r="BQ85" s="641"/>
      <c r="BR85" s="640"/>
      <c r="BS85" s="547" t="s">
        <v>188</v>
      </c>
      <c r="BT85" s="549" t="s">
        <v>188</v>
      </c>
      <c r="BU85" s="549" t="s">
        <v>188</v>
      </c>
      <c r="BV85" s="549" t="s">
        <v>188</v>
      </c>
      <c r="BW85" s="549" t="s">
        <v>188</v>
      </c>
      <c r="BX85" s="549" t="s">
        <v>188</v>
      </c>
      <c r="BY85" s="549" t="s">
        <v>188</v>
      </c>
      <c r="BZ85" s="549" t="s">
        <v>188</v>
      </c>
      <c r="CA85" s="549" t="s">
        <v>188</v>
      </c>
      <c r="CB85" s="549" t="s">
        <v>188</v>
      </c>
      <c r="CC85" s="549" t="s">
        <v>188</v>
      </c>
      <c r="CD85" s="662"/>
      <c r="CE85" s="661" t="s">
        <v>188</v>
      </c>
      <c r="CF85" s="662" t="s">
        <v>188</v>
      </c>
      <c r="CG85" s="662" t="s">
        <v>188</v>
      </c>
      <c r="CH85" s="662" t="s">
        <v>188</v>
      </c>
      <c r="CI85" s="662" t="s">
        <v>188</v>
      </c>
      <c r="CJ85" s="662" t="s">
        <v>188</v>
      </c>
      <c r="CK85" s="662" t="s">
        <v>188</v>
      </c>
      <c r="CL85" s="662" t="s">
        <v>188</v>
      </c>
      <c r="CM85" s="662" t="s">
        <v>188</v>
      </c>
      <c r="CN85" s="662" t="s">
        <v>188</v>
      </c>
      <c r="CO85" s="640"/>
      <c r="CP85" s="640"/>
      <c r="CQ85" s="640"/>
      <c r="CR85" s="640"/>
      <c r="CS85" s="640"/>
      <c r="CT85" s="640"/>
      <c r="CU85" s="640"/>
      <c r="CV85" s="640"/>
      <c r="CW85" s="640"/>
      <c r="CX85" s="640"/>
      <c r="CY85" s="640"/>
      <c r="CZ85" s="640"/>
      <c r="DA85" s="640"/>
      <c r="DB85" s="640"/>
      <c r="DC85" s="640"/>
      <c r="DD85" s="640"/>
      <c r="DE85" s="640"/>
      <c r="DF85" s="640"/>
      <c r="DG85" s="640"/>
      <c r="DH85" s="640"/>
      <c r="DI85" s="641"/>
      <c r="DJ85" s="641"/>
      <c r="DK85" s="641"/>
      <c r="DL85" s="641"/>
      <c r="DM85" s="641"/>
      <c r="DN85" s="641"/>
      <c r="DO85" s="641"/>
      <c r="DP85" s="641"/>
      <c r="DQ85" s="641"/>
      <c r="DR85" s="641"/>
      <c r="DS85" s="641"/>
      <c r="DT85" s="641"/>
      <c r="DU85" s="641"/>
      <c r="DV85" s="641"/>
      <c r="DW85" s="641"/>
      <c r="DX85" s="577"/>
      <c r="DY85" s="577"/>
      <c r="DZ85" s="577"/>
      <c r="EA85" s="577"/>
      <c r="EB85" s="577"/>
      <c r="EC85" s="577"/>
      <c r="ED85" s="577"/>
      <c r="EE85" s="577"/>
      <c r="EF85" s="577"/>
      <c r="EG85" s="577"/>
      <c r="EH85" s="8">
        <v>21</v>
      </c>
    </row>
    <row r="86" spans="1:138" x14ac:dyDescent="0.25">
      <c r="A86" s="16">
        <v>82</v>
      </c>
      <c r="B86" s="19" t="s">
        <v>736</v>
      </c>
      <c r="C86" s="19"/>
      <c r="D86" s="19" t="s">
        <v>77</v>
      </c>
      <c r="E86" s="19" t="s">
        <v>75</v>
      </c>
      <c r="F86" s="19" t="s">
        <v>8</v>
      </c>
      <c r="G86" s="19" t="s">
        <v>837</v>
      </c>
      <c r="H86" s="539">
        <v>-99</v>
      </c>
      <c r="I86" s="539">
        <v>5.4250870976928683E-2</v>
      </c>
      <c r="J86" s="539">
        <v>-99</v>
      </c>
      <c r="K86" s="539">
        <v>8.1236690667794473E-2</v>
      </c>
      <c r="L86" s="539">
        <v>-99</v>
      </c>
      <c r="M86" s="539">
        <v>-99</v>
      </c>
      <c r="N86" s="539">
        <v>5.7028889760299177E-2</v>
      </c>
      <c r="O86" s="539">
        <v>-99</v>
      </c>
      <c r="P86" s="539">
        <v>7.9792718385216316E-2</v>
      </c>
      <c r="Q86" s="539">
        <v>-99</v>
      </c>
      <c r="R86" s="539">
        <v>-99</v>
      </c>
      <c r="S86" s="539">
        <v>5.2265469385313026E-2</v>
      </c>
      <c r="T86" s="539">
        <v>-99</v>
      </c>
      <c r="U86" s="539">
        <v>7.9974773630620805E-2</v>
      </c>
      <c r="V86" s="539">
        <v>-99</v>
      </c>
      <c r="W86" s="539">
        <v>-99</v>
      </c>
      <c r="X86" s="539">
        <v>-99</v>
      </c>
      <c r="Y86" s="539">
        <v>-99</v>
      </c>
      <c r="Z86" s="539">
        <v>-99</v>
      </c>
      <c r="AA86" s="539">
        <v>-99</v>
      </c>
      <c r="AB86" s="539">
        <v>-99</v>
      </c>
      <c r="AC86" s="539">
        <v>5.1019868039317663E-2</v>
      </c>
      <c r="AD86" s="539">
        <v>-99</v>
      </c>
      <c r="AE86" s="539">
        <v>9.1161404504292845E-2</v>
      </c>
      <c r="AF86" s="539">
        <v>-99</v>
      </c>
      <c r="AG86" s="539">
        <v>-99</v>
      </c>
      <c r="AH86" s="540">
        <v>5.8847064787650047E-2</v>
      </c>
      <c r="AI86" s="539">
        <v>-99</v>
      </c>
      <c r="AJ86" s="540">
        <v>9.528722267960521E-2</v>
      </c>
      <c r="AK86" s="539">
        <v>-99</v>
      </c>
      <c r="AL86" s="539">
        <v>-99</v>
      </c>
      <c r="AM86" s="540">
        <v>6.0021768529537479E-2</v>
      </c>
      <c r="AN86" s="539">
        <v>-99</v>
      </c>
      <c r="AO86" s="540">
        <v>9.1605198181646336E-2</v>
      </c>
      <c r="AP86" s="541">
        <v>-99</v>
      </c>
      <c r="AQ86" s="539">
        <v>-99</v>
      </c>
      <c r="AR86" s="540">
        <v>5.740344176839985E-2</v>
      </c>
      <c r="AS86" s="539">
        <v>-99</v>
      </c>
      <c r="AT86" s="540">
        <v>9.649109162378397E-2</v>
      </c>
      <c r="AU86" s="539">
        <v>-99</v>
      </c>
      <c r="AV86" s="540">
        <v>-99</v>
      </c>
      <c r="AW86" s="540">
        <v>-99</v>
      </c>
      <c r="AX86" s="540">
        <v>-99</v>
      </c>
      <c r="AY86" s="540">
        <v>-99</v>
      </c>
      <c r="AZ86" s="539">
        <v>-99</v>
      </c>
      <c r="BA86" s="539">
        <v>-99</v>
      </c>
      <c r="BB86" s="540">
        <v>5.9516737901013528E-2</v>
      </c>
      <c r="BC86" s="539">
        <v>-99</v>
      </c>
      <c r="BD86" s="540">
        <v>0.10488012480580389</v>
      </c>
      <c r="BE86" s="541">
        <v>-99</v>
      </c>
      <c r="BF86" s="612"/>
      <c r="BG86" s="612"/>
      <c r="BH86" s="612">
        <v>-99</v>
      </c>
      <c r="BI86" s="576"/>
      <c r="BJ86" s="576"/>
      <c r="BK86" s="576"/>
      <c r="BL86" s="576"/>
      <c r="BM86" s="545">
        <v>-99</v>
      </c>
      <c r="BN86" s="545">
        <v>-99</v>
      </c>
      <c r="BO86" s="576"/>
      <c r="BP86" s="576"/>
      <c r="BQ86" s="576"/>
      <c r="BR86" s="570"/>
      <c r="BS86" s="747">
        <v>34.603224780493292</v>
      </c>
      <c r="BT86" s="747">
        <v>-0.89801112431069519</v>
      </c>
      <c r="BU86" s="747">
        <v>62.580349776219997</v>
      </c>
      <c r="BV86" s="747">
        <v>-1.733672254517</v>
      </c>
      <c r="BW86" s="747">
        <v>12.2525032989646</v>
      </c>
      <c r="BX86" s="747">
        <v>-1.3480857982593299</v>
      </c>
      <c r="BY86" s="648" t="s">
        <v>188</v>
      </c>
      <c r="BZ86" s="747" t="s">
        <v>188</v>
      </c>
      <c r="CA86" s="747">
        <v>5.1711081668299803</v>
      </c>
      <c r="CB86" s="747">
        <v>-1.4924999970149999</v>
      </c>
      <c r="CC86" s="753" t="s">
        <v>988</v>
      </c>
      <c r="CD86" s="748"/>
      <c r="CE86" s="749">
        <v>135692258.832293</v>
      </c>
      <c r="CF86" s="749">
        <v>0</v>
      </c>
      <c r="CG86" s="749">
        <v>112139760.56121001</v>
      </c>
      <c r="CH86" s="749">
        <v>0</v>
      </c>
      <c r="CI86" s="749">
        <v>20769077.2875304</v>
      </c>
      <c r="CJ86" s="749" t="s">
        <v>188</v>
      </c>
      <c r="CK86" s="749" t="s">
        <v>188</v>
      </c>
      <c r="CL86" s="749">
        <v>0</v>
      </c>
      <c r="CM86" s="748">
        <v>2783420.9835519502</v>
      </c>
      <c r="CN86" s="748">
        <v>0</v>
      </c>
      <c r="CO86" s="616"/>
      <c r="CP86" s="616"/>
      <c r="CQ86" s="616"/>
      <c r="CR86" s="616"/>
      <c r="CS86" s="616"/>
      <c r="CT86" s="616"/>
      <c r="CU86" s="616"/>
      <c r="CV86" s="616"/>
      <c r="CW86" s="616"/>
      <c r="CX86" s="616"/>
      <c r="CY86" s="616"/>
      <c r="CZ86" s="616"/>
      <c r="DA86" s="616"/>
      <c r="DB86" s="616"/>
      <c r="DC86" s="640"/>
      <c r="DD86" s="640"/>
      <c r="DE86" s="640"/>
      <c r="DF86" s="640"/>
      <c r="DG86" s="640"/>
      <c r="DH86" s="640"/>
      <c r="DI86" s="576"/>
      <c r="DJ86" s="576"/>
      <c r="DK86" s="576"/>
      <c r="DL86" s="576"/>
      <c r="DM86" s="576"/>
      <c r="DN86" s="576"/>
      <c r="DO86" s="576"/>
      <c r="DP86" s="576"/>
      <c r="DQ86" s="576"/>
      <c r="DR86" s="576"/>
      <c r="DS86" s="576"/>
      <c r="DT86" s="576"/>
      <c r="DU86" s="576"/>
      <c r="DV86" s="576"/>
      <c r="DW86" s="576"/>
      <c r="DX86" s="577"/>
      <c r="DY86" s="577"/>
      <c r="DZ86" s="577"/>
      <c r="EA86" s="577"/>
      <c r="EB86" s="577"/>
      <c r="EC86" s="577"/>
      <c r="ED86" s="577"/>
      <c r="EE86" s="577"/>
      <c r="EF86" s="577"/>
      <c r="EG86" s="577"/>
      <c r="EH86" s="8">
        <v>1</v>
      </c>
    </row>
    <row r="87" spans="1:138" x14ac:dyDescent="0.25">
      <c r="A87" s="16">
        <v>83</v>
      </c>
      <c r="B87" s="19" t="s">
        <v>83</v>
      </c>
      <c r="C87" s="19" t="s">
        <v>119</v>
      </c>
      <c r="D87" s="19" t="s">
        <v>82</v>
      </c>
      <c r="E87" s="19" t="s">
        <v>74</v>
      </c>
      <c r="F87" s="526" t="s">
        <v>8</v>
      </c>
      <c r="G87" s="526" t="s">
        <v>837</v>
      </c>
      <c r="H87" s="539">
        <v>-99</v>
      </c>
      <c r="I87" s="539">
        <v>-99</v>
      </c>
      <c r="J87" s="539">
        <v>-99</v>
      </c>
      <c r="K87" s="539">
        <v>-99</v>
      </c>
      <c r="L87" s="539">
        <v>-99</v>
      </c>
      <c r="M87" s="539">
        <v>-99</v>
      </c>
      <c r="N87" s="539">
        <v>-99</v>
      </c>
      <c r="O87" s="539">
        <v>-99</v>
      </c>
      <c r="P87" s="539">
        <v>-99</v>
      </c>
      <c r="Q87" s="539">
        <v>-99</v>
      </c>
      <c r="R87" s="539">
        <v>-99</v>
      </c>
      <c r="S87" s="539">
        <v>-99</v>
      </c>
      <c r="T87" s="539">
        <v>-99</v>
      </c>
      <c r="U87" s="539">
        <v>-99</v>
      </c>
      <c r="V87" s="539">
        <v>-99</v>
      </c>
      <c r="W87" s="539">
        <v>-99</v>
      </c>
      <c r="X87" s="539">
        <v>-99</v>
      </c>
      <c r="Y87" s="539">
        <v>-99</v>
      </c>
      <c r="Z87" s="539">
        <v>-99</v>
      </c>
      <c r="AA87" s="539">
        <v>-99</v>
      </c>
      <c r="AB87" s="539">
        <v>-99</v>
      </c>
      <c r="AC87" s="539">
        <v>-99</v>
      </c>
      <c r="AD87" s="539">
        <v>-99</v>
      </c>
      <c r="AE87" s="539">
        <v>-99</v>
      </c>
      <c r="AF87" s="539">
        <v>-99</v>
      </c>
      <c r="AG87" s="539">
        <v>-99</v>
      </c>
      <c r="AH87" s="540">
        <v>-99</v>
      </c>
      <c r="AI87" s="539">
        <v>-99</v>
      </c>
      <c r="AJ87" s="540">
        <v>-99</v>
      </c>
      <c r="AK87" s="539">
        <v>-99</v>
      </c>
      <c r="AL87" s="539">
        <v>-99</v>
      </c>
      <c r="AM87" s="540">
        <v>-99</v>
      </c>
      <c r="AN87" s="539">
        <v>-99</v>
      </c>
      <c r="AO87" s="540">
        <v>-99</v>
      </c>
      <c r="AP87" s="541">
        <v>-99</v>
      </c>
      <c r="AQ87" s="539">
        <v>-99</v>
      </c>
      <c r="AR87" s="540">
        <v>-99</v>
      </c>
      <c r="AS87" s="539">
        <v>-99</v>
      </c>
      <c r="AT87" s="540">
        <v>-99</v>
      </c>
      <c r="AU87" s="539">
        <v>-99</v>
      </c>
      <c r="AV87" s="540">
        <v>-99</v>
      </c>
      <c r="AW87" s="540">
        <v>-99</v>
      </c>
      <c r="AX87" s="540">
        <v>-99</v>
      </c>
      <c r="AY87" s="540">
        <v>-99</v>
      </c>
      <c r="AZ87" s="539">
        <v>-99</v>
      </c>
      <c r="BA87" s="539">
        <v>-99</v>
      </c>
      <c r="BB87" s="540">
        <v>-99</v>
      </c>
      <c r="BC87" s="539">
        <v>-99</v>
      </c>
      <c r="BD87" s="540">
        <v>-99</v>
      </c>
      <c r="BE87" s="541">
        <v>-99</v>
      </c>
      <c r="BF87" s="557"/>
      <c r="BG87" s="612"/>
      <c r="BH87" s="557">
        <v>0.33</v>
      </c>
      <c r="BI87" s="576"/>
      <c r="BJ87" s="576"/>
      <c r="BK87" s="576"/>
      <c r="BL87" s="576"/>
      <c r="BM87" s="639">
        <v>55</v>
      </c>
      <c r="BN87" s="545">
        <v>0</v>
      </c>
      <c r="BO87" s="576"/>
      <c r="BP87" s="576"/>
      <c r="BQ87" s="576"/>
      <c r="BR87" s="570"/>
      <c r="BS87" s="547" t="s">
        <v>188</v>
      </c>
      <c r="BT87" s="549" t="s">
        <v>188</v>
      </c>
      <c r="BU87" s="549" t="s">
        <v>188</v>
      </c>
      <c r="BV87" s="549" t="s">
        <v>188</v>
      </c>
      <c r="BW87" s="549" t="s">
        <v>188</v>
      </c>
      <c r="BX87" s="549" t="s">
        <v>188</v>
      </c>
      <c r="BY87" s="549" t="s">
        <v>188</v>
      </c>
      <c r="BZ87" s="549" t="s">
        <v>188</v>
      </c>
      <c r="CA87" s="549" t="s">
        <v>188</v>
      </c>
      <c r="CB87" s="549" t="s">
        <v>188</v>
      </c>
      <c r="CC87" s="549" t="s">
        <v>188</v>
      </c>
      <c r="CD87" s="662"/>
      <c r="CE87" s="661" t="s">
        <v>188</v>
      </c>
      <c r="CF87" s="662" t="s">
        <v>188</v>
      </c>
      <c r="CG87" s="662" t="s">
        <v>188</v>
      </c>
      <c r="CH87" s="662" t="s">
        <v>188</v>
      </c>
      <c r="CI87" s="662" t="s">
        <v>188</v>
      </c>
      <c r="CJ87" s="662" t="s">
        <v>188</v>
      </c>
      <c r="CK87" s="662" t="s">
        <v>188</v>
      </c>
      <c r="CL87" s="662" t="s">
        <v>188</v>
      </c>
      <c r="CM87" s="662" t="s">
        <v>188</v>
      </c>
      <c r="CN87" s="662" t="s">
        <v>188</v>
      </c>
      <c r="CO87" s="616"/>
      <c r="CP87" s="616"/>
      <c r="CQ87" s="616"/>
      <c r="CR87" s="616"/>
      <c r="CS87" s="616"/>
      <c r="CT87" s="616"/>
      <c r="CU87" s="616"/>
      <c r="CV87" s="616"/>
      <c r="CW87" s="616"/>
      <c r="CX87" s="616"/>
      <c r="CY87" s="616"/>
      <c r="CZ87" s="616"/>
      <c r="DA87" s="616"/>
      <c r="DB87" s="616"/>
      <c r="DC87" s="640"/>
      <c r="DD87" s="640"/>
      <c r="DE87" s="640"/>
      <c r="DF87" s="640"/>
      <c r="DG87" s="640"/>
      <c r="DH87" s="640"/>
      <c r="DI87" s="576"/>
      <c r="DJ87" s="576"/>
      <c r="DK87" s="576"/>
      <c r="DL87" s="576"/>
      <c r="DM87" s="576"/>
      <c r="DN87" s="576"/>
      <c r="DO87" s="576"/>
      <c r="DP87" s="576"/>
      <c r="DQ87" s="576"/>
      <c r="DR87" s="576"/>
      <c r="DS87" s="576"/>
      <c r="DT87" s="576"/>
      <c r="DU87" s="576"/>
      <c r="DV87" s="576"/>
      <c r="DW87" s="576"/>
      <c r="DX87" s="577"/>
      <c r="DY87" s="577"/>
      <c r="DZ87" s="577"/>
      <c r="EA87" s="577"/>
      <c r="EB87" s="577"/>
      <c r="EC87" s="577"/>
      <c r="ED87" s="577"/>
      <c r="EE87" s="577"/>
      <c r="EF87" s="577"/>
      <c r="EG87" s="577"/>
      <c r="EH87" s="8">
        <v>12</v>
      </c>
    </row>
    <row r="88" spans="1:138" x14ac:dyDescent="0.25">
      <c r="A88" s="17">
        <v>84</v>
      </c>
      <c r="B88" s="7" t="s">
        <v>32</v>
      </c>
      <c r="C88" s="7"/>
      <c r="D88" s="7" t="s">
        <v>56</v>
      </c>
      <c r="E88" s="7"/>
      <c r="F88" s="528" t="s">
        <v>8</v>
      </c>
      <c r="G88" s="528" t="s">
        <v>837</v>
      </c>
      <c r="H88" s="579">
        <v>-99</v>
      </c>
      <c r="I88" s="579">
        <v>-99</v>
      </c>
      <c r="J88" s="579">
        <v>-99</v>
      </c>
      <c r="K88" s="579">
        <v>-99</v>
      </c>
      <c r="L88" s="579">
        <v>-99</v>
      </c>
      <c r="M88" s="579">
        <v>-99</v>
      </c>
      <c r="N88" s="579">
        <v>-99</v>
      </c>
      <c r="O88" s="579">
        <v>-99</v>
      </c>
      <c r="P88" s="579">
        <v>-99</v>
      </c>
      <c r="Q88" s="579">
        <v>-99</v>
      </c>
      <c r="R88" s="579">
        <v>-99</v>
      </c>
      <c r="S88" s="579">
        <v>-99</v>
      </c>
      <c r="T88" s="579">
        <v>-99</v>
      </c>
      <c r="U88" s="579">
        <v>-99</v>
      </c>
      <c r="V88" s="579">
        <v>-99</v>
      </c>
      <c r="W88" s="579">
        <v>-99</v>
      </c>
      <c r="X88" s="579">
        <v>-99</v>
      </c>
      <c r="Y88" s="579">
        <v>-99</v>
      </c>
      <c r="Z88" s="579">
        <v>-99</v>
      </c>
      <c r="AA88" s="579">
        <v>-99</v>
      </c>
      <c r="AB88" s="579">
        <v>-99</v>
      </c>
      <c r="AC88" s="579">
        <v>-99</v>
      </c>
      <c r="AD88" s="579">
        <v>-99</v>
      </c>
      <c r="AE88" s="579">
        <v>-99</v>
      </c>
      <c r="AF88" s="579">
        <v>-99</v>
      </c>
      <c r="AG88" s="579">
        <v>-99</v>
      </c>
      <c r="AH88" s="580">
        <v>-99</v>
      </c>
      <c r="AI88" s="579">
        <v>-99</v>
      </c>
      <c r="AJ88" s="580">
        <v>-99</v>
      </c>
      <c r="AK88" s="579">
        <v>-99</v>
      </c>
      <c r="AL88" s="579">
        <v>-99</v>
      </c>
      <c r="AM88" s="580">
        <v>-99</v>
      </c>
      <c r="AN88" s="579">
        <v>-99</v>
      </c>
      <c r="AO88" s="580">
        <v>-99</v>
      </c>
      <c r="AP88" s="581">
        <v>-99</v>
      </c>
      <c r="AQ88" s="579">
        <v>-99</v>
      </c>
      <c r="AR88" s="580">
        <v>-99</v>
      </c>
      <c r="AS88" s="579">
        <v>-99</v>
      </c>
      <c r="AT88" s="580">
        <v>-99</v>
      </c>
      <c r="AU88" s="579">
        <v>-99</v>
      </c>
      <c r="AV88" s="580">
        <v>-99</v>
      </c>
      <c r="AW88" s="580">
        <v>-99</v>
      </c>
      <c r="AX88" s="580">
        <v>-99</v>
      </c>
      <c r="AY88" s="580">
        <v>-99</v>
      </c>
      <c r="AZ88" s="579">
        <v>-99</v>
      </c>
      <c r="BA88" s="579">
        <v>-99</v>
      </c>
      <c r="BB88" s="580">
        <v>-99</v>
      </c>
      <c r="BC88" s="579">
        <v>-99</v>
      </c>
      <c r="BD88" s="580">
        <v>-99</v>
      </c>
      <c r="BE88" s="581">
        <v>-99</v>
      </c>
      <c r="BF88" s="619"/>
      <c r="BG88" s="581"/>
      <c r="BH88" s="619">
        <v>-99</v>
      </c>
      <c r="BI88" s="641"/>
      <c r="BJ88" s="641"/>
      <c r="BK88" s="641"/>
      <c r="BL88" s="641"/>
      <c r="BM88" s="583">
        <v>-99</v>
      </c>
      <c r="BN88" s="583"/>
      <c r="BO88" s="641"/>
      <c r="BP88" s="641"/>
      <c r="BQ88" s="641"/>
      <c r="BR88" s="641"/>
      <c r="BS88" s="547" t="s">
        <v>188</v>
      </c>
      <c r="BT88" s="549" t="s">
        <v>188</v>
      </c>
      <c r="BU88" s="549" t="s">
        <v>188</v>
      </c>
      <c r="BV88" s="549" t="s">
        <v>188</v>
      </c>
      <c r="BW88" s="549" t="s">
        <v>188</v>
      </c>
      <c r="BX88" s="549" t="s">
        <v>188</v>
      </c>
      <c r="BY88" s="549" t="s">
        <v>188</v>
      </c>
      <c r="BZ88" s="549" t="s">
        <v>188</v>
      </c>
      <c r="CA88" s="549" t="s">
        <v>188</v>
      </c>
      <c r="CB88" s="549" t="s">
        <v>188</v>
      </c>
      <c r="CC88" s="549" t="s">
        <v>188</v>
      </c>
      <c r="CD88" s="662"/>
      <c r="CE88" s="661" t="s">
        <v>188</v>
      </c>
      <c r="CF88" s="662" t="s">
        <v>188</v>
      </c>
      <c r="CG88" s="662" t="s">
        <v>188</v>
      </c>
      <c r="CH88" s="662" t="s">
        <v>188</v>
      </c>
      <c r="CI88" s="662" t="s">
        <v>188</v>
      </c>
      <c r="CJ88" s="662" t="s">
        <v>188</v>
      </c>
      <c r="CK88" s="662" t="s">
        <v>188</v>
      </c>
      <c r="CL88" s="662" t="s">
        <v>188</v>
      </c>
      <c r="CM88" s="662" t="s">
        <v>188</v>
      </c>
      <c r="CN88" s="662" t="s">
        <v>188</v>
      </c>
      <c r="CO88" s="641"/>
      <c r="CP88" s="641"/>
      <c r="CQ88" s="641"/>
      <c r="CR88" s="641"/>
      <c r="CS88" s="641"/>
      <c r="CT88" s="641"/>
      <c r="CU88" s="641"/>
      <c r="CV88" s="641"/>
      <c r="CW88" s="641"/>
      <c r="CX88" s="641"/>
      <c r="CY88" s="641"/>
      <c r="CZ88" s="641"/>
      <c r="DA88" s="641"/>
      <c r="DB88" s="641"/>
      <c r="DC88" s="641"/>
      <c r="DD88" s="641"/>
      <c r="DE88" s="641"/>
      <c r="DF88" s="641"/>
      <c r="DG88" s="641"/>
      <c r="DH88" s="641"/>
      <c r="DI88" s="641"/>
      <c r="DJ88" s="641"/>
      <c r="DK88" s="641"/>
      <c r="DL88" s="641"/>
      <c r="DM88" s="641"/>
      <c r="DN88" s="641"/>
      <c r="DO88" s="641"/>
      <c r="DP88" s="641"/>
      <c r="DQ88" s="641"/>
      <c r="DR88" s="641"/>
      <c r="DS88" s="641"/>
      <c r="DT88" s="641"/>
      <c r="DU88" s="641"/>
      <c r="DV88" s="641"/>
      <c r="DW88" s="641"/>
      <c r="DX88" s="607"/>
      <c r="DY88" s="607"/>
      <c r="DZ88" s="607"/>
      <c r="EA88" s="607"/>
      <c r="EB88" s="607"/>
      <c r="EC88" s="607"/>
      <c r="ED88" s="607"/>
      <c r="EE88" s="607"/>
      <c r="EF88" s="607"/>
      <c r="EG88" s="607"/>
      <c r="EH88" s="8">
        <v>109</v>
      </c>
    </row>
    <row r="89" spans="1:138" x14ac:dyDescent="0.25">
      <c r="A89" s="17">
        <v>85</v>
      </c>
      <c r="B89" s="7" t="s">
        <v>735</v>
      </c>
      <c r="C89" s="7"/>
      <c r="D89" s="7" t="s">
        <v>56</v>
      </c>
      <c r="E89" s="7"/>
      <c r="F89" s="528" t="s">
        <v>8</v>
      </c>
      <c r="G89" s="528" t="s">
        <v>837</v>
      </c>
      <c r="H89" s="579">
        <v>-99</v>
      </c>
      <c r="I89" s="579">
        <v>-99</v>
      </c>
      <c r="J89" s="579">
        <v>-99</v>
      </c>
      <c r="K89" s="579">
        <v>-99</v>
      </c>
      <c r="L89" s="579">
        <v>-99</v>
      </c>
      <c r="M89" s="579">
        <v>-99</v>
      </c>
      <c r="N89" s="579">
        <v>-99</v>
      </c>
      <c r="O89" s="579">
        <v>-99</v>
      </c>
      <c r="P89" s="579">
        <v>-99</v>
      </c>
      <c r="Q89" s="579">
        <v>-99</v>
      </c>
      <c r="R89" s="579">
        <v>-99</v>
      </c>
      <c r="S89" s="579">
        <v>-99</v>
      </c>
      <c r="T89" s="579">
        <v>-99</v>
      </c>
      <c r="U89" s="579">
        <v>-99</v>
      </c>
      <c r="V89" s="579">
        <v>-99</v>
      </c>
      <c r="W89" s="579">
        <v>-99</v>
      </c>
      <c r="X89" s="579">
        <v>-99</v>
      </c>
      <c r="Y89" s="579">
        <v>-99</v>
      </c>
      <c r="Z89" s="579">
        <v>-99</v>
      </c>
      <c r="AA89" s="579">
        <v>-99</v>
      </c>
      <c r="AB89" s="579">
        <v>-99</v>
      </c>
      <c r="AC89" s="579">
        <v>-99</v>
      </c>
      <c r="AD89" s="579">
        <v>-99</v>
      </c>
      <c r="AE89" s="579">
        <v>-99</v>
      </c>
      <c r="AF89" s="579">
        <v>-99</v>
      </c>
      <c r="AG89" s="579">
        <v>-99</v>
      </c>
      <c r="AH89" s="580">
        <v>-99</v>
      </c>
      <c r="AI89" s="579">
        <v>-99</v>
      </c>
      <c r="AJ89" s="580">
        <v>-99</v>
      </c>
      <c r="AK89" s="579">
        <v>-99</v>
      </c>
      <c r="AL89" s="579">
        <v>-99</v>
      </c>
      <c r="AM89" s="580">
        <v>-99</v>
      </c>
      <c r="AN89" s="579">
        <v>-99</v>
      </c>
      <c r="AO89" s="580">
        <v>-99</v>
      </c>
      <c r="AP89" s="581">
        <v>-99</v>
      </c>
      <c r="AQ89" s="579">
        <v>-99</v>
      </c>
      <c r="AR89" s="580">
        <v>-99</v>
      </c>
      <c r="AS89" s="579">
        <v>-99</v>
      </c>
      <c r="AT89" s="580">
        <v>-99</v>
      </c>
      <c r="AU89" s="579">
        <v>-99</v>
      </c>
      <c r="AV89" s="580">
        <v>-99</v>
      </c>
      <c r="AW89" s="580">
        <v>-99</v>
      </c>
      <c r="AX89" s="580">
        <v>-99</v>
      </c>
      <c r="AY89" s="580">
        <v>-99</v>
      </c>
      <c r="AZ89" s="579">
        <v>-99</v>
      </c>
      <c r="BA89" s="579">
        <v>-99</v>
      </c>
      <c r="BB89" s="580">
        <v>-99</v>
      </c>
      <c r="BC89" s="579">
        <v>-99</v>
      </c>
      <c r="BD89" s="580">
        <v>-99</v>
      </c>
      <c r="BE89" s="581">
        <v>-99</v>
      </c>
      <c r="BF89" s="619"/>
      <c r="BG89" s="619"/>
      <c r="BH89" s="619">
        <v>-99</v>
      </c>
      <c r="BI89" s="576"/>
      <c r="BJ89" s="576"/>
      <c r="BK89" s="576"/>
      <c r="BL89" s="576"/>
      <c r="BM89" s="583">
        <v>-99</v>
      </c>
      <c r="BN89" s="583"/>
      <c r="BO89" s="576"/>
      <c r="BP89" s="576"/>
      <c r="BQ89" s="576"/>
      <c r="BR89" s="641"/>
      <c r="BS89" s="547" t="s">
        <v>188</v>
      </c>
      <c r="BT89" s="549" t="s">
        <v>188</v>
      </c>
      <c r="BU89" s="549" t="s">
        <v>188</v>
      </c>
      <c r="BV89" s="549" t="s">
        <v>188</v>
      </c>
      <c r="BW89" s="549" t="s">
        <v>188</v>
      </c>
      <c r="BX89" s="549" t="s">
        <v>188</v>
      </c>
      <c r="BY89" s="549" t="s">
        <v>188</v>
      </c>
      <c r="BZ89" s="549" t="s">
        <v>188</v>
      </c>
      <c r="CA89" s="549" t="s">
        <v>188</v>
      </c>
      <c r="CB89" s="549" t="s">
        <v>188</v>
      </c>
      <c r="CC89" s="549" t="s">
        <v>188</v>
      </c>
      <c r="CD89" s="662"/>
      <c r="CE89" s="661" t="s">
        <v>188</v>
      </c>
      <c r="CF89" s="662" t="s">
        <v>188</v>
      </c>
      <c r="CG89" s="662" t="s">
        <v>188</v>
      </c>
      <c r="CH89" s="662" t="s">
        <v>188</v>
      </c>
      <c r="CI89" s="662" t="s">
        <v>188</v>
      </c>
      <c r="CJ89" s="662" t="s">
        <v>188</v>
      </c>
      <c r="CK89" s="662" t="s">
        <v>188</v>
      </c>
      <c r="CL89" s="662" t="s">
        <v>188</v>
      </c>
      <c r="CM89" s="662" t="s">
        <v>188</v>
      </c>
      <c r="CN89" s="662" t="s">
        <v>188</v>
      </c>
      <c r="CO89" s="641"/>
      <c r="CP89" s="641"/>
      <c r="CQ89" s="641"/>
      <c r="CR89" s="641"/>
      <c r="CS89" s="641"/>
      <c r="CT89" s="641"/>
      <c r="CU89" s="641"/>
      <c r="CV89" s="641"/>
      <c r="CW89" s="641"/>
      <c r="CX89" s="641"/>
      <c r="CY89" s="641"/>
      <c r="CZ89" s="641"/>
      <c r="DA89" s="641"/>
      <c r="DB89" s="641"/>
      <c r="DC89" s="641"/>
      <c r="DD89" s="641"/>
      <c r="DE89" s="641"/>
      <c r="DF89" s="641"/>
      <c r="DG89" s="641"/>
      <c r="DH89" s="641"/>
      <c r="DI89" s="576"/>
      <c r="DJ89" s="576"/>
      <c r="DK89" s="576"/>
      <c r="DL89" s="576"/>
      <c r="DM89" s="576"/>
      <c r="DN89" s="576"/>
      <c r="DO89" s="576"/>
      <c r="DP89" s="576"/>
      <c r="DQ89" s="576"/>
      <c r="DR89" s="576"/>
      <c r="DS89" s="576"/>
      <c r="DT89" s="576"/>
      <c r="DU89" s="576"/>
      <c r="DV89" s="576"/>
      <c r="DW89" s="576"/>
      <c r="DX89" s="577"/>
      <c r="DY89" s="577"/>
      <c r="DZ89" s="577"/>
      <c r="EA89" s="577"/>
      <c r="EB89" s="577"/>
      <c r="EC89" s="577"/>
      <c r="ED89" s="577"/>
      <c r="EE89" s="577"/>
      <c r="EF89" s="577"/>
      <c r="EG89" s="577"/>
      <c r="EH89" s="8">
        <v>93</v>
      </c>
    </row>
    <row r="90" spans="1:138" x14ac:dyDescent="0.25">
      <c r="A90" s="17">
        <v>86</v>
      </c>
      <c r="B90" s="7" t="s">
        <v>734</v>
      </c>
      <c r="C90" s="7"/>
      <c r="D90" s="7" t="s">
        <v>56</v>
      </c>
      <c r="E90" s="7"/>
      <c r="F90" s="528" t="s">
        <v>8</v>
      </c>
      <c r="G90" s="528" t="s">
        <v>837</v>
      </c>
      <c r="H90" s="579">
        <v>-99</v>
      </c>
      <c r="I90" s="579">
        <v>-99</v>
      </c>
      <c r="J90" s="579">
        <v>-99</v>
      </c>
      <c r="K90" s="579">
        <v>-99</v>
      </c>
      <c r="L90" s="579">
        <v>-99</v>
      </c>
      <c r="M90" s="579">
        <v>-99</v>
      </c>
      <c r="N90" s="579">
        <v>-99</v>
      </c>
      <c r="O90" s="579">
        <v>-99</v>
      </c>
      <c r="P90" s="579">
        <v>-99</v>
      </c>
      <c r="Q90" s="579">
        <v>-99</v>
      </c>
      <c r="R90" s="579">
        <v>-99</v>
      </c>
      <c r="S90" s="579">
        <v>-99</v>
      </c>
      <c r="T90" s="579">
        <v>-99</v>
      </c>
      <c r="U90" s="579">
        <v>-99</v>
      </c>
      <c r="V90" s="579">
        <v>-99</v>
      </c>
      <c r="W90" s="579">
        <v>-99</v>
      </c>
      <c r="X90" s="579">
        <v>-99</v>
      </c>
      <c r="Y90" s="579">
        <v>-99</v>
      </c>
      <c r="Z90" s="579">
        <v>-99</v>
      </c>
      <c r="AA90" s="579">
        <v>-99</v>
      </c>
      <c r="AB90" s="579">
        <v>-99</v>
      </c>
      <c r="AC90" s="579">
        <v>-99</v>
      </c>
      <c r="AD90" s="579">
        <v>-99</v>
      </c>
      <c r="AE90" s="579">
        <v>-99</v>
      </c>
      <c r="AF90" s="579">
        <v>-99</v>
      </c>
      <c r="AG90" s="579">
        <v>-99</v>
      </c>
      <c r="AH90" s="580">
        <v>-99</v>
      </c>
      <c r="AI90" s="579">
        <v>-99</v>
      </c>
      <c r="AJ90" s="580">
        <v>-99</v>
      </c>
      <c r="AK90" s="579">
        <v>-99</v>
      </c>
      <c r="AL90" s="579">
        <v>-99</v>
      </c>
      <c r="AM90" s="580">
        <v>-99</v>
      </c>
      <c r="AN90" s="579">
        <v>-99</v>
      </c>
      <c r="AO90" s="580">
        <v>-99</v>
      </c>
      <c r="AP90" s="581">
        <v>-99</v>
      </c>
      <c r="AQ90" s="579">
        <v>-99</v>
      </c>
      <c r="AR90" s="580">
        <v>-99</v>
      </c>
      <c r="AS90" s="579">
        <v>-99</v>
      </c>
      <c r="AT90" s="580">
        <v>-99</v>
      </c>
      <c r="AU90" s="579">
        <v>-99</v>
      </c>
      <c r="AV90" s="580">
        <v>-99</v>
      </c>
      <c r="AW90" s="580">
        <v>-99</v>
      </c>
      <c r="AX90" s="580">
        <v>-99</v>
      </c>
      <c r="AY90" s="580">
        <v>-99</v>
      </c>
      <c r="AZ90" s="579">
        <v>-99</v>
      </c>
      <c r="BA90" s="579">
        <v>-99</v>
      </c>
      <c r="BB90" s="580">
        <v>-99</v>
      </c>
      <c r="BC90" s="579">
        <v>-99</v>
      </c>
      <c r="BD90" s="580">
        <v>-99</v>
      </c>
      <c r="BE90" s="581">
        <v>-99</v>
      </c>
      <c r="BF90" s="619"/>
      <c r="BG90" s="619"/>
      <c r="BH90" s="619">
        <v>-99</v>
      </c>
      <c r="BI90" s="576"/>
      <c r="BJ90" s="576"/>
      <c r="BK90" s="576"/>
      <c r="BL90" s="576"/>
      <c r="BM90" s="583">
        <v>-99</v>
      </c>
      <c r="BN90" s="583"/>
      <c r="BO90" s="576"/>
      <c r="BP90" s="576"/>
      <c r="BQ90" s="576"/>
      <c r="BR90" s="641"/>
      <c r="BS90" s="547" t="s">
        <v>188</v>
      </c>
      <c r="BT90" s="549" t="s">
        <v>188</v>
      </c>
      <c r="BU90" s="549" t="s">
        <v>188</v>
      </c>
      <c r="BV90" s="549" t="s">
        <v>188</v>
      </c>
      <c r="BW90" s="549" t="s">
        <v>188</v>
      </c>
      <c r="BX90" s="549" t="s">
        <v>188</v>
      </c>
      <c r="BY90" s="549" t="s">
        <v>188</v>
      </c>
      <c r="BZ90" s="549" t="s">
        <v>188</v>
      </c>
      <c r="CA90" s="549" t="s">
        <v>188</v>
      </c>
      <c r="CB90" s="549" t="s">
        <v>188</v>
      </c>
      <c r="CC90" s="549" t="s">
        <v>188</v>
      </c>
      <c r="CD90" s="662"/>
      <c r="CE90" s="661" t="s">
        <v>188</v>
      </c>
      <c r="CF90" s="662" t="s">
        <v>188</v>
      </c>
      <c r="CG90" s="662" t="s">
        <v>188</v>
      </c>
      <c r="CH90" s="662" t="s">
        <v>188</v>
      </c>
      <c r="CI90" s="662" t="s">
        <v>188</v>
      </c>
      <c r="CJ90" s="662" t="s">
        <v>188</v>
      </c>
      <c r="CK90" s="662" t="s">
        <v>188</v>
      </c>
      <c r="CL90" s="662" t="s">
        <v>188</v>
      </c>
      <c r="CM90" s="662" t="s">
        <v>188</v>
      </c>
      <c r="CN90" s="662" t="s">
        <v>188</v>
      </c>
      <c r="CO90" s="641"/>
      <c r="CP90" s="641"/>
      <c r="CQ90" s="641"/>
      <c r="CR90" s="641"/>
      <c r="CS90" s="641"/>
      <c r="CT90" s="641"/>
      <c r="CU90" s="641"/>
      <c r="CV90" s="641"/>
      <c r="CW90" s="641"/>
      <c r="CX90" s="641"/>
      <c r="CY90" s="641"/>
      <c r="CZ90" s="641"/>
      <c r="DA90" s="641"/>
      <c r="DB90" s="641"/>
      <c r="DC90" s="641"/>
      <c r="DD90" s="641"/>
      <c r="DE90" s="641"/>
      <c r="DF90" s="641"/>
      <c r="DG90" s="641"/>
      <c r="DH90" s="641"/>
      <c r="DI90" s="576"/>
      <c r="DJ90" s="576"/>
      <c r="DK90" s="576"/>
      <c r="DL90" s="576"/>
      <c r="DM90" s="576"/>
      <c r="DN90" s="576"/>
      <c r="DO90" s="576"/>
      <c r="DP90" s="576"/>
      <c r="DQ90" s="576"/>
      <c r="DR90" s="576"/>
      <c r="DS90" s="576"/>
      <c r="DT90" s="576"/>
      <c r="DU90" s="576"/>
      <c r="DV90" s="576"/>
      <c r="DW90" s="576"/>
      <c r="DX90" s="577"/>
      <c r="DY90" s="577"/>
      <c r="DZ90" s="577"/>
      <c r="EA90" s="577"/>
      <c r="EB90" s="577"/>
      <c r="EC90" s="577"/>
      <c r="ED90" s="577"/>
      <c r="EE90" s="577"/>
      <c r="EF90" s="577"/>
      <c r="EG90" s="577"/>
      <c r="EH90" s="8">
        <v>84</v>
      </c>
    </row>
    <row r="91" spans="1:138" x14ac:dyDescent="0.25">
      <c r="A91" s="17">
        <v>87</v>
      </c>
      <c r="B91" s="7" t="s">
        <v>733</v>
      </c>
      <c r="C91" s="7"/>
      <c r="D91" s="7" t="s">
        <v>56</v>
      </c>
      <c r="E91" s="7"/>
      <c r="F91" s="528" t="s">
        <v>8</v>
      </c>
      <c r="G91" s="528" t="s">
        <v>837</v>
      </c>
      <c r="H91" s="579">
        <v>-99</v>
      </c>
      <c r="I91" s="579">
        <v>-99</v>
      </c>
      <c r="J91" s="579">
        <v>-99</v>
      </c>
      <c r="K91" s="579">
        <v>-99</v>
      </c>
      <c r="L91" s="579">
        <v>-99</v>
      </c>
      <c r="M91" s="579">
        <v>-99</v>
      </c>
      <c r="N91" s="579">
        <v>-99</v>
      </c>
      <c r="O91" s="579">
        <v>-99</v>
      </c>
      <c r="P91" s="579">
        <v>-99</v>
      </c>
      <c r="Q91" s="579">
        <v>-99</v>
      </c>
      <c r="R91" s="579">
        <v>-99</v>
      </c>
      <c r="S91" s="579">
        <v>-99</v>
      </c>
      <c r="T91" s="579">
        <v>-99</v>
      </c>
      <c r="U91" s="579">
        <v>-99</v>
      </c>
      <c r="V91" s="579">
        <v>-99</v>
      </c>
      <c r="W91" s="579">
        <v>-99</v>
      </c>
      <c r="X91" s="579">
        <v>-99</v>
      </c>
      <c r="Y91" s="579">
        <v>-99</v>
      </c>
      <c r="Z91" s="579">
        <v>-99</v>
      </c>
      <c r="AA91" s="579">
        <v>-99</v>
      </c>
      <c r="AB91" s="579">
        <v>-99</v>
      </c>
      <c r="AC91" s="579">
        <v>-99</v>
      </c>
      <c r="AD91" s="579">
        <v>-99</v>
      </c>
      <c r="AE91" s="579">
        <v>-99</v>
      </c>
      <c r="AF91" s="579">
        <v>-99</v>
      </c>
      <c r="AG91" s="579">
        <v>-99</v>
      </c>
      <c r="AH91" s="580">
        <v>-99</v>
      </c>
      <c r="AI91" s="579">
        <v>-99</v>
      </c>
      <c r="AJ91" s="580">
        <v>-99</v>
      </c>
      <c r="AK91" s="579">
        <v>-99</v>
      </c>
      <c r="AL91" s="579">
        <v>-99</v>
      </c>
      <c r="AM91" s="580">
        <v>-99</v>
      </c>
      <c r="AN91" s="579">
        <v>-99</v>
      </c>
      <c r="AO91" s="580">
        <v>-99</v>
      </c>
      <c r="AP91" s="581">
        <v>-99</v>
      </c>
      <c r="AQ91" s="579">
        <v>-99</v>
      </c>
      <c r="AR91" s="580">
        <v>-99</v>
      </c>
      <c r="AS91" s="579">
        <v>-99</v>
      </c>
      <c r="AT91" s="580">
        <v>-99</v>
      </c>
      <c r="AU91" s="579">
        <v>-99</v>
      </c>
      <c r="AV91" s="580">
        <v>-99</v>
      </c>
      <c r="AW91" s="580">
        <v>-99</v>
      </c>
      <c r="AX91" s="580">
        <v>-99</v>
      </c>
      <c r="AY91" s="580">
        <v>-99</v>
      </c>
      <c r="AZ91" s="579">
        <v>-99</v>
      </c>
      <c r="BA91" s="579">
        <v>-99</v>
      </c>
      <c r="BB91" s="580">
        <v>-99</v>
      </c>
      <c r="BC91" s="579">
        <v>-99</v>
      </c>
      <c r="BD91" s="580">
        <v>-99</v>
      </c>
      <c r="BE91" s="581">
        <v>-99</v>
      </c>
      <c r="BF91" s="619"/>
      <c r="BG91" s="619"/>
      <c r="BH91" s="619">
        <v>-99</v>
      </c>
      <c r="BI91" s="576"/>
      <c r="BJ91" s="576"/>
      <c r="BK91" s="576"/>
      <c r="BL91" s="576"/>
      <c r="BM91" s="583">
        <v>-99</v>
      </c>
      <c r="BN91" s="583"/>
      <c r="BO91" s="576"/>
      <c r="BP91" s="576"/>
      <c r="BQ91" s="576"/>
      <c r="BR91" s="641"/>
      <c r="BS91" s="547" t="s">
        <v>188</v>
      </c>
      <c r="BT91" s="549" t="s">
        <v>188</v>
      </c>
      <c r="BU91" s="549" t="s">
        <v>188</v>
      </c>
      <c r="BV91" s="549" t="s">
        <v>188</v>
      </c>
      <c r="BW91" s="549" t="s">
        <v>188</v>
      </c>
      <c r="BX91" s="549" t="s">
        <v>188</v>
      </c>
      <c r="BY91" s="549" t="s">
        <v>188</v>
      </c>
      <c r="BZ91" s="549" t="s">
        <v>188</v>
      </c>
      <c r="CA91" s="549" t="s">
        <v>188</v>
      </c>
      <c r="CB91" s="549" t="s">
        <v>188</v>
      </c>
      <c r="CC91" s="549" t="s">
        <v>188</v>
      </c>
      <c r="CD91" s="662"/>
      <c r="CE91" s="661" t="s">
        <v>188</v>
      </c>
      <c r="CF91" s="662" t="s">
        <v>188</v>
      </c>
      <c r="CG91" s="662" t="s">
        <v>188</v>
      </c>
      <c r="CH91" s="662" t="s">
        <v>188</v>
      </c>
      <c r="CI91" s="662" t="s">
        <v>188</v>
      </c>
      <c r="CJ91" s="662" t="s">
        <v>188</v>
      </c>
      <c r="CK91" s="662" t="s">
        <v>188</v>
      </c>
      <c r="CL91" s="662" t="s">
        <v>188</v>
      </c>
      <c r="CM91" s="662" t="s">
        <v>188</v>
      </c>
      <c r="CN91" s="662" t="s">
        <v>188</v>
      </c>
      <c r="CO91" s="641"/>
      <c r="CP91" s="641"/>
      <c r="CQ91" s="641"/>
      <c r="CR91" s="641"/>
      <c r="CS91" s="641"/>
      <c r="CT91" s="641"/>
      <c r="CU91" s="641"/>
      <c r="CV91" s="641"/>
      <c r="CW91" s="641"/>
      <c r="CX91" s="641"/>
      <c r="CY91" s="641"/>
      <c r="CZ91" s="641"/>
      <c r="DA91" s="641"/>
      <c r="DB91" s="641"/>
      <c r="DC91" s="641"/>
      <c r="DD91" s="641"/>
      <c r="DE91" s="641"/>
      <c r="DF91" s="641"/>
      <c r="DG91" s="641"/>
      <c r="DH91" s="641"/>
      <c r="DI91" s="576"/>
      <c r="DJ91" s="576"/>
      <c r="DK91" s="576"/>
      <c r="DL91" s="576"/>
      <c r="DM91" s="576"/>
      <c r="DN91" s="576"/>
      <c r="DO91" s="576"/>
      <c r="DP91" s="576"/>
      <c r="DQ91" s="576"/>
      <c r="DR91" s="576"/>
      <c r="DS91" s="576"/>
      <c r="DT91" s="576"/>
      <c r="DU91" s="576"/>
      <c r="DV91" s="576"/>
      <c r="DW91" s="576"/>
      <c r="DX91" s="577"/>
      <c r="DY91" s="577"/>
      <c r="DZ91" s="577"/>
      <c r="EA91" s="577"/>
      <c r="EB91" s="577"/>
      <c r="EC91" s="577"/>
      <c r="ED91" s="577"/>
      <c r="EE91" s="577"/>
      <c r="EF91" s="577"/>
      <c r="EG91" s="577"/>
      <c r="EH91" s="8">
        <v>70</v>
      </c>
    </row>
    <row r="92" spans="1:138" x14ac:dyDescent="0.25">
      <c r="A92" s="17">
        <v>88</v>
      </c>
      <c r="B92" s="7" t="s">
        <v>33</v>
      </c>
      <c r="C92" s="7"/>
      <c r="D92" s="7" t="s">
        <v>56</v>
      </c>
      <c r="E92" s="7"/>
      <c r="F92" s="528" t="s">
        <v>8</v>
      </c>
      <c r="G92" s="528" t="s">
        <v>837</v>
      </c>
      <c r="H92" s="579">
        <v>-99</v>
      </c>
      <c r="I92" s="579">
        <v>-99</v>
      </c>
      <c r="J92" s="579">
        <v>-99</v>
      </c>
      <c r="K92" s="579">
        <v>-99</v>
      </c>
      <c r="L92" s="579">
        <v>-99</v>
      </c>
      <c r="M92" s="579">
        <v>-99</v>
      </c>
      <c r="N92" s="579">
        <v>-99</v>
      </c>
      <c r="O92" s="579">
        <v>-99</v>
      </c>
      <c r="P92" s="579">
        <v>-99</v>
      </c>
      <c r="Q92" s="579">
        <v>-99</v>
      </c>
      <c r="R92" s="579">
        <v>-99</v>
      </c>
      <c r="S92" s="579">
        <v>-99</v>
      </c>
      <c r="T92" s="579">
        <v>-99</v>
      </c>
      <c r="U92" s="579">
        <v>-99</v>
      </c>
      <c r="V92" s="579">
        <v>-99</v>
      </c>
      <c r="W92" s="579">
        <v>-99</v>
      </c>
      <c r="X92" s="579">
        <v>-99</v>
      </c>
      <c r="Y92" s="579">
        <v>-99</v>
      </c>
      <c r="Z92" s="579">
        <v>-99</v>
      </c>
      <c r="AA92" s="579">
        <v>-99</v>
      </c>
      <c r="AB92" s="579">
        <v>-99</v>
      </c>
      <c r="AC92" s="579">
        <v>-99</v>
      </c>
      <c r="AD92" s="579">
        <v>-99</v>
      </c>
      <c r="AE92" s="579">
        <v>-99</v>
      </c>
      <c r="AF92" s="579">
        <v>-99</v>
      </c>
      <c r="AG92" s="579">
        <v>-99</v>
      </c>
      <c r="AH92" s="580">
        <v>-99</v>
      </c>
      <c r="AI92" s="579">
        <v>-99</v>
      </c>
      <c r="AJ92" s="580">
        <v>-99</v>
      </c>
      <c r="AK92" s="579">
        <v>-99</v>
      </c>
      <c r="AL92" s="579">
        <v>-99</v>
      </c>
      <c r="AM92" s="580">
        <v>-99</v>
      </c>
      <c r="AN92" s="579">
        <v>-99</v>
      </c>
      <c r="AO92" s="580">
        <v>-99</v>
      </c>
      <c r="AP92" s="581">
        <v>-99</v>
      </c>
      <c r="AQ92" s="579">
        <v>-99</v>
      </c>
      <c r="AR92" s="580">
        <v>-99</v>
      </c>
      <c r="AS92" s="579">
        <v>-99</v>
      </c>
      <c r="AT92" s="580">
        <v>-99</v>
      </c>
      <c r="AU92" s="579">
        <v>-99</v>
      </c>
      <c r="AV92" s="580">
        <v>-99</v>
      </c>
      <c r="AW92" s="580">
        <v>-99</v>
      </c>
      <c r="AX92" s="580">
        <v>-99</v>
      </c>
      <c r="AY92" s="580">
        <v>-99</v>
      </c>
      <c r="AZ92" s="579">
        <v>-99</v>
      </c>
      <c r="BA92" s="579">
        <v>-99</v>
      </c>
      <c r="BB92" s="580">
        <v>-99</v>
      </c>
      <c r="BC92" s="579">
        <v>-99</v>
      </c>
      <c r="BD92" s="580">
        <v>-99</v>
      </c>
      <c r="BE92" s="581">
        <v>-99</v>
      </c>
      <c r="BF92" s="619"/>
      <c r="BG92" s="619"/>
      <c r="BH92" s="619">
        <v>-99</v>
      </c>
      <c r="BI92" s="576"/>
      <c r="BJ92" s="576"/>
      <c r="BK92" s="576"/>
      <c r="BL92" s="576"/>
      <c r="BM92" s="583">
        <v>-99</v>
      </c>
      <c r="BN92" s="583"/>
      <c r="BO92" s="576"/>
      <c r="BP92" s="576"/>
      <c r="BQ92" s="576"/>
      <c r="BR92" s="641"/>
      <c r="BS92" s="547" t="s">
        <v>188</v>
      </c>
      <c r="BT92" s="549" t="s">
        <v>188</v>
      </c>
      <c r="BU92" s="549" t="s">
        <v>188</v>
      </c>
      <c r="BV92" s="549" t="s">
        <v>188</v>
      </c>
      <c r="BW92" s="549" t="s">
        <v>188</v>
      </c>
      <c r="BX92" s="549" t="s">
        <v>188</v>
      </c>
      <c r="BY92" s="549" t="s">
        <v>188</v>
      </c>
      <c r="BZ92" s="549" t="s">
        <v>188</v>
      </c>
      <c r="CA92" s="549" t="s">
        <v>188</v>
      </c>
      <c r="CB92" s="549" t="s">
        <v>188</v>
      </c>
      <c r="CC92" s="549" t="s">
        <v>188</v>
      </c>
      <c r="CD92" s="662"/>
      <c r="CE92" s="661" t="s">
        <v>188</v>
      </c>
      <c r="CF92" s="662" t="s">
        <v>188</v>
      </c>
      <c r="CG92" s="662" t="s">
        <v>188</v>
      </c>
      <c r="CH92" s="662" t="s">
        <v>188</v>
      </c>
      <c r="CI92" s="662" t="s">
        <v>188</v>
      </c>
      <c r="CJ92" s="662" t="s">
        <v>188</v>
      </c>
      <c r="CK92" s="662" t="s">
        <v>188</v>
      </c>
      <c r="CL92" s="662" t="s">
        <v>188</v>
      </c>
      <c r="CM92" s="662" t="s">
        <v>188</v>
      </c>
      <c r="CN92" s="662" t="s">
        <v>188</v>
      </c>
      <c r="CO92" s="641"/>
      <c r="CP92" s="641"/>
      <c r="CQ92" s="641"/>
      <c r="CR92" s="641"/>
      <c r="CS92" s="641"/>
      <c r="CT92" s="641"/>
      <c r="CU92" s="641"/>
      <c r="CV92" s="641"/>
      <c r="CW92" s="641"/>
      <c r="CX92" s="641"/>
      <c r="CY92" s="641"/>
      <c r="CZ92" s="641"/>
      <c r="DA92" s="641"/>
      <c r="DB92" s="641"/>
      <c r="DC92" s="641"/>
      <c r="DD92" s="641"/>
      <c r="DE92" s="641"/>
      <c r="DF92" s="641"/>
      <c r="DG92" s="641"/>
      <c r="DH92" s="641"/>
      <c r="DI92" s="576"/>
      <c r="DJ92" s="576"/>
      <c r="DK92" s="576"/>
      <c r="DL92" s="576"/>
      <c r="DM92" s="576"/>
      <c r="DN92" s="576"/>
      <c r="DO92" s="576"/>
      <c r="DP92" s="576"/>
      <c r="DQ92" s="576"/>
      <c r="DR92" s="576"/>
      <c r="DS92" s="576"/>
      <c r="DT92" s="576"/>
      <c r="DU92" s="576"/>
      <c r="DV92" s="576"/>
      <c r="DW92" s="576"/>
      <c r="DX92" s="577"/>
      <c r="DY92" s="577"/>
      <c r="DZ92" s="577"/>
      <c r="EA92" s="577"/>
      <c r="EB92" s="577"/>
      <c r="EC92" s="577"/>
      <c r="ED92" s="577"/>
      <c r="EE92" s="577"/>
      <c r="EF92" s="577"/>
      <c r="EG92" s="577"/>
      <c r="EH92" s="8">
        <v>24</v>
      </c>
    </row>
    <row r="93" spans="1:138" x14ac:dyDescent="0.25">
      <c r="A93" s="16">
        <v>89</v>
      </c>
      <c r="B93" s="19" t="s">
        <v>36</v>
      </c>
      <c r="C93" s="19"/>
      <c r="D93" s="19" t="s">
        <v>51</v>
      </c>
      <c r="E93" s="19" t="s">
        <v>75</v>
      </c>
      <c r="F93" s="19" t="s">
        <v>8</v>
      </c>
      <c r="G93" s="19" t="s">
        <v>837</v>
      </c>
      <c r="H93" s="539">
        <v>-99</v>
      </c>
      <c r="I93" s="539">
        <v>0.72864689377722924</v>
      </c>
      <c r="J93" s="539">
        <v>-99</v>
      </c>
      <c r="K93" s="539">
        <v>0.6167469195524049</v>
      </c>
      <c r="L93" s="539">
        <v>-99</v>
      </c>
      <c r="M93" s="539">
        <v>-99</v>
      </c>
      <c r="N93" s="539">
        <v>0.7570898858669457</v>
      </c>
      <c r="O93" s="539">
        <v>-99</v>
      </c>
      <c r="P93" s="539">
        <v>0.62495282236111105</v>
      </c>
      <c r="Q93" s="539">
        <v>-99</v>
      </c>
      <c r="R93" s="539">
        <v>-99</v>
      </c>
      <c r="S93" s="539">
        <v>0.69364878464920821</v>
      </c>
      <c r="T93" s="539">
        <v>-99</v>
      </c>
      <c r="U93" s="539">
        <v>0.60063875692650037</v>
      </c>
      <c r="V93" s="539">
        <v>-99</v>
      </c>
      <c r="W93" s="539">
        <v>-99</v>
      </c>
      <c r="X93" s="539">
        <v>-99</v>
      </c>
      <c r="Y93" s="539">
        <v>-99</v>
      </c>
      <c r="Z93" s="539">
        <v>-99</v>
      </c>
      <c r="AA93" s="539">
        <v>-99</v>
      </c>
      <c r="AB93" s="539">
        <v>-99</v>
      </c>
      <c r="AC93" s="539">
        <v>0.74500925891695879</v>
      </c>
      <c r="AD93" s="539">
        <v>-99</v>
      </c>
      <c r="AE93" s="539">
        <v>0.64308024245735207</v>
      </c>
      <c r="AF93" s="539">
        <v>-99</v>
      </c>
      <c r="AG93" s="539">
        <v>-99</v>
      </c>
      <c r="AH93" s="540">
        <v>0.78001844147529265</v>
      </c>
      <c r="AI93" s="539">
        <v>-99</v>
      </c>
      <c r="AJ93" s="540">
        <v>0.65010093525948076</v>
      </c>
      <c r="AK93" s="539">
        <v>-99</v>
      </c>
      <c r="AL93" s="539">
        <v>-99</v>
      </c>
      <c r="AM93" s="540">
        <v>0.81685430869393294</v>
      </c>
      <c r="AN93" s="539">
        <v>-99</v>
      </c>
      <c r="AO93" s="540">
        <v>0.66163647117950675</v>
      </c>
      <c r="AP93" s="541">
        <v>-99</v>
      </c>
      <c r="AQ93" s="539">
        <v>-99</v>
      </c>
      <c r="AR93" s="540">
        <v>0.73364019892748278</v>
      </c>
      <c r="AS93" s="539">
        <v>-99</v>
      </c>
      <c r="AT93" s="540">
        <v>0.63292430076200656</v>
      </c>
      <c r="AU93" s="539">
        <v>-99</v>
      </c>
      <c r="AV93" s="540">
        <v>-99</v>
      </c>
      <c r="AW93" s="540">
        <v>-99</v>
      </c>
      <c r="AX93" s="540">
        <v>-99</v>
      </c>
      <c r="AY93" s="540">
        <v>-99</v>
      </c>
      <c r="AZ93" s="539">
        <v>-99</v>
      </c>
      <c r="BA93" s="539">
        <v>-99</v>
      </c>
      <c r="BB93" s="540">
        <v>0.80475783983249927</v>
      </c>
      <c r="BC93" s="539">
        <v>-99</v>
      </c>
      <c r="BD93" s="540">
        <v>0.66768774510760343</v>
      </c>
      <c r="BE93" s="541">
        <v>-99</v>
      </c>
      <c r="BF93" s="612"/>
      <c r="BG93" s="541"/>
      <c r="BH93" s="612">
        <v>-99</v>
      </c>
      <c r="BI93" s="576"/>
      <c r="BJ93" s="576"/>
      <c r="BK93" s="576"/>
      <c r="BL93" s="576"/>
      <c r="BM93" s="545">
        <v>-99</v>
      </c>
      <c r="BN93" s="545">
        <v>-99</v>
      </c>
      <c r="BO93" s="576"/>
      <c r="BP93" s="576"/>
      <c r="BQ93" s="576"/>
      <c r="BR93" s="570"/>
      <c r="BS93" s="547" t="s">
        <v>188</v>
      </c>
      <c r="BT93" s="549" t="s">
        <v>188</v>
      </c>
      <c r="BU93" s="549" t="s">
        <v>188</v>
      </c>
      <c r="BV93" s="549" t="s">
        <v>188</v>
      </c>
      <c r="BW93" s="549" t="s">
        <v>188</v>
      </c>
      <c r="BX93" s="549" t="s">
        <v>188</v>
      </c>
      <c r="BY93" s="549" t="s">
        <v>188</v>
      </c>
      <c r="BZ93" s="549" t="s">
        <v>188</v>
      </c>
      <c r="CA93" s="549" t="s">
        <v>188</v>
      </c>
      <c r="CB93" s="549" t="s">
        <v>188</v>
      </c>
      <c r="CC93" s="549" t="s">
        <v>188</v>
      </c>
      <c r="CD93" s="662"/>
      <c r="CE93" s="661" t="s">
        <v>188</v>
      </c>
      <c r="CF93" s="662" t="s">
        <v>188</v>
      </c>
      <c r="CG93" s="662" t="s">
        <v>188</v>
      </c>
      <c r="CH93" s="662" t="s">
        <v>188</v>
      </c>
      <c r="CI93" s="662" t="s">
        <v>188</v>
      </c>
      <c r="CJ93" s="662" t="s">
        <v>188</v>
      </c>
      <c r="CK93" s="662" t="s">
        <v>188</v>
      </c>
      <c r="CL93" s="662" t="s">
        <v>188</v>
      </c>
      <c r="CM93" s="662" t="s">
        <v>188</v>
      </c>
      <c r="CN93" s="662" t="s">
        <v>188</v>
      </c>
      <c r="CO93" s="616"/>
      <c r="CP93" s="616"/>
      <c r="CQ93" s="616"/>
      <c r="CR93" s="616"/>
      <c r="CS93" s="616"/>
      <c r="CT93" s="616"/>
      <c r="CU93" s="616"/>
      <c r="CV93" s="616"/>
      <c r="CW93" s="616"/>
      <c r="CX93" s="616"/>
      <c r="CY93" s="616"/>
      <c r="CZ93" s="616"/>
      <c r="DA93" s="616"/>
      <c r="DB93" s="616"/>
      <c r="DC93" s="640"/>
      <c r="DD93" s="640"/>
      <c r="DE93" s="640"/>
      <c r="DF93" s="640"/>
      <c r="DG93" s="640"/>
      <c r="DH93" s="640"/>
      <c r="DI93" s="576"/>
      <c r="DJ93" s="576"/>
      <c r="DK93" s="576"/>
      <c r="DL93" s="576"/>
      <c r="DM93" s="576"/>
      <c r="DN93" s="576"/>
      <c r="DO93" s="576"/>
      <c r="DP93" s="576"/>
      <c r="DQ93" s="576"/>
      <c r="DR93" s="576"/>
      <c r="DS93" s="576"/>
      <c r="DT93" s="576"/>
      <c r="DU93" s="576"/>
      <c r="DV93" s="576"/>
      <c r="DW93" s="576"/>
      <c r="DX93" s="577"/>
      <c r="DY93" s="577"/>
      <c r="DZ93" s="577"/>
      <c r="EA93" s="577"/>
      <c r="EB93" s="577"/>
      <c r="EC93" s="577"/>
      <c r="ED93" s="577"/>
      <c r="EE93" s="577"/>
      <c r="EF93" s="577"/>
      <c r="EG93" s="577"/>
      <c r="EH93" s="8">
        <v>136</v>
      </c>
    </row>
    <row r="94" spans="1:138" x14ac:dyDescent="0.25">
      <c r="A94" s="16">
        <v>90</v>
      </c>
      <c r="B94" s="526" t="s">
        <v>16</v>
      </c>
      <c r="C94" s="526"/>
      <c r="D94" s="19" t="s">
        <v>51</v>
      </c>
      <c r="E94" s="19" t="s">
        <v>75</v>
      </c>
      <c r="F94" s="19" t="s">
        <v>8</v>
      </c>
      <c r="G94" s="19" t="s">
        <v>837</v>
      </c>
      <c r="H94" s="539">
        <v>-99</v>
      </c>
      <c r="I94" s="539">
        <v>0.110102559030024</v>
      </c>
      <c r="J94" s="539">
        <v>-99</v>
      </c>
      <c r="K94" s="539">
        <v>0.11008543765353025</v>
      </c>
      <c r="L94" s="539">
        <v>-99</v>
      </c>
      <c r="M94" s="539">
        <v>-99</v>
      </c>
      <c r="N94" s="539">
        <v>0.12516198782853624</v>
      </c>
      <c r="O94" s="539">
        <v>-99</v>
      </c>
      <c r="P94" s="539">
        <v>0.11172355424948334</v>
      </c>
      <c r="Q94" s="539">
        <v>-99</v>
      </c>
      <c r="R94" s="539">
        <v>-99</v>
      </c>
      <c r="S94" s="539">
        <v>9.2763461313137105E-2</v>
      </c>
      <c r="T94" s="539">
        <v>-99</v>
      </c>
      <c r="U94" s="539">
        <v>0.11643451757885413</v>
      </c>
      <c r="V94" s="539">
        <v>-99</v>
      </c>
      <c r="W94" s="539">
        <v>-99</v>
      </c>
      <c r="X94" s="539">
        <v>-99</v>
      </c>
      <c r="Y94" s="539">
        <v>-99</v>
      </c>
      <c r="Z94" s="539">
        <v>-99</v>
      </c>
      <c r="AA94" s="539">
        <v>-99</v>
      </c>
      <c r="AB94" s="539">
        <v>-99</v>
      </c>
      <c r="AC94" s="539">
        <v>0.11475175684168429</v>
      </c>
      <c r="AD94" s="539">
        <v>-99</v>
      </c>
      <c r="AE94" s="539">
        <v>8.1349775744652145E-2</v>
      </c>
      <c r="AF94" s="539">
        <v>-99</v>
      </c>
      <c r="AG94" s="539">
        <v>-99</v>
      </c>
      <c r="AH94" s="540">
        <v>0.11584965202713961</v>
      </c>
      <c r="AI94" s="539">
        <v>-99</v>
      </c>
      <c r="AJ94" s="540">
        <v>0.11734146377682651</v>
      </c>
      <c r="AK94" s="539">
        <v>-99</v>
      </c>
      <c r="AL94" s="539">
        <v>-99</v>
      </c>
      <c r="AM94" s="540">
        <v>0.13226722269647956</v>
      </c>
      <c r="AN94" s="539">
        <v>-99</v>
      </c>
      <c r="AO94" s="540">
        <v>0.11957624391977612</v>
      </c>
      <c r="AP94" s="541">
        <v>-99</v>
      </c>
      <c r="AQ94" s="539">
        <v>-99</v>
      </c>
      <c r="AR94" s="540">
        <v>9.7341267565957262E-2</v>
      </c>
      <c r="AS94" s="539">
        <v>-99</v>
      </c>
      <c r="AT94" s="540">
        <v>0.12452923587067116</v>
      </c>
      <c r="AU94" s="539">
        <v>-99</v>
      </c>
      <c r="AV94" s="540">
        <v>-99</v>
      </c>
      <c r="AW94" s="540">
        <v>-99</v>
      </c>
      <c r="AX94" s="540">
        <v>-99</v>
      </c>
      <c r="AY94" s="540">
        <v>-99</v>
      </c>
      <c r="AZ94" s="539">
        <v>-99</v>
      </c>
      <c r="BA94" s="539">
        <v>-99</v>
      </c>
      <c r="BB94" s="540">
        <v>0.11958874277014697</v>
      </c>
      <c r="BC94" s="539">
        <v>-99</v>
      </c>
      <c r="BD94" s="540">
        <v>8.3377300985065086E-2</v>
      </c>
      <c r="BE94" s="541">
        <v>-99</v>
      </c>
      <c r="BF94" s="557"/>
      <c r="BG94" s="541"/>
      <c r="BH94" s="557">
        <v>0.7</v>
      </c>
      <c r="BI94" s="576"/>
      <c r="BJ94" s="576"/>
      <c r="BK94" s="576"/>
      <c r="BL94" s="576"/>
      <c r="BM94" s="639">
        <v>175</v>
      </c>
      <c r="BN94" s="639">
        <v>0</v>
      </c>
      <c r="BO94" s="576"/>
      <c r="BP94" s="576"/>
      <c r="BQ94" s="576"/>
      <c r="BR94" s="642" t="s">
        <v>223</v>
      </c>
      <c r="BS94" s="547" t="s">
        <v>188</v>
      </c>
      <c r="BT94" s="549" t="s">
        <v>188</v>
      </c>
      <c r="BU94" s="549" t="s">
        <v>188</v>
      </c>
      <c r="BV94" s="549" t="s">
        <v>188</v>
      </c>
      <c r="BW94" s="549" t="s">
        <v>188</v>
      </c>
      <c r="BX94" s="549" t="s">
        <v>188</v>
      </c>
      <c r="BY94" s="549" t="s">
        <v>188</v>
      </c>
      <c r="BZ94" s="549" t="s">
        <v>188</v>
      </c>
      <c r="CA94" s="549" t="s">
        <v>188</v>
      </c>
      <c r="CB94" s="549" t="s">
        <v>188</v>
      </c>
      <c r="CC94" s="549" t="s">
        <v>188</v>
      </c>
      <c r="CD94" s="662"/>
      <c r="CE94" s="661" t="s">
        <v>188</v>
      </c>
      <c r="CF94" s="662" t="s">
        <v>188</v>
      </c>
      <c r="CG94" s="662" t="s">
        <v>188</v>
      </c>
      <c r="CH94" s="662" t="s">
        <v>188</v>
      </c>
      <c r="CI94" s="662" t="s">
        <v>188</v>
      </c>
      <c r="CJ94" s="662" t="s">
        <v>188</v>
      </c>
      <c r="CK94" s="662" t="s">
        <v>188</v>
      </c>
      <c r="CL94" s="662" t="s">
        <v>188</v>
      </c>
      <c r="CM94" s="662" t="s">
        <v>188</v>
      </c>
      <c r="CN94" s="662" t="s">
        <v>188</v>
      </c>
      <c r="CO94" s="642"/>
      <c r="CP94" s="642"/>
      <c r="CQ94" s="642"/>
      <c r="CR94" s="642"/>
      <c r="CS94" s="642"/>
      <c r="CT94" s="642"/>
      <c r="CU94" s="642"/>
      <c r="CV94" s="642"/>
      <c r="CW94" s="642"/>
      <c r="CX94" s="642"/>
      <c r="CY94" s="642"/>
      <c r="CZ94" s="642"/>
      <c r="DA94" s="642"/>
      <c r="DB94" s="642"/>
      <c r="DC94" s="642"/>
      <c r="DD94" s="642"/>
      <c r="DE94" s="642"/>
      <c r="DF94" s="642"/>
      <c r="DG94" s="642"/>
      <c r="DH94" s="642"/>
      <c r="DI94" s="576"/>
      <c r="DJ94" s="576"/>
      <c r="DK94" s="576"/>
      <c r="DL94" s="576"/>
      <c r="DM94" s="576"/>
      <c r="DN94" s="576"/>
      <c r="DO94" s="576"/>
      <c r="DP94" s="576"/>
      <c r="DQ94" s="576"/>
      <c r="DR94" s="576"/>
      <c r="DS94" s="576"/>
      <c r="DT94" s="576"/>
      <c r="DU94" s="576"/>
      <c r="DV94" s="576"/>
      <c r="DW94" s="576"/>
      <c r="DX94" s="577"/>
      <c r="DY94" s="577"/>
      <c r="DZ94" s="577"/>
      <c r="EA94" s="577"/>
      <c r="EB94" s="577"/>
      <c r="EC94" s="577"/>
      <c r="ED94" s="577"/>
      <c r="EE94" s="577"/>
      <c r="EF94" s="577"/>
      <c r="EG94" s="577"/>
      <c r="EH94" s="8">
        <v>113</v>
      </c>
    </row>
    <row r="95" spans="1:138" x14ac:dyDescent="0.25">
      <c r="A95" s="16">
        <v>91</v>
      </c>
      <c r="B95" s="19" t="s">
        <v>741</v>
      </c>
      <c r="C95" s="19"/>
      <c r="D95" s="19" t="s">
        <v>51</v>
      </c>
      <c r="E95" s="19" t="s">
        <v>75</v>
      </c>
      <c r="F95" s="19" t="s">
        <v>8</v>
      </c>
      <c r="G95" s="19" t="s">
        <v>837</v>
      </c>
      <c r="H95" s="539">
        <v>-99</v>
      </c>
      <c r="I95" s="539">
        <v>-99</v>
      </c>
      <c r="J95" s="539">
        <v>-99</v>
      </c>
      <c r="K95" s="539">
        <v>-99</v>
      </c>
      <c r="L95" s="539">
        <v>-99</v>
      </c>
      <c r="M95" s="539">
        <v>-99</v>
      </c>
      <c r="N95" s="539">
        <v>-99</v>
      </c>
      <c r="O95" s="539">
        <v>-99</v>
      </c>
      <c r="P95" s="539">
        <v>-99</v>
      </c>
      <c r="Q95" s="539">
        <v>-99</v>
      </c>
      <c r="R95" s="539">
        <v>-99</v>
      </c>
      <c r="S95" s="539">
        <v>-99</v>
      </c>
      <c r="T95" s="539">
        <v>-99</v>
      </c>
      <c r="U95" s="539">
        <v>-99</v>
      </c>
      <c r="V95" s="539">
        <v>-99</v>
      </c>
      <c r="W95" s="539">
        <v>-99</v>
      </c>
      <c r="X95" s="539">
        <v>-99</v>
      </c>
      <c r="Y95" s="539">
        <v>-99</v>
      </c>
      <c r="Z95" s="539">
        <v>-99</v>
      </c>
      <c r="AA95" s="539">
        <v>-99</v>
      </c>
      <c r="AB95" s="539">
        <v>-99</v>
      </c>
      <c r="AC95" s="539">
        <v>-99</v>
      </c>
      <c r="AD95" s="539">
        <v>-99</v>
      </c>
      <c r="AE95" s="539">
        <v>-99</v>
      </c>
      <c r="AF95" s="539">
        <v>-99</v>
      </c>
      <c r="AG95" s="539">
        <v>-99</v>
      </c>
      <c r="AH95" s="540">
        <v>-99</v>
      </c>
      <c r="AI95" s="539">
        <v>-99</v>
      </c>
      <c r="AJ95" s="540">
        <v>-99</v>
      </c>
      <c r="AK95" s="539">
        <v>-99</v>
      </c>
      <c r="AL95" s="539">
        <v>-99</v>
      </c>
      <c r="AM95" s="540">
        <v>-99</v>
      </c>
      <c r="AN95" s="539">
        <v>-99</v>
      </c>
      <c r="AO95" s="540">
        <v>-99</v>
      </c>
      <c r="AP95" s="541">
        <v>-99</v>
      </c>
      <c r="AQ95" s="539">
        <v>-99</v>
      </c>
      <c r="AR95" s="540">
        <v>-99</v>
      </c>
      <c r="AS95" s="539">
        <v>-99</v>
      </c>
      <c r="AT95" s="540">
        <v>-99</v>
      </c>
      <c r="AU95" s="539">
        <v>-99</v>
      </c>
      <c r="AV95" s="540">
        <v>-99</v>
      </c>
      <c r="AW95" s="540">
        <v>-99</v>
      </c>
      <c r="AX95" s="540">
        <v>-99</v>
      </c>
      <c r="AY95" s="540">
        <v>-99</v>
      </c>
      <c r="AZ95" s="539">
        <v>-99</v>
      </c>
      <c r="BA95" s="539">
        <v>-99</v>
      </c>
      <c r="BB95" s="540">
        <v>-99</v>
      </c>
      <c r="BC95" s="539">
        <v>-99</v>
      </c>
      <c r="BD95" s="540">
        <v>-99</v>
      </c>
      <c r="BE95" s="541">
        <v>-99</v>
      </c>
      <c r="BF95" s="612"/>
      <c r="BG95" s="612"/>
      <c r="BH95" s="612">
        <v>-99</v>
      </c>
      <c r="BI95" s="576"/>
      <c r="BJ95" s="576"/>
      <c r="BK95" s="576"/>
      <c r="BL95" s="576"/>
      <c r="BM95" s="545">
        <v>-99</v>
      </c>
      <c r="BN95" s="545">
        <v>-99</v>
      </c>
      <c r="BO95" s="576"/>
      <c r="BP95" s="576"/>
      <c r="BQ95" s="576"/>
      <c r="BR95" s="570"/>
      <c r="BS95" s="547" t="s">
        <v>188</v>
      </c>
      <c r="BT95" s="549" t="s">
        <v>188</v>
      </c>
      <c r="BU95" s="549" t="s">
        <v>188</v>
      </c>
      <c r="BV95" s="549" t="s">
        <v>188</v>
      </c>
      <c r="BW95" s="549" t="s">
        <v>188</v>
      </c>
      <c r="BX95" s="549" t="s">
        <v>188</v>
      </c>
      <c r="BY95" s="549" t="s">
        <v>188</v>
      </c>
      <c r="BZ95" s="549" t="s">
        <v>188</v>
      </c>
      <c r="CA95" s="549" t="s">
        <v>188</v>
      </c>
      <c r="CB95" s="549" t="s">
        <v>188</v>
      </c>
      <c r="CC95" s="549" t="s">
        <v>188</v>
      </c>
      <c r="CD95" s="662"/>
      <c r="CE95" s="661" t="s">
        <v>188</v>
      </c>
      <c r="CF95" s="662" t="s">
        <v>188</v>
      </c>
      <c r="CG95" s="662" t="s">
        <v>188</v>
      </c>
      <c r="CH95" s="662" t="s">
        <v>188</v>
      </c>
      <c r="CI95" s="662" t="s">
        <v>188</v>
      </c>
      <c r="CJ95" s="662" t="s">
        <v>188</v>
      </c>
      <c r="CK95" s="662" t="s">
        <v>188</v>
      </c>
      <c r="CL95" s="662" t="s">
        <v>188</v>
      </c>
      <c r="CM95" s="662" t="s">
        <v>188</v>
      </c>
      <c r="CN95" s="662" t="s">
        <v>188</v>
      </c>
      <c r="CO95" s="616"/>
      <c r="CP95" s="616"/>
      <c r="CQ95" s="616"/>
      <c r="CR95" s="616"/>
      <c r="CS95" s="616"/>
      <c r="CT95" s="616"/>
      <c r="CU95" s="616"/>
      <c r="CV95" s="616"/>
      <c r="CW95" s="616"/>
      <c r="CX95" s="616"/>
      <c r="CY95" s="616"/>
      <c r="CZ95" s="616"/>
      <c r="DA95" s="616"/>
      <c r="DB95" s="616"/>
      <c r="DC95" s="640"/>
      <c r="DD95" s="640"/>
      <c r="DE95" s="640"/>
      <c r="DF95" s="640"/>
      <c r="DG95" s="640"/>
      <c r="DH95" s="640"/>
      <c r="DI95" s="576"/>
      <c r="DJ95" s="576"/>
      <c r="DK95" s="576"/>
      <c r="DL95" s="576"/>
      <c r="DM95" s="576"/>
      <c r="DN95" s="576"/>
      <c r="DO95" s="576"/>
      <c r="DP95" s="576"/>
      <c r="DQ95" s="576"/>
      <c r="DR95" s="576"/>
      <c r="DS95" s="576"/>
      <c r="DT95" s="576"/>
      <c r="DU95" s="576"/>
      <c r="DV95" s="576"/>
      <c r="DW95" s="576"/>
      <c r="DX95" s="577"/>
      <c r="DY95" s="577"/>
      <c r="DZ95" s="577"/>
      <c r="EA95" s="577"/>
      <c r="EB95" s="577"/>
      <c r="EC95" s="577"/>
      <c r="ED95" s="577"/>
      <c r="EE95" s="577"/>
      <c r="EF95" s="577"/>
      <c r="EG95" s="577"/>
      <c r="EH95" s="8">
        <v>92</v>
      </c>
    </row>
    <row r="96" spans="1:138" x14ac:dyDescent="0.25">
      <c r="A96" s="16">
        <v>92</v>
      </c>
      <c r="B96" s="19" t="s">
        <v>15</v>
      </c>
      <c r="C96" s="19"/>
      <c r="D96" s="19" t="s">
        <v>51</v>
      </c>
      <c r="E96" s="19" t="s">
        <v>75</v>
      </c>
      <c r="F96" s="19" t="s">
        <v>8</v>
      </c>
      <c r="G96" s="19" t="s">
        <v>837</v>
      </c>
      <c r="H96" s="539">
        <v>-99</v>
      </c>
      <c r="I96" s="539">
        <v>0.15970897337728876</v>
      </c>
      <c r="J96" s="539">
        <v>-99</v>
      </c>
      <c r="K96" s="539">
        <v>0.11733432045994785</v>
      </c>
      <c r="L96" s="539">
        <v>-99</v>
      </c>
      <c r="M96" s="539">
        <v>-99</v>
      </c>
      <c r="N96" s="539">
        <v>0.17087656536249979</v>
      </c>
      <c r="O96" s="539">
        <v>-99</v>
      </c>
      <c r="P96" s="539">
        <v>0.11223368775815529</v>
      </c>
      <c r="Q96" s="539">
        <v>-99</v>
      </c>
      <c r="R96" s="539">
        <v>-99</v>
      </c>
      <c r="S96" s="539">
        <v>0.14779510932837403</v>
      </c>
      <c r="T96" s="539">
        <v>-99</v>
      </c>
      <c r="U96" s="539">
        <v>0.1280418664306594</v>
      </c>
      <c r="V96" s="539">
        <v>-99</v>
      </c>
      <c r="W96" s="539">
        <v>-99</v>
      </c>
      <c r="X96" s="539">
        <v>-99</v>
      </c>
      <c r="Y96" s="539">
        <v>-99</v>
      </c>
      <c r="Z96" s="539">
        <v>-99</v>
      </c>
      <c r="AA96" s="539">
        <v>-99</v>
      </c>
      <c r="AB96" s="539">
        <v>-99</v>
      </c>
      <c r="AC96" s="539">
        <v>0.15997425651400937</v>
      </c>
      <c r="AD96" s="539">
        <v>-99</v>
      </c>
      <c r="AE96" s="539">
        <v>9.8495940478232555E-2</v>
      </c>
      <c r="AF96" s="539">
        <v>-99</v>
      </c>
      <c r="AG96" s="539">
        <v>-99</v>
      </c>
      <c r="AH96" s="540">
        <v>0.16434875207958524</v>
      </c>
      <c r="AI96" s="539">
        <v>-99</v>
      </c>
      <c r="AJ96" s="540">
        <v>0.12187398914531972</v>
      </c>
      <c r="AK96" s="539">
        <v>-99</v>
      </c>
      <c r="AL96" s="539">
        <v>-99</v>
      </c>
      <c r="AM96" s="540">
        <v>0.17674117614956344</v>
      </c>
      <c r="AN96" s="539">
        <v>-99</v>
      </c>
      <c r="AO96" s="540">
        <v>0.11553790276863957</v>
      </c>
      <c r="AP96" s="541">
        <v>-99</v>
      </c>
      <c r="AQ96" s="539">
        <v>-99</v>
      </c>
      <c r="AR96" s="540">
        <v>0.15204284884489108</v>
      </c>
      <c r="AS96" s="539">
        <v>-99</v>
      </c>
      <c r="AT96" s="540">
        <v>0.13490385822911752</v>
      </c>
      <c r="AU96" s="539">
        <v>-99</v>
      </c>
      <c r="AV96" s="540">
        <v>-99</v>
      </c>
      <c r="AW96" s="540">
        <v>-99</v>
      </c>
      <c r="AX96" s="540">
        <v>-99</v>
      </c>
      <c r="AY96" s="540">
        <v>-99</v>
      </c>
      <c r="AZ96" s="539">
        <v>-99</v>
      </c>
      <c r="BA96" s="539">
        <v>-99</v>
      </c>
      <c r="BB96" s="540">
        <v>0.16156053920168306</v>
      </c>
      <c r="BC96" s="539">
        <v>-99</v>
      </c>
      <c r="BD96" s="540">
        <v>9.9436536590164312E-2</v>
      </c>
      <c r="BE96" s="541">
        <v>-99</v>
      </c>
      <c r="BF96" s="542"/>
      <c r="BG96" s="612"/>
      <c r="BH96" s="542">
        <v>7.0000000000000007E-2</v>
      </c>
      <c r="BI96" s="576"/>
      <c r="BJ96" s="576"/>
      <c r="BK96" s="576"/>
      <c r="BL96" s="576"/>
      <c r="BM96" s="545">
        <v>46</v>
      </c>
      <c r="BN96" s="568">
        <v>0</v>
      </c>
      <c r="BO96" s="576"/>
      <c r="BP96" s="576"/>
      <c r="BQ96" s="576"/>
      <c r="BR96" s="554" t="s">
        <v>835</v>
      </c>
      <c r="BS96" s="547" t="s">
        <v>188</v>
      </c>
      <c r="BT96" s="549" t="s">
        <v>188</v>
      </c>
      <c r="BU96" s="549" t="s">
        <v>188</v>
      </c>
      <c r="BV96" s="549" t="s">
        <v>188</v>
      </c>
      <c r="BW96" s="549" t="s">
        <v>188</v>
      </c>
      <c r="BX96" s="549" t="s">
        <v>188</v>
      </c>
      <c r="BY96" s="549" t="s">
        <v>188</v>
      </c>
      <c r="BZ96" s="549" t="s">
        <v>188</v>
      </c>
      <c r="CA96" s="549" t="s">
        <v>188</v>
      </c>
      <c r="CB96" s="549" t="s">
        <v>188</v>
      </c>
      <c r="CC96" s="549" t="s">
        <v>188</v>
      </c>
      <c r="CD96" s="662"/>
      <c r="CE96" s="661" t="s">
        <v>188</v>
      </c>
      <c r="CF96" s="662" t="s">
        <v>188</v>
      </c>
      <c r="CG96" s="662" t="s">
        <v>188</v>
      </c>
      <c r="CH96" s="662" t="s">
        <v>188</v>
      </c>
      <c r="CI96" s="662" t="s">
        <v>188</v>
      </c>
      <c r="CJ96" s="662" t="s">
        <v>188</v>
      </c>
      <c r="CK96" s="662" t="s">
        <v>188</v>
      </c>
      <c r="CL96" s="662" t="s">
        <v>188</v>
      </c>
      <c r="CM96" s="662" t="s">
        <v>188</v>
      </c>
      <c r="CN96" s="662" t="s">
        <v>188</v>
      </c>
      <c r="CO96" s="554"/>
      <c r="CP96" s="554"/>
      <c r="CQ96" s="554"/>
      <c r="CR96" s="554"/>
      <c r="CS96" s="554"/>
      <c r="CT96" s="554"/>
      <c r="CU96" s="554"/>
      <c r="CV96" s="554"/>
      <c r="CW96" s="554"/>
      <c r="CX96" s="554"/>
      <c r="CY96" s="554"/>
      <c r="CZ96" s="554"/>
      <c r="DA96" s="554"/>
      <c r="DB96" s="554"/>
      <c r="DC96" s="637"/>
      <c r="DD96" s="637"/>
      <c r="DE96" s="637"/>
      <c r="DF96" s="637"/>
      <c r="DG96" s="637"/>
      <c r="DH96" s="637"/>
      <c r="DI96" s="576"/>
      <c r="DJ96" s="576"/>
      <c r="DK96" s="576"/>
      <c r="DL96" s="576"/>
      <c r="DM96" s="576"/>
      <c r="DN96" s="576"/>
      <c r="DO96" s="576"/>
      <c r="DP96" s="576"/>
      <c r="DQ96" s="576"/>
      <c r="DR96" s="576"/>
      <c r="DS96" s="576"/>
      <c r="DT96" s="576"/>
      <c r="DU96" s="576"/>
      <c r="DV96" s="576"/>
      <c r="DW96" s="576"/>
      <c r="DX96" s="577"/>
      <c r="DY96" s="577"/>
      <c r="DZ96" s="577"/>
      <c r="EA96" s="577"/>
      <c r="EB96" s="577"/>
      <c r="EC96" s="577"/>
      <c r="ED96" s="577"/>
      <c r="EE96" s="577"/>
      <c r="EF96" s="577"/>
      <c r="EG96" s="577"/>
      <c r="EH96" s="8">
        <v>91</v>
      </c>
    </row>
    <row r="97" spans="1:138" x14ac:dyDescent="0.25">
      <c r="A97" s="16">
        <v>93</v>
      </c>
      <c r="B97" s="526" t="s">
        <v>104</v>
      </c>
      <c r="C97" s="526"/>
      <c r="D97" s="19" t="s">
        <v>51</v>
      </c>
      <c r="E97" s="19" t="s">
        <v>75</v>
      </c>
      <c r="F97" s="19" t="s">
        <v>8</v>
      </c>
      <c r="G97" s="19" t="s">
        <v>837</v>
      </c>
      <c r="H97" s="539">
        <v>-99</v>
      </c>
      <c r="I97" s="539">
        <v>-99</v>
      </c>
      <c r="J97" s="539">
        <v>-99</v>
      </c>
      <c r="K97" s="539">
        <v>-99</v>
      </c>
      <c r="L97" s="539">
        <v>-99</v>
      </c>
      <c r="M97" s="539">
        <v>-99</v>
      </c>
      <c r="N97" s="539">
        <v>-99</v>
      </c>
      <c r="O97" s="539">
        <v>-99</v>
      </c>
      <c r="P97" s="539">
        <v>-99</v>
      </c>
      <c r="Q97" s="539">
        <v>-99</v>
      </c>
      <c r="R97" s="539">
        <v>-99</v>
      </c>
      <c r="S97" s="539">
        <v>-99</v>
      </c>
      <c r="T97" s="539">
        <v>-99</v>
      </c>
      <c r="U97" s="539">
        <v>-99</v>
      </c>
      <c r="V97" s="539">
        <v>-99</v>
      </c>
      <c r="W97" s="539">
        <v>-99</v>
      </c>
      <c r="X97" s="539">
        <v>-99</v>
      </c>
      <c r="Y97" s="539">
        <v>-99</v>
      </c>
      <c r="Z97" s="539">
        <v>-99</v>
      </c>
      <c r="AA97" s="539">
        <v>-99</v>
      </c>
      <c r="AB97" s="539">
        <v>-99</v>
      </c>
      <c r="AC97" s="539">
        <v>-99</v>
      </c>
      <c r="AD97" s="539">
        <v>-99</v>
      </c>
      <c r="AE97" s="539">
        <v>-99</v>
      </c>
      <c r="AF97" s="539">
        <v>-99</v>
      </c>
      <c r="AG97" s="539">
        <v>-99</v>
      </c>
      <c r="AH97" s="540">
        <v>-99</v>
      </c>
      <c r="AI97" s="539">
        <v>-99</v>
      </c>
      <c r="AJ97" s="540">
        <v>-99</v>
      </c>
      <c r="AK97" s="539">
        <v>-99</v>
      </c>
      <c r="AL97" s="539">
        <v>-99</v>
      </c>
      <c r="AM97" s="540">
        <v>-99</v>
      </c>
      <c r="AN97" s="539">
        <v>-99</v>
      </c>
      <c r="AO97" s="540">
        <v>-99</v>
      </c>
      <c r="AP97" s="541">
        <v>-99</v>
      </c>
      <c r="AQ97" s="539">
        <v>-99</v>
      </c>
      <c r="AR97" s="540">
        <v>-99</v>
      </c>
      <c r="AS97" s="539">
        <v>-99</v>
      </c>
      <c r="AT97" s="540">
        <v>-99</v>
      </c>
      <c r="AU97" s="539">
        <v>-99</v>
      </c>
      <c r="AV97" s="540">
        <v>-99</v>
      </c>
      <c r="AW97" s="540">
        <v>-99</v>
      </c>
      <c r="AX97" s="540">
        <v>-99</v>
      </c>
      <c r="AY97" s="540">
        <v>-99</v>
      </c>
      <c r="AZ97" s="539">
        <v>-99</v>
      </c>
      <c r="BA97" s="539">
        <v>-99</v>
      </c>
      <c r="BB97" s="540">
        <v>-99</v>
      </c>
      <c r="BC97" s="539">
        <v>-99</v>
      </c>
      <c r="BD97" s="540">
        <v>-99</v>
      </c>
      <c r="BE97" s="541">
        <v>-99</v>
      </c>
      <c r="BF97" s="612"/>
      <c r="BG97" s="612"/>
      <c r="BH97" s="612">
        <v>-99</v>
      </c>
      <c r="BI97" s="576"/>
      <c r="BJ97" s="576"/>
      <c r="BK97" s="576"/>
      <c r="BL97" s="576"/>
      <c r="BM97" s="545">
        <v>-99</v>
      </c>
      <c r="BN97" s="545">
        <v>-99</v>
      </c>
      <c r="BO97" s="576"/>
      <c r="BP97" s="576"/>
      <c r="BQ97" s="576"/>
      <c r="BR97" s="570"/>
      <c r="BS97" s="547" t="s">
        <v>188</v>
      </c>
      <c r="BT97" s="549" t="s">
        <v>188</v>
      </c>
      <c r="BU97" s="549" t="s">
        <v>188</v>
      </c>
      <c r="BV97" s="549" t="s">
        <v>188</v>
      </c>
      <c r="BW97" s="549" t="s">
        <v>188</v>
      </c>
      <c r="BX97" s="549" t="s">
        <v>188</v>
      </c>
      <c r="BY97" s="549" t="s">
        <v>188</v>
      </c>
      <c r="BZ97" s="549" t="s">
        <v>188</v>
      </c>
      <c r="CA97" s="549" t="s">
        <v>188</v>
      </c>
      <c r="CB97" s="549" t="s">
        <v>188</v>
      </c>
      <c r="CC97" s="549" t="s">
        <v>188</v>
      </c>
      <c r="CD97" s="662"/>
      <c r="CE97" s="661" t="s">
        <v>188</v>
      </c>
      <c r="CF97" s="662" t="s">
        <v>188</v>
      </c>
      <c r="CG97" s="662" t="s">
        <v>188</v>
      </c>
      <c r="CH97" s="662" t="s">
        <v>188</v>
      </c>
      <c r="CI97" s="662" t="s">
        <v>188</v>
      </c>
      <c r="CJ97" s="662" t="s">
        <v>188</v>
      </c>
      <c r="CK97" s="662" t="s">
        <v>188</v>
      </c>
      <c r="CL97" s="662" t="s">
        <v>188</v>
      </c>
      <c r="CM97" s="662" t="s">
        <v>188</v>
      </c>
      <c r="CN97" s="662" t="s">
        <v>188</v>
      </c>
      <c r="CO97" s="616"/>
      <c r="CP97" s="616"/>
      <c r="CQ97" s="616"/>
      <c r="CR97" s="616"/>
      <c r="CS97" s="616"/>
      <c r="CT97" s="616"/>
      <c r="CU97" s="616"/>
      <c r="CV97" s="616"/>
      <c r="CW97" s="616"/>
      <c r="CX97" s="616"/>
      <c r="CY97" s="616"/>
      <c r="CZ97" s="616"/>
      <c r="DA97" s="616"/>
      <c r="DB97" s="616"/>
      <c r="DC97" s="640"/>
      <c r="DD97" s="640"/>
      <c r="DE97" s="640"/>
      <c r="DF97" s="640"/>
      <c r="DG97" s="640"/>
      <c r="DH97" s="640"/>
      <c r="DI97" s="576"/>
      <c r="DJ97" s="576"/>
      <c r="DK97" s="576"/>
      <c r="DL97" s="576"/>
      <c r="DM97" s="576"/>
      <c r="DN97" s="576"/>
      <c r="DO97" s="576"/>
      <c r="DP97" s="576"/>
      <c r="DQ97" s="576"/>
      <c r="DR97" s="576"/>
      <c r="DS97" s="576"/>
      <c r="DT97" s="576"/>
      <c r="DU97" s="576"/>
      <c r="DV97" s="576"/>
      <c r="DW97" s="576"/>
      <c r="DX97" s="577"/>
      <c r="DY97" s="577"/>
      <c r="DZ97" s="577"/>
      <c r="EA97" s="577"/>
      <c r="EB97" s="577"/>
      <c r="EC97" s="577"/>
      <c r="ED97" s="577"/>
      <c r="EE97" s="577"/>
      <c r="EF97" s="577"/>
      <c r="EG97" s="577"/>
      <c r="EH97" s="8">
        <v>63</v>
      </c>
    </row>
    <row r="98" spans="1:138" x14ac:dyDescent="0.25">
      <c r="A98" s="16">
        <v>94</v>
      </c>
      <c r="B98" s="19" t="s">
        <v>14</v>
      </c>
      <c r="C98" s="19" t="s">
        <v>118</v>
      </c>
      <c r="D98" s="19" t="s">
        <v>51</v>
      </c>
      <c r="E98" s="19" t="s">
        <v>74</v>
      </c>
      <c r="F98" s="19" t="s">
        <v>8</v>
      </c>
      <c r="G98" s="19" t="s">
        <v>837</v>
      </c>
      <c r="H98" s="539">
        <v>-99</v>
      </c>
      <c r="I98" s="539">
        <v>0.50883788026286081</v>
      </c>
      <c r="J98" s="539">
        <v>-99</v>
      </c>
      <c r="K98" s="539">
        <v>-98</v>
      </c>
      <c r="L98" s="539">
        <v>-99</v>
      </c>
      <c r="M98" s="539">
        <v>-99</v>
      </c>
      <c r="N98" s="539">
        <v>0.53510898731643242</v>
      </c>
      <c r="O98" s="539">
        <v>-99</v>
      </c>
      <c r="P98" s="539">
        <v>-98</v>
      </c>
      <c r="Q98" s="539">
        <v>-99</v>
      </c>
      <c r="R98" s="539">
        <v>-99</v>
      </c>
      <c r="S98" s="539">
        <v>0.4688636707550225</v>
      </c>
      <c r="T98" s="539">
        <v>-99</v>
      </c>
      <c r="U98" s="539">
        <v>-98</v>
      </c>
      <c r="V98" s="539">
        <v>-99</v>
      </c>
      <c r="W98" s="539">
        <v>-99</v>
      </c>
      <c r="X98" s="539">
        <v>-99</v>
      </c>
      <c r="Y98" s="539">
        <v>-99</v>
      </c>
      <c r="Z98" s="539">
        <v>-99</v>
      </c>
      <c r="AA98" s="539">
        <v>-99</v>
      </c>
      <c r="AB98" s="539">
        <v>-99</v>
      </c>
      <c r="AC98" s="539">
        <v>0.54972844991278802</v>
      </c>
      <c r="AD98" s="539">
        <v>-99</v>
      </c>
      <c r="AE98" s="539">
        <v>-98</v>
      </c>
      <c r="AF98" s="539">
        <v>-99</v>
      </c>
      <c r="AG98" s="539">
        <v>-99</v>
      </c>
      <c r="AH98" s="540">
        <v>0.59654744945467952</v>
      </c>
      <c r="AI98" s="539">
        <v>-99</v>
      </c>
      <c r="AJ98" s="540">
        <v>1.1202750863174031</v>
      </c>
      <c r="AK98" s="539">
        <v>-99</v>
      </c>
      <c r="AL98" s="539">
        <v>-99</v>
      </c>
      <c r="AM98" s="540">
        <v>0.63608283144256383</v>
      </c>
      <c r="AN98" s="539">
        <v>-99</v>
      </c>
      <c r="AO98" s="540">
        <v>1.1427208854037101</v>
      </c>
      <c r="AP98" s="541">
        <v>-99</v>
      </c>
      <c r="AQ98" s="539">
        <v>-99</v>
      </c>
      <c r="AR98" s="540">
        <v>0.53876799879141757</v>
      </c>
      <c r="AS98" s="539">
        <v>-99</v>
      </c>
      <c r="AT98" s="540">
        <v>1.1122128066986856</v>
      </c>
      <c r="AU98" s="539">
        <v>-99</v>
      </c>
      <c r="AV98" s="540">
        <v>-99</v>
      </c>
      <c r="AW98" s="540">
        <v>-99</v>
      </c>
      <c r="AX98" s="540">
        <v>-99</v>
      </c>
      <c r="AY98" s="540">
        <v>-99</v>
      </c>
      <c r="AZ98" s="539">
        <v>-99</v>
      </c>
      <c r="BA98" s="539">
        <v>-99</v>
      </c>
      <c r="BB98" s="540">
        <v>0.65007007202126699</v>
      </c>
      <c r="BC98" s="539">
        <v>-99</v>
      </c>
      <c r="BD98" s="540">
        <v>1.0643674225183468</v>
      </c>
      <c r="BE98" s="541">
        <v>-99</v>
      </c>
      <c r="BF98" s="542"/>
      <c r="BG98" s="612"/>
      <c r="BH98" s="542">
        <v>0.9</v>
      </c>
      <c r="BI98" s="576"/>
      <c r="BJ98" s="576"/>
      <c r="BK98" s="576"/>
      <c r="BL98" s="576"/>
      <c r="BM98" s="545">
        <f>(1*0.71)+(50*0.29)</f>
        <v>15.209999999999997</v>
      </c>
      <c r="BN98" s="639">
        <v>0</v>
      </c>
      <c r="BO98" s="576"/>
      <c r="BP98" s="576"/>
      <c r="BQ98" s="576"/>
      <c r="BR98" s="637" t="s">
        <v>829</v>
      </c>
      <c r="BS98" s="547" t="s">
        <v>188</v>
      </c>
      <c r="BT98" s="549" t="s">
        <v>188</v>
      </c>
      <c r="BU98" s="549" t="s">
        <v>188</v>
      </c>
      <c r="BV98" s="549" t="s">
        <v>188</v>
      </c>
      <c r="BW98" s="549" t="s">
        <v>188</v>
      </c>
      <c r="BX98" s="549" t="s">
        <v>188</v>
      </c>
      <c r="BY98" s="549" t="s">
        <v>188</v>
      </c>
      <c r="BZ98" s="549" t="s">
        <v>188</v>
      </c>
      <c r="CA98" s="549" t="s">
        <v>188</v>
      </c>
      <c r="CB98" s="549" t="s">
        <v>188</v>
      </c>
      <c r="CC98" s="549" t="s">
        <v>188</v>
      </c>
      <c r="CD98" s="662"/>
      <c r="CE98" s="661" t="s">
        <v>188</v>
      </c>
      <c r="CF98" s="662" t="s">
        <v>188</v>
      </c>
      <c r="CG98" s="662" t="s">
        <v>188</v>
      </c>
      <c r="CH98" s="662" t="s">
        <v>188</v>
      </c>
      <c r="CI98" s="662" t="s">
        <v>188</v>
      </c>
      <c r="CJ98" s="662" t="s">
        <v>188</v>
      </c>
      <c r="CK98" s="662" t="s">
        <v>188</v>
      </c>
      <c r="CL98" s="662" t="s">
        <v>188</v>
      </c>
      <c r="CM98" s="662" t="s">
        <v>188</v>
      </c>
      <c r="CN98" s="662" t="s">
        <v>188</v>
      </c>
      <c r="CO98" s="637"/>
      <c r="CP98" s="637"/>
      <c r="CQ98" s="637"/>
      <c r="CR98" s="637"/>
      <c r="CS98" s="637"/>
      <c r="CT98" s="637"/>
      <c r="CU98" s="637"/>
      <c r="CV98" s="637"/>
      <c r="CW98" s="637"/>
      <c r="CX98" s="637"/>
      <c r="CY98" s="637"/>
      <c r="CZ98" s="637"/>
      <c r="DA98" s="637"/>
      <c r="DB98" s="637"/>
      <c r="DC98" s="637"/>
      <c r="DD98" s="637"/>
      <c r="DE98" s="637"/>
      <c r="DF98" s="637"/>
      <c r="DG98" s="637"/>
      <c r="DH98" s="637"/>
      <c r="DI98" s="576"/>
      <c r="DJ98" s="576"/>
      <c r="DK98" s="576"/>
      <c r="DL98" s="576"/>
      <c r="DM98" s="576"/>
      <c r="DN98" s="576"/>
      <c r="DO98" s="576"/>
      <c r="DP98" s="576"/>
      <c r="DQ98" s="576"/>
      <c r="DR98" s="576"/>
      <c r="DS98" s="576"/>
      <c r="DT98" s="576"/>
      <c r="DU98" s="576"/>
      <c r="DV98" s="576"/>
      <c r="DW98" s="576"/>
      <c r="DX98" s="577"/>
      <c r="DY98" s="577"/>
      <c r="DZ98" s="577"/>
      <c r="EA98" s="577"/>
      <c r="EB98" s="577"/>
      <c r="EC98" s="577"/>
      <c r="ED98" s="577"/>
      <c r="EE98" s="577"/>
      <c r="EF98" s="577"/>
      <c r="EG98" s="577"/>
      <c r="EH98" s="8">
        <v>46</v>
      </c>
    </row>
    <row r="99" spans="1:138" x14ac:dyDescent="0.25">
      <c r="A99" s="16">
        <v>95</v>
      </c>
      <c r="B99" s="19" t="s">
        <v>34</v>
      </c>
      <c r="C99" s="19"/>
      <c r="D99" s="19" t="s">
        <v>51</v>
      </c>
      <c r="E99" s="19" t="s">
        <v>75</v>
      </c>
      <c r="F99" s="19" t="s">
        <v>8</v>
      </c>
      <c r="G99" s="19" t="s">
        <v>837</v>
      </c>
      <c r="H99" s="539">
        <v>-99</v>
      </c>
      <c r="I99" s="539">
        <v>0.21647641047097599</v>
      </c>
      <c r="J99" s="539">
        <v>-99</v>
      </c>
      <c r="K99" s="539">
        <v>0.12603127327316591</v>
      </c>
      <c r="L99" s="539">
        <v>-99</v>
      </c>
      <c r="M99" s="539">
        <v>-99</v>
      </c>
      <c r="N99" s="539">
        <v>0.23260687668177416</v>
      </c>
      <c r="O99" s="539">
        <v>-99</v>
      </c>
      <c r="P99" s="539">
        <v>0.13252077380606855</v>
      </c>
      <c r="Q99" s="539">
        <v>-99</v>
      </c>
      <c r="R99" s="539">
        <v>-99</v>
      </c>
      <c r="S99" s="539">
        <v>0.19483410656369116</v>
      </c>
      <c r="T99" s="539">
        <v>-99</v>
      </c>
      <c r="U99" s="539">
        <v>0.12701661650597479</v>
      </c>
      <c r="V99" s="539">
        <v>-99</v>
      </c>
      <c r="W99" s="539">
        <v>-99</v>
      </c>
      <c r="X99" s="539">
        <v>-99</v>
      </c>
      <c r="Y99" s="539">
        <v>-99</v>
      </c>
      <c r="Z99" s="539">
        <v>-99</v>
      </c>
      <c r="AA99" s="539">
        <v>-99</v>
      </c>
      <c r="AB99" s="539">
        <v>-99</v>
      </c>
      <c r="AC99" s="539">
        <v>0.23180311946523452</v>
      </c>
      <c r="AD99" s="539">
        <v>-99</v>
      </c>
      <c r="AE99" s="539">
        <v>9.8081330264675776E-2</v>
      </c>
      <c r="AF99" s="539">
        <v>-99</v>
      </c>
      <c r="AG99" s="539">
        <v>-99</v>
      </c>
      <c r="AH99" s="540">
        <v>0.22742217621491642</v>
      </c>
      <c r="AI99" s="539">
        <v>-99</v>
      </c>
      <c r="AJ99" s="540">
        <v>0.13129243147241795</v>
      </c>
      <c r="AK99" s="539">
        <v>-99</v>
      </c>
      <c r="AL99" s="539">
        <v>-99</v>
      </c>
      <c r="AM99" s="540">
        <v>0.24311147420744464</v>
      </c>
      <c r="AN99" s="539">
        <v>-99</v>
      </c>
      <c r="AO99" s="540">
        <v>0.13914581985079674</v>
      </c>
      <c r="AP99" s="541">
        <v>-99</v>
      </c>
      <c r="AQ99" s="539">
        <v>-99</v>
      </c>
      <c r="AR99" s="540">
        <v>0.20621742024425935</v>
      </c>
      <c r="AS99" s="539">
        <v>-99</v>
      </c>
      <c r="AT99" s="540">
        <v>0.1315456042924163</v>
      </c>
      <c r="AU99" s="539">
        <v>-99</v>
      </c>
      <c r="AV99" s="540">
        <v>-99</v>
      </c>
      <c r="AW99" s="540">
        <v>-99</v>
      </c>
      <c r="AX99" s="540">
        <v>-99</v>
      </c>
      <c r="AY99" s="540">
        <v>-99</v>
      </c>
      <c r="AZ99" s="539">
        <v>-99</v>
      </c>
      <c r="BA99" s="539">
        <v>-99</v>
      </c>
      <c r="BB99" s="540">
        <v>0.24284996521604699</v>
      </c>
      <c r="BC99" s="539">
        <v>-99</v>
      </c>
      <c r="BD99" s="540">
        <v>0.10080637621730779</v>
      </c>
      <c r="BE99" s="541">
        <v>-99</v>
      </c>
      <c r="BF99" s="612"/>
      <c r="BG99" s="612"/>
      <c r="BH99" s="612">
        <v>-98</v>
      </c>
      <c r="BI99" s="641"/>
      <c r="BJ99" s="641"/>
      <c r="BK99" s="641"/>
      <c r="BL99" s="641"/>
      <c r="BM99" s="545">
        <v>3</v>
      </c>
      <c r="BN99" s="639">
        <v>0</v>
      </c>
      <c r="BO99" s="641"/>
      <c r="BP99" s="641"/>
      <c r="BQ99" s="641"/>
      <c r="BR99" s="640"/>
      <c r="BS99" s="547" t="s">
        <v>188</v>
      </c>
      <c r="BT99" s="549" t="s">
        <v>188</v>
      </c>
      <c r="BU99" s="549" t="s">
        <v>188</v>
      </c>
      <c r="BV99" s="549" t="s">
        <v>188</v>
      </c>
      <c r="BW99" s="549" t="s">
        <v>188</v>
      </c>
      <c r="BX99" s="549" t="s">
        <v>188</v>
      </c>
      <c r="BY99" s="549" t="s">
        <v>188</v>
      </c>
      <c r="BZ99" s="549" t="s">
        <v>188</v>
      </c>
      <c r="CA99" s="549" t="s">
        <v>188</v>
      </c>
      <c r="CB99" s="549" t="s">
        <v>188</v>
      </c>
      <c r="CC99" s="549" t="s">
        <v>188</v>
      </c>
      <c r="CD99" s="662"/>
      <c r="CE99" s="661" t="s">
        <v>188</v>
      </c>
      <c r="CF99" s="662" t="s">
        <v>188</v>
      </c>
      <c r="CG99" s="662" t="s">
        <v>188</v>
      </c>
      <c r="CH99" s="662" t="s">
        <v>188</v>
      </c>
      <c r="CI99" s="662" t="s">
        <v>188</v>
      </c>
      <c r="CJ99" s="662" t="s">
        <v>188</v>
      </c>
      <c r="CK99" s="662" t="s">
        <v>188</v>
      </c>
      <c r="CL99" s="662" t="s">
        <v>188</v>
      </c>
      <c r="CM99" s="662" t="s">
        <v>188</v>
      </c>
      <c r="CN99" s="662" t="s">
        <v>188</v>
      </c>
      <c r="CO99" s="640"/>
      <c r="CP99" s="640"/>
      <c r="CQ99" s="640"/>
      <c r="CR99" s="640"/>
      <c r="CS99" s="640"/>
      <c r="CT99" s="640"/>
      <c r="CU99" s="640"/>
      <c r="CV99" s="640"/>
      <c r="CW99" s="640"/>
      <c r="CX99" s="640"/>
      <c r="CY99" s="640"/>
      <c r="CZ99" s="640"/>
      <c r="DA99" s="640"/>
      <c r="DB99" s="640"/>
      <c r="DC99" s="640"/>
      <c r="DD99" s="640"/>
      <c r="DE99" s="640"/>
      <c r="DF99" s="640"/>
      <c r="DG99" s="640"/>
      <c r="DH99" s="640"/>
      <c r="DI99" s="641"/>
      <c r="DJ99" s="641"/>
      <c r="DK99" s="641"/>
      <c r="DL99" s="641"/>
      <c r="DM99" s="641"/>
      <c r="DN99" s="641"/>
      <c r="DO99" s="641"/>
      <c r="DP99" s="641"/>
      <c r="DQ99" s="641"/>
      <c r="DR99" s="641"/>
      <c r="DS99" s="641"/>
      <c r="DT99" s="641"/>
      <c r="DU99" s="641"/>
      <c r="DV99" s="641"/>
      <c r="DW99" s="641"/>
      <c r="DX99" s="607"/>
      <c r="DY99" s="607"/>
      <c r="DZ99" s="607"/>
      <c r="EA99" s="607"/>
      <c r="EB99" s="607"/>
      <c r="EC99" s="607"/>
      <c r="ED99" s="607"/>
      <c r="EE99" s="607"/>
      <c r="EF99" s="607"/>
      <c r="EG99" s="607"/>
      <c r="EH99" s="8">
        <v>37</v>
      </c>
    </row>
    <row r="100" spans="1:138" x14ac:dyDescent="0.25">
      <c r="A100" s="16">
        <v>96</v>
      </c>
      <c r="B100" s="19" t="s">
        <v>35</v>
      </c>
      <c r="C100" s="19"/>
      <c r="D100" s="19" t="s">
        <v>51</v>
      </c>
      <c r="E100" s="19" t="s">
        <v>75</v>
      </c>
      <c r="F100" s="19" t="s">
        <v>8</v>
      </c>
      <c r="G100" s="19" t="s">
        <v>837</v>
      </c>
      <c r="H100" s="539">
        <v>-99</v>
      </c>
      <c r="I100" s="539">
        <v>-99</v>
      </c>
      <c r="J100" s="539">
        <v>-99</v>
      </c>
      <c r="K100" s="539">
        <v>-99</v>
      </c>
      <c r="L100" s="539">
        <v>-99</v>
      </c>
      <c r="M100" s="539">
        <v>-99</v>
      </c>
      <c r="N100" s="539">
        <v>-99</v>
      </c>
      <c r="O100" s="539">
        <v>-99</v>
      </c>
      <c r="P100" s="539">
        <v>-99</v>
      </c>
      <c r="Q100" s="539">
        <v>-99</v>
      </c>
      <c r="R100" s="539">
        <v>-99</v>
      </c>
      <c r="S100" s="539">
        <v>-99</v>
      </c>
      <c r="T100" s="539">
        <v>-99</v>
      </c>
      <c r="U100" s="539">
        <v>-99</v>
      </c>
      <c r="V100" s="539">
        <v>-99</v>
      </c>
      <c r="W100" s="539">
        <v>-99</v>
      </c>
      <c r="X100" s="539">
        <v>-99</v>
      </c>
      <c r="Y100" s="539">
        <v>-99</v>
      </c>
      <c r="Z100" s="539">
        <v>-99</v>
      </c>
      <c r="AA100" s="539">
        <v>-99</v>
      </c>
      <c r="AB100" s="539">
        <v>-99</v>
      </c>
      <c r="AC100" s="539">
        <v>-99</v>
      </c>
      <c r="AD100" s="539">
        <v>-99</v>
      </c>
      <c r="AE100" s="539">
        <v>-99</v>
      </c>
      <c r="AF100" s="539">
        <v>-99</v>
      </c>
      <c r="AG100" s="539">
        <v>-99</v>
      </c>
      <c r="AH100" s="540">
        <v>-99</v>
      </c>
      <c r="AI100" s="539">
        <v>-99</v>
      </c>
      <c r="AJ100" s="540">
        <v>-99</v>
      </c>
      <c r="AK100" s="539">
        <v>-99</v>
      </c>
      <c r="AL100" s="539">
        <v>-99</v>
      </c>
      <c r="AM100" s="540">
        <v>-99</v>
      </c>
      <c r="AN100" s="539">
        <v>-99</v>
      </c>
      <c r="AO100" s="540">
        <v>-99</v>
      </c>
      <c r="AP100" s="541">
        <v>-99</v>
      </c>
      <c r="AQ100" s="539">
        <v>-99</v>
      </c>
      <c r="AR100" s="540">
        <v>-99</v>
      </c>
      <c r="AS100" s="539">
        <v>-99</v>
      </c>
      <c r="AT100" s="540">
        <v>-99</v>
      </c>
      <c r="AU100" s="539">
        <v>-99</v>
      </c>
      <c r="AV100" s="540">
        <v>-99</v>
      </c>
      <c r="AW100" s="540">
        <v>-99</v>
      </c>
      <c r="AX100" s="540">
        <v>-99</v>
      </c>
      <c r="AY100" s="540">
        <v>-99</v>
      </c>
      <c r="AZ100" s="539">
        <v>-99</v>
      </c>
      <c r="BA100" s="539">
        <v>-99</v>
      </c>
      <c r="BB100" s="540">
        <v>-99</v>
      </c>
      <c r="BC100" s="539">
        <v>-99</v>
      </c>
      <c r="BD100" s="540">
        <v>-99</v>
      </c>
      <c r="BE100" s="541">
        <v>-99</v>
      </c>
      <c r="BF100" s="612"/>
      <c r="BG100" s="612"/>
      <c r="BH100" s="612">
        <v>-99</v>
      </c>
      <c r="BI100" s="576"/>
      <c r="BJ100" s="576"/>
      <c r="BK100" s="576"/>
      <c r="BL100" s="576"/>
      <c r="BM100" s="545">
        <v>-99</v>
      </c>
      <c r="BN100" s="545">
        <v>-99</v>
      </c>
      <c r="BO100" s="576"/>
      <c r="BP100" s="576"/>
      <c r="BQ100" s="576"/>
      <c r="BR100" s="570"/>
      <c r="BS100" s="547" t="s">
        <v>188</v>
      </c>
      <c r="BT100" s="549" t="s">
        <v>188</v>
      </c>
      <c r="BU100" s="549" t="s">
        <v>188</v>
      </c>
      <c r="BV100" s="549" t="s">
        <v>188</v>
      </c>
      <c r="BW100" s="549" t="s">
        <v>188</v>
      </c>
      <c r="BX100" s="549" t="s">
        <v>188</v>
      </c>
      <c r="BY100" s="549" t="s">
        <v>188</v>
      </c>
      <c r="BZ100" s="549" t="s">
        <v>188</v>
      </c>
      <c r="CA100" s="549" t="s">
        <v>188</v>
      </c>
      <c r="CB100" s="549" t="s">
        <v>188</v>
      </c>
      <c r="CC100" s="549" t="s">
        <v>188</v>
      </c>
      <c r="CD100" s="662"/>
      <c r="CE100" s="661" t="s">
        <v>188</v>
      </c>
      <c r="CF100" s="662" t="s">
        <v>188</v>
      </c>
      <c r="CG100" s="662" t="s">
        <v>188</v>
      </c>
      <c r="CH100" s="662" t="s">
        <v>188</v>
      </c>
      <c r="CI100" s="662" t="s">
        <v>188</v>
      </c>
      <c r="CJ100" s="662" t="s">
        <v>188</v>
      </c>
      <c r="CK100" s="662" t="s">
        <v>188</v>
      </c>
      <c r="CL100" s="662" t="s">
        <v>188</v>
      </c>
      <c r="CM100" s="662" t="s">
        <v>188</v>
      </c>
      <c r="CN100" s="662" t="s">
        <v>188</v>
      </c>
      <c r="CO100" s="616"/>
      <c r="CP100" s="616"/>
      <c r="CQ100" s="616"/>
      <c r="CR100" s="616"/>
      <c r="CS100" s="616"/>
      <c r="CT100" s="616"/>
      <c r="CU100" s="616"/>
      <c r="CV100" s="616"/>
      <c r="CW100" s="616"/>
      <c r="CX100" s="616"/>
      <c r="CY100" s="616"/>
      <c r="CZ100" s="616"/>
      <c r="DA100" s="616"/>
      <c r="DB100" s="616"/>
      <c r="DC100" s="640"/>
      <c r="DD100" s="640"/>
      <c r="DE100" s="640"/>
      <c r="DF100" s="640"/>
      <c r="DG100" s="640"/>
      <c r="DH100" s="640"/>
      <c r="DI100" s="576"/>
      <c r="DJ100" s="576"/>
      <c r="DK100" s="576"/>
      <c r="DL100" s="576"/>
      <c r="DM100" s="576"/>
      <c r="DN100" s="576"/>
      <c r="DO100" s="576"/>
      <c r="DP100" s="576"/>
      <c r="DQ100" s="576"/>
      <c r="DR100" s="576"/>
      <c r="DS100" s="576"/>
      <c r="DT100" s="576"/>
      <c r="DU100" s="576"/>
      <c r="DV100" s="576"/>
      <c r="DW100" s="576"/>
      <c r="DX100" s="577"/>
      <c r="DY100" s="577"/>
      <c r="DZ100" s="577"/>
      <c r="EA100" s="577"/>
      <c r="EB100" s="577"/>
      <c r="EC100" s="577"/>
      <c r="ED100" s="577"/>
      <c r="EE100" s="577"/>
      <c r="EF100" s="577"/>
      <c r="EG100" s="577"/>
      <c r="EH100" s="8">
        <v>32</v>
      </c>
    </row>
    <row r="101" spans="1:138" x14ac:dyDescent="0.25">
      <c r="A101" s="16">
        <v>97</v>
      </c>
      <c r="B101" s="526" t="s">
        <v>17</v>
      </c>
      <c r="C101" s="526" t="s">
        <v>125</v>
      </c>
      <c r="D101" s="19" t="s">
        <v>51</v>
      </c>
      <c r="E101" s="19" t="s">
        <v>75</v>
      </c>
      <c r="F101" s="19" t="s">
        <v>8</v>
      </c>
      <c r="G101" s="19" t="s">
        <v>837</v>
      </c>
      <c r="H101" s="539">
        <v>-99</v>
      </c>
      <c r="I101" s="539">
        <v>-99</v>
      </c>
      <c r="J101" s="539">
        <v>-99</v>
      </c>
      <c r="K101" s="539">
        <v>-99</v>
      </c>
      <c r="L101" s="539">
        <v>-99</v>
      </c>
      <c r="M101" s="539">
        <v>-99</v>
      </c>
      <c r="N101" s="539">
        <v>-99</v>
      </c>
      <c r="O101" s="539">
        <v>-99</v>
      </c>
      <c r="P101" s="539">
        <v>-99</v>
      </c>
      <c r="Q101" s="539">
        <v>-99</v>
      </c>
      <c r="R101" s="539">
        <v>-99</v>
      </c>
      <c r="S101" s="539">
        <v>-99</v>
      </c>
      <c r="T101" s="539">
        <v>-99</v>
      </c>
      <c r="U101" s="539">
        <v>-99</v>
      </c>
      <c r="V101" s="539">
        <v>-99</v>
      </c>
      <c r="W101" s="539">
        <v>-99</v>
      </c>
      <c r="X101" s="539">
        <v>-99</v>
      </c>
      <c r="Y101" s="539">
        <v>-99</v>
      </c>
      <c r="Z101" s="539">
        <v>-99</v>
      </c>
      <c r="AA101" s="539">
        <v>-99</v>
      </c>
      <c r="AB101" s="539">
        <v>-99</v>
      </c>
      <c r="AC101" s="539">
        <v>-99</v>
      </c>
      <c r="AD101" s="539">
        <v>-99</v>
      </c>
      <c r="AE101" s="539">
        <v>-99</v>
      </c>
      <c r="AF101" s="539">
        <v>-99</v>
      </c>
      <c r="AG101" s="539">
        <v>-99</v>
      </c>
      <c r="AH101" s="540">
        <v>-99</v>
      </c>
      <c r="AI101" s="539">
        <v>-99</v>
      </c>
      <c r="AJ101" s="540">
        <v>-99</v>
      </c>
      <c r="AK101" s="539">
        <v>-99</v>
      </c>
      <c r="AL101" s="539">
        <v>-99</v>
      </c>
      <c r="AM101" s="540">
        <v>-99</v>
      </c>
      <c r="AN101" s="539">
        <v>-99</v>
      </c>
      <c r="AO101" s="540">
        <v>-99</v>
      </c>
      <c r="AP101" s="541">
        <v>-99</v>
      </c>
      <c r="AQ101" s="539">
        <v>-99</v>
      </c>
      <c r="AR101" s="540">
        <v>-99</v>
      </c>
      <c r="AS101" s="539">
        <v>-99</v>
      </c>
      <c r="AT101" s="540">
        <v>-99</v>
      </c>
      <c r="AU101" s="539">
        <v>-99</v>
      </c>
      <c r="AV101" s="540">
        <v>-99</v>
      </c>
      <c r="AW101" s="540">
        <v>-99</v>
      </c>
      <c r="AX101" s="540">
        <v>-99</v>
      </c>
      <c r="AY101" s="540">
        <v>-99</v>
      </c>
      <c r="AZ101" s="539">
        <v>-99</v>
      </c>
      <c r="BA101" s="539">
        <v>-99</v>
      </c>
      <c r="BB101" s="540">
        <v>-99</v>
      </c>
      <c r="BC101" s="539">
        <v>-99</v>
      </c>
      <c r="BD101" s="540">
        <v>-99</v>
      </c>
      <c r="BE101" s="541">
        <v>-99</v>
      </c>
      <c r="BF101" s="557"/>
      <c r="BG101" s="612"/>
      <c r="BH101" s="557">
        <v>0.71</v>
      </c>
      <c r="BI101" s="576"/>
      <c r="BJ101" s="576"/>
      <c r="BK101" s="576"/>
      <c r="BL101" s="576"/>
      <c r="BM101" s="639">
        <v>5</v>
      </c>
      <c r="BN101" s="639">
        <v>0</v>
      </c>
      <c r="BO101" s="576"/>
      <c r="BP101" s="576"/>
      <c r="BQ101" s="576"/>
      <c r="BR101" s="639" t="s">
        <v>224</v>
      </c>
      <c r="BS101" s="547" t="s">
        <v>188</v>
      </c>
      <c r="BT101" s="549" t="s">
        <v>188</v>
      </c>
      <c r="BU101" s="549" t="s">
        <v>188</v>
      </c>
      <c r="BV101" s="549" t="s">
        <v>188</v>
      </c>
      <c r="BW101" s="549" t="s">
        <v>188</v>
      </c>
      <c r="BX101" s="549" t="s">
        <v>188</v>
      </c>
      <c r="BY101" s="549" t="s">
        <v>188</v>
      </c>
      <c r="BZ101" s="549" t="s">
        <v>188</v>
      </c>
      <c r="CA101" s="549" t="s">
        <v>188</v>
      </c>
      <c r="CB101" s="549" t="s">
        <v>188</v>
      </c>
      <c r="CC101" s="549" t="s">
        <v>188</v>
      </c>
      <c r="CD101" s="662"/>
      <c r="CE101" s="661" t="s">
        <v>188</v>
      </c>
      <c r="CF101" s="662" t="s">
        <v>188</v>
      </c>
      <c r="CG101" s="662" t="s">
        <v>188</v>
      </c>
      <c r="CH101" s="662" t="s">
        <v>188</v>
      </c>
      <c r="CI101" s="662" t="s">
        <v>188</v>
      </c>
      <c r="CJ101" s="662" t="s">
        <v>188</v>
      </c>
      <c r="CK101" s="662" t="s">
        <v>188</v>
      </c>
      <c r="CL101" s="662" t="s">
        <v>188</v>
      </c>
      <c r="CM101" s="662" t="s">
        <v>188</v>
      </c>
      <c r="CN101" s="662" t="s">
        <v>188</v>
      </c>
      <c r="CO101" s="639"/>
      <c r="CP101" s="639"/>
      <c r="CQ101" s="639"/>
      <c r="CR101" s="639"/>
      <c r="CS101" s="639"/>
      <c r="CT101" s="639"/>
      <c r="CU101" s="639"/>
      <c r="CV101" s="639"/>
      <c r="CW101" s="639"/>
      <c r="CX101" s="639"/>
      <c r="CY101" s="639"/>
      <c r="CZ101" s="639"/>
      <c r="DA101" s="639"/>
      <c r="DB101" s="639"/>
      <c r="DC101" s="639"/>
      <c r="DD101" s="639"/>
      <c r="DE101" s="639"/>
      <c r="DF101" s="639"/>
      <c r="DG101" s="639"/>
      <c r="DH101" s="639"/>
      <c r="DI101" s="576"/>
      <c r="DJ101" s="576"/>
      <c r="DK101" s="576"/>
      <c r="DL101" s="576"/>
      <c r="DM101" s="576"/>
      <c r="DN101" s="576"/>
      <c r="DO101" s="576"/>
      <c r="DP101" s="576"/>
      <c r="DQ101" s="576"/>
      <c r="DR101" s="576"/>
      <c r="DS101" s="576"/>
      <c r="DT101" s="576"/>
      <c r="DU101" s="576"/>
      <c r="DV101" s="576"/>
      <c r="DW101" s="576"/>
      <c r="DX101" s="577"/>
      <c r="DY101" s="577"/>
      <c r="DZ101" s="577"/>
      <c r="EA101" s="577"/>
      <c r="EB101" s="577"/>
      <c r="EC101" s="577"/>
      <c r="ED101" s="577"/>
      <c r="EE101" s="577"/>
      <c r="EF101" s="577"/>
      <c r="EG101" s="577"/>
      <c r="EH101" s="8">
        <v>23</v>
      </c>
    </row>
    <row r="102" spans="1:138" x14ac:dyDescent="0.25">
      <c r="A102" s="16">
        <v>98</v>
      </c>
      <c r="B102" s="19" t="s">
        <v>50</v>
      </c>
      <c r="C102" s="19"/>
      <c r="D102" s="19" t="s">
        <v>51</v>
      </c>
      <c r="E102" s="19" t="s">
        <v>74</v>
      </c>
      <c r="F102" s="19" t="s">
        <v>8</v>
      </c>
      <c r="G102" s="19" t="s">
        <v>837</v>
      </c>
      <c r="H102" s="539">
        <v>-99</v>
      </c>
      <c r="I102" s="539">
        <v>-99</v>
      </c>
      <c r="J102" s="539">
        <v>-99</v>
      </c>
      <c r="K102" s="539">
        <v>0.12944048176150891</v>
      </c>
      <c r="L102" s="539">
        <v>-99</v>
      </c>
      <c r="M102" s="539">
        <v>-99</v>
      </c>
      <c r="N102" s="539">
        <v>-99</v>
      </c>
      <c r="O102" s="539">
        <v>-99</v>
      </c>
      <c r="P102" s="539">
        <v>0.118722327313155</v>
      </c>
      <c r="Q102" s="539">
        <v>-99</v>
      </c>
      <c r="R102" s="539">
        <v>-99</v>
      </c>
      <c r="S102" s="539">
        <v>-99</v>
      </c>
      <c r="T102" s="539">
        <v>-99</v>
      </c>
      <c r="U102" s="539">
        <v>0.13508643028115919</v>
      </c>
      <c r="V102" s="539">
        <v>-99</v>
      </c>
      <c r="W102" s="539">
        <v>-99</v>
      </c>
      <c r="X102" s="539">
        <v>-99</v>
      </c>
      <c r="Y102" s="539">
        <v>-99</v>
      </c>
      <c r="Z102" s="539">
        <v>-99</v>
      </c>
      <c r="AA102" s="539">
        <v>-99</v>
      </c>
      <c r="AB102" s="539">
        <v>-99</v>
      </c>
      <c r="AC102" s="539">
        <v>-99</v>
      </c>
      <c r="AD102" s="539">
        <v>-99</v>
      </c>
      <c r="AE102" s="539">
        <v>0.14975383554783786</v>
      </c>
      <c r="AF102" s="539">
        <v>-99</v>
      </c>
      <c r="AG102" s="539">
        <v>-99</v>
      </c>
      <c r="AH102" s="540">
        <v>-99</v>
      </c>
      <c r="AI102" s="539">
        <v>-99</v>
      </c>
      <c r="AJ102" s="540">
        <v>0.16293009710065778</v>
      </c>
      <c r="AK102" s="539">
        <v>-99</v>
      </c>
      <c r="AL102" s="539">
        <v>-99</v>
      </c>
      <c r="AM102" s="540">
        <v>-99</v>
      </c>
      <c r="AN102" s="539">
        <v>-99</v>
      </c>
      <c r="AO102" s="540">
        <v>0.14999691416768196</v>
      </c>
      <c r="AP102" s="541">
        <v>-99</v>
      </c>
      <c r="AQ102" s="539">
        <v>-99</v>
      </c>
      <c r="AR102" s="540">
        <v>-99</v>
      </c>
      <c r="AS102" s="539">
        <v>-99</v>
      </c>
      <c r="AT102" s="540">
        <v>0.17432112061077643</v>
      </c>
      <c r="AU102" s="539">
        <v>-99</v>
      </c>
      <c r="AV102" s="540">
        <v>-99</v>
      </c>
      <c r="AW102" s="540">
        <v>-99</v>
      </c>
      <c r="AX102" s="540">
        <v>-99</v>
      </c>
      <c r="AY102" s="540">
        <v>-99</v>
      </c>
      <c r="AZ102" s="539">
        <v>-99</v>
      </c>
      <c r="BA102" s="539">
        <v>-99</v>
      </c>
      <c r="BB102" s="540">
        <v>-99</v>
      </c>
      <c r="BC102" s="539">
        <v>-99</v>
      </c>
      <c r="BD102" s="540">
        <v>0.17117046807016176</v>
      </c>
      <c r="BE102" s="541">
        <v>-99</v>
      </c>
      <c r="BF102" s="612"/>
      <c r="BG102" s="612"/>
      <c r="BH102" s="542">
        <v>0.78</v>
      </c>
      <c r="BI102" s="576"/>
      <c r="BJ102" s="576"/>
      <c r="BK102" s="576"/>
      <c r="BL102" s="576"/>
      <c r="BM102" s="545">
        <v>40</v>
      </c>
      <c r="BN102" s="639">
        <v>0</v>
      </c>
      <c r="BO102" s="576"/>
      <c r="BP102" s="576"/>
      <c r="BQ102" s="576"/>
      <c r="BR102" s="570"/>
      <c r="BS102" s="547" t="s">
        <v>188</v>
      </c>
      <c r="BT102" s="549" t="s">
        <v>188</v>
      </c>
      <c r="BU102" s="549" t="s">
        <v>188</v>
      </c>
      <c r="BV102" s="549" t="s">
        <v>188</v>
      </c>
      <c r="BW102" s="549" t="s">
        <v>188</v>
      </c>
      <c r="BX102" s="549" t="s">
        <v>188</v>
      </c>
      <c r="BY102" s="549" t="s">
        <v>188</v>
      </c>
      <c r="BZ102" s="549" t="s">
        <v>188</v>
      </c>
      <c r="CA102" s="549" t="s">
        <v>188</v>
      </c>
      <c r="CB102" s="549" t="s">
        <v>188</v>
      </c>
      <c r="CC102" s="549" t="s">
        <v>188</v>
      </c>
      <c r="CD102" s="662"/>
      <c r="CE102" s="661" t="s">
        <v>188</v>
      </c>
      <c r="CF102" s="662" t="s">
        <v>188</v>
      </c>
      <c r="CG102" s="662" t="s">
        <v>188</v>
      </c>
      <c r="CH102" s="662" t="s">
        <v>188</v>
      </c>
      <c r="CI102" s="662" t="s">
        <v>188</v>
      </c>
      <c r="CJ102" s="662" t="s">
        <v>188</v>
      </c>
      <c r="CK102" s="662" t="s">
        <v>188</v>
      </c>
      <c r="CL102" s="662" t="s">
        <v>188</v>
      </c>
      <c r="CM102" s="662" t="s">
        <v>188</v>
      </c>
      <c r="CN102" s="662" t="s">
        <v>188</v>
      </c>
      <c r="CO102" s="616"/>
      <c r="CP102" s="616"/>
      <c r="CQ102" s="616"/>
      <c r="CR102" s="616"/>
      <c r="CS102" s="616"/>
      <c r="CT102" s="616"/>
      <c r="CU102" s="616"/>
      <c r="CV102" s="616"/>
      <c r="CW102" s="616"/>
      <c r="CX102" s="616"/>
      <c r="CY102" s="616"/>
      <c r="CZ102" s="616"/>
      <c r="DA102" s="616"/>
      <c r="DB102" s="616"/>
      <c r="DC102" s="640"/>
      <c r="DD102" s="640"/>
      <c r="DE102" s="640"/>
      <c r="DF102" s="640"/>
      <c r="DG102" s="640"/>
      <c r="DH102" s="640"/>
      <c r="DI102" s="576"/>
      <c r="DJ102" s="576"/>
      <c r="DK102" s="576"/>
      <c r="DL102" s="576"/>
      <c r="DM102" s="576"/>
      <c r="DN102" s="576"/>
      <c r="DO102" s="576"/>
      <c r="DP102" s="576"/>
      <c r="DQ102" s="576"/>
      <c r="DR102" s="576"/>
      <c r="DS102" s="576"/>
      <c r="DT102" s="576"/>
      <c r="DU102" s="576"/>
      <c r="DV102" s="576"/>
      <c r="DW102" s="576"/>
      <c r="DX102" s="577"/>
      <c r="DY102" s="577"/>
      <c r="DZ102" s="577"/>
      <c r="EA102" s="577"/>
      <c r="EB102" s="577"/>
      <c r="EC102" s="577"/>
      <c r="ED102" s="577"/>
      <c r="EE102" s="577"/>
      <c r="EF102" s="577"/>
      <c r="EG102" s="577"/>
      <c r="EH102" s="8">
        <v>15</v>
      </c>
    </row>
    <row r="103" spans="1:138" x14ac:dyDescent="0.25">
      <c r="A103" s="16">
        <v>99</v>
      </c>
      <c r="B103" s="526" t="s">
        <v>689</v>
      </c>
      <c r="C103" s="526"/>
      <c r="D103" s="19" t="s">
        <v>1</v>
      </c>
      <c r="E103" s="19" t="s">
        <v>75</v>
      </c>
      <c r="F103" s="19" t="s">
        <v>8</v>
      </c>
      <c r="G103" s="19" t="s">
        <v>837</v>
      </c>
      <c r="H103" s="539">
        <v>-99</v>
      </c>
      <c r="I103" s="539">
        <v>7.7531326020710695E-2</v>
      </c>
      <c r="J103" s="539">
        <v>-99</v>
      </c>
      <c r="K103" s="539">
        <v>8.2283615650530564E-2</v>
      </c>
      <c r="L103" s="539">
        <v>-99</v>
      </c>
      <c r="M103" s="539">
        <v>-99</v>
      </c>
      <c r="N103" s="539">
        <v>7.4897714492585546E-2</v>
      </c>
      <c r="O103" s="539">
        <v>-99</v>
      </c>
      <c r="P103" s="539">
        <v>8.6545746610816682E-2</v>
      </c>
      <c r="Q103" s="539">
        <v>-99</v>
      </c>
      <c r="R103" s="539">
        <v>-99</v>
      </c>
      <c r="S103" s="539">
        <v>7.7040149716638778E-2</v>
      </c>
      <c r="T103" s="539">
        <v>-99</v>
      </c>
      <c r="U103" s="539">
        <v>8.1863091360265858E-2</v>
      </c>
      <c r="V103" s="539">
        <v>-99</v>
      </c>
      <c r="W103" s="539">
        <v>-99</v>
      </c>
      <c r="X103" s="539">
        <v>-99</v>
      </c>
      <c r="Y103" s="539">
        <v>-99</v>
      </c>
      <c r="Z103" s="539">
        <v>-99</v>
      </c>
      <c r="AA103" s="539">
        <v>-99</v>
      </c>
      <c r="AB103" s="539">
        <v>-99</v>
      </c>
      <c r="AC103" s="539">
        <v>8.8593290388278303E-2</v>
      </c>
      <c r="AD103" s="539">
        <v>-99</v>
      </c>
      <c r="AE103" s="539">
        <v>6.7721294136679919E-2</v>
      </c>
      <c r="AF103" s="539">
        <v>-99</v>
      </c>
      <c r="AG103" s="539">
        <v>-99</v>
      </c>
      <c r="AH103" s="540">
        <v>8.7880748217025892E-2</v>
      </c>
      <c r="AI103" s="539">
        <v>-99</v>
      </c>
      <c r="AJ103" s="540">
        <v>9.2205001129372993E-2</v>
      </c>
      <c r="AK103" s="539">
        <v>-99</v>
      </c>
      <c r="AL103" s="539">
        <v>-99</v>
      </c>
      <c r="AM103" s="540">
        <v>8.4309651334210436E-2</v>
      </c>
      <c r="AN103" s="539">
        <v>-99</v>
      </c>
      <c r="AO103" s="540">
        <v>9.8768234737372951E-2</v>
      </c>
      <c r="AP103" s="541">
        <v>-99</v>
      </c>
      <c r="AQ103" s="539">
        <v>-99</v>
      </c>
      <c r="AR103" s="540">
        <v>8.6610337617801264E-2</v>
      </c>
      <c r="AS103" s="539">
        <v>-99</v>
      </c>
      <c r="AT103" s="540">
        <v>8.971442139474281E-2</v>
      </c>
      <c r="AU103" s="539">
        <v>-99</v>
      </c>
      <c r="AV103" s="540">
        <v>-99</v>
      </c>
      <c r="AW103" s="540">
        <v>-99</v>
      </c>
      <c r="AX103" s="540">
        <v>-99</v>
      </c>
      <c r="AY103" s="540">
        <v>-99</v>
      </c>
      <c r="AZ103" s="539">
        <v>-99</v>
      </c>
      <c r="BA103" s="539">
        <v>-99</v>
      </c>
      <c r="BB103" s="540">
        <v>0.104917396444136</v>
      </c>
      <c r="BC103" s="539">
        <v>-99</v>
      </c>
      <c r="BD103" s="540">
        <v>7.6330553277005955E-2</v>
      </c>
      <c r="BE103" s="541">
        <v>-99</v>
      </c>
      <c r="BF103" s="612"/>
      <c r="BG103" s="541"/>
      <c r="BH103" s="612">
        <v>-99</v>
      </c>
      <c r="BI103" s="576"/>
      <c r="BJ103" s="576"/>
      <c r="BK103" s="576"/>
      <c r="BL103" s="576"/>
      <c r="BM103" s="545">
        <v>-99</v>
      </c>
      <c r="BN103" s="639">
        <v>-99</v>
      </c>
      <c r="BO103" s="576"/>
      <c r="BP103" s="576"/>
      <c r="BQ103" s="576"/>
      <c r="BR103" s="570"/>
      <c r="BS103" s="547" t="s">
        <v>188</v>
      </c>
      <c r="BT103" s="549" t="s">
        <v>188</v>
      </c>
      <c r="BU103" s="549" t="s">
        <v>188</v>
      </c>
      <c r="BV103" s="549" t="s">
        <v>188</v>
      </c>
      <c r="BW103" s="549" t="s">
        <v>188</v>
      </c>
      <c r="BX103" s="549" t="s">
        <v>188</v>
      </c>
      <c r="BY103" s="549" t="s">
        <v>188</v>
      </c>
      <c r="BZ103" s="549" t="s">
        <v>188</v>
      </c>
      <c r="CA103" s="549" t="s">
        <v>188</v>
      </c>
      <c r="CB103" s="549" t="s">
        <v>188</v>
      </c>
      <c r="CC103" s="549" t="s">
        <v>188</v>
      </c>
      <c r="CD103" s="662"/>
      <c r="CE103" s="661" t="s">
        <v>188</v>
      </c>
      <c r="CF103" s="662" t="s">
        <v>188</v>
      </c>
      <c r="CG103" s="662" t="s">
        <v>188</v>
      </c>
      <c r="CH103" s="662" t="s">
        <v>188</v>
      </c>
      <c r="CI103" s="662" t="s">
        <v>188</v>
      </c>
      <c r="CJ103" s="662" t="s">
        <v>188</v>
      </c>
      <c r="CK103" s="662" t="s">
        <v>188</v>
      </c>
      <c r="CL103" s="662" t="s">
        <v>188</v>
      </c>
      <c r="CM103" s="662" t="s">
        <v>188</v>
      </c>
      <c r="CN103" s="662" t="s">
        <v>188</v>
      </c>
      <c r="CO103" s="616"/>
      <c r="CP103" s="616"/>
      <c r="CQ103" s="616"/>
      <c r="CR103" s="616"/>
      <c r="CS103" s="616"/>
      <c r="CT103" s="616"/>
      <c r="CU103" s="616"/>
      <c r="CV103" s="616"/>
      <c r="CW103" s="616"/>
      <c r="CX103" s="616"/>
      <c r="CY103" s="616"/>
      <c r="CZ103" s="616"/>
      <c r="DA103" s="616"/>
      <c r="DB103" s="616"/>
      <c r="DC103" s="640"/>
      <c r="DD103" s="640"/>
      <c r="DE103" s="640"/>
      <c r="DF103" s="640"/>
      <c r="DG103" s="640"/>
      <c r="DH103" s="640"/>
      <c r="DI103" s="576"/>
      <c r="DJ103" s="576"/>
      <c r="DK103" s="576"/>
      <c r="DL103" s="576"/>
      <c r="DM103" s="576"/>
      <c r="DN103" s="576"/>
      <c r="DO103" s="576"/>
      <c r="DP103" s="576"/>
      <c r="DQ103" s="576"/>
      <c r="DR103" s="576"/>
      <c r="DS103" s="576"/>
      <c r="DT103" s="576"/>
      <c r="DU103" s="576"/>
      <c r="DV103" s="576"/>
      <c r="DW103" s="576"/>
      <c r="DX103" s="577"/>
      <c r="DY103" s="577"/>
      <c r="DZ103" s="577"/>
      <c r="EA103" s="577"/>
      <c r="EB103" s="577"/>
      <c r="EC103" s="577"/>
      <c r="ED103" s="577"/>
      <c r="EE103" s="577"/>
      <c r="EF103" s="577"/>
      <c r="EG103" s="577"/>
      <c r="EH103" s="8">
        <v>135</v>
      </c>
    </row>
    <row r="104" spans="1:138" x14ac:dyDescent="0.25">
      <c r="A104" s="16">
        <v>100</v>
      </c>
      <c r="B104" s="526" t="s">
        <v>691</v>
      </c>
      <c r="C104" s="526" t="s">
        <v>108</v>
      </c>
      <c r="D104" s="19" t="s">
        <v>1</v>
      </c>
      <c r="E104" s="19" t="s">
        <v>75</v>
      </c>
      <c r="F104" s="19" t="s">
        <v>8</v>
      </c>
      <c r="G104" s="19" t="s">
        <v>837</v>
      </c>
      <c r="H104" s="539">
        <v>-99</v>
      </c>
      <c r="I104" s="539">
        <v>-99</v>
      </c>
      <c r="J104" s="539">
        <v>-99</v>
      </c>
      <c r="K104" s="539">
        <v>-99</v>
      </c>
      <c r="L104" s="539">
        <v>-99</v>
      </c>
      <c r="M104" s="539">
        <v>-99</v>
      </c>
      <c r="N104" s="539">
        <v>-99</v>
      </c>
      <c r="O104" s="539">
        <v>-99</v>
      </c>
      <c r="P104" s="539">
        <v>-99</v>
      </c>
      <c r="Q104" s="539">
        <v>-99</v>
      </c>
      <c r="R104" s="539">
        <v>-99</v>
      </c>
      <c r="S104" s="539">
        <v>-99</v>
      </c>
      <c r="T104" s="539">
        <v>-99</v>
      </c>
      <c r="U104" s="539">
        <v>-99</v>
      </c>
      <c r="V104" s="539">
        <v>-99</v>
      </c>
      <c r="W104" s="539">
        <v>-99</v>
      </c>
      <c r="X104" s="539">
        <v>-99</v>
      </c>
      <c r="Y104" s="539">
        <v>-99</v>
      </c>
      <c r="Z104" s="539">
        <v>-99</v>
      </c>
      <c r="AA104" s="539">
        <v>-99</v>
      </c>
      <c r="AB104" s="539">
        <v>-99</v>
      </c>
      <c r="AC104" s="539">
        <v>-99</v>
      </c>
      <c r="AD104" s="539">
        <v>-99</v>
      </c>
      <c r="AE104" s="539">
        <v>-99</v>
      </c>
      <c r="AF104" s="539">
        <v>-99</v>
      </c>
      <c r="AG104" s="539">
        <v>-99</v>
      </c>
      <c r="AH104" s="540">
        <v>-99</v>
      </c>
      <c r="AI104" s="539">
        <v>-99</v>
      </c>
      <c r="AJ104" s="540">
        <v>-99</v>
      </c>
      <c r="AK104" s="539">
        <v>-99</v>
      </c>
      <c r="AL104" s="539">
        <v>-99</v>
      </c>
      <c r="AM104" s="540">
        <v>-99</v>
      </c>
      <c r="AN104" s="539">
        <v>-99</v>
      </c>
      <c r="AO104" s="540">
        <v>-99</v>
      </c>
      <c r="AP104" s="541">
        <v>-99</v>
      </c>
      <c r="AQ104" s="539">
        <v>-99</v>
      </c>
      <c r="AR104" s="540">
        <v>-99</v>
      </c>
      <c r="AS104" s="539">
        <v>-99</v>
      </c>
      <c r="AT104" s="540">
        <v>-99</v>
      </c>
      <c r="AU104" s="539">
        <v>-99</v>
      </c>
      <c r="AV104" s="540">
        <v>-99</v>
      </c>
      <c r="AW104" s="540">
        <v>-99</v>
      </c>
      <c r="AX104" s="540">
        <v>-99</v>
      </c>
      <c r="AY104" s="540">
        <v>-99</v>
      </c>
      <c r="AZ104" s="539">
        <v>-99</v>
      </c>
      <c r="BA104" s="539">
        <v>-99</v>
      </c>
      <c r="BB104" s="540">
        <v>-99</v>
      </c>
      <c r="BC104" s="539">
        <v>-99</v>
      </c>
      <c r="BD104" s="540">
        <v>-99</v>
      </c>
      <c r="BE104" s="541">
        <v>-99</v>
      </c>
      <c r="BF104" s="557"/>
      <c r="BG104" s="541"/>
      <c r="BH104" s="612">
        <v>-99</v>
      </c>
      <c r="BI104" s="576"/>
      <c r="BJ104" s="576"/>
      <c r="BK104" s="576"/>
      <c r="BL104" s="576"/>
      <c r="BM104" s="639">
        <v>-99</v>
      </c>
      <c r="BN104" s="639">
        <v>-99</v>
      </c>
      <c r="BO104" s="576"/>
      <c r="BP104" s="576"/>
      <c r="BQ104" s="576"/>
      <c r="BR104" s="639" t="s">
        <v>225</v>
      </c>
      <c r="BS104" s="547" t="s">
        <v>188</v>
      </c>
      <c r="BT104" s="549" t="s">
        <v>188</v>
      </c>
      <c r="BU104" s="549" t="s">
        <v>188</v>
      </c>
      <c r="BV104" s="549" t="s">
        <v>188</v>
      </c>
      <c r="BW104" s="549" t="s">
        <v>188</v>
      </c>
      <c r="BX104" s="549" t="s">
        <v>188</v>
      </c>
      <c r="BY104" s="549" t="s">
        <v>188</v>
      </c>
      <c r="BZ104" s="549" t="s">
        <v>188</v>
      </c>
      <c r="CA104" s="549" t="s">
        <v>188</v>
      </c>
      <c r="CB104" s="549" t="s">
        <v>188</v>
      </c>
      <c r="CC104" s="549" t="s">
        <v>188</v>
      </c>
      <c r="CD104" s="662"/>
      <c r="CE104" s="661" t="s">
        <v>188</v>
      </c>
      <c r="CF104" s="662" t="s">
        <v>188</v>
      </c>
      <c r="CG104" s="662" t="s">
        <v>188</v>
      </c>
      <c r="CH104" s="662" t="s">
        <v>188</v>
      </c>
      <c r="CI104" s="662" t="s">
        <v>188</v>
      </c>
      <c r="CJ104" s="662" t="s">
        <v>188</v>
      </c>
      <c r="CK104" s="662" t="s">
        <v>188</v>
      </c>
      <c r="CL104" s="662" t="s">
        <v>188</v>
      </c>
      <c r="CM104" s="662" t="s">
        <v>188</v>
      </c>
      <c r="CN104" s="662" t="s">
        <v>188</v>
      </c>
      <c r="CO104" s="639"/>
      <c r="CP104" s="639"/>
      <c r="CQ104" s="639"/>
      <c r="CR104" s="639"/>
      <c r="CS104" s="639"/>
      <c r="CT104" s="639"/>
      <c r="CU104" s="639"/>
      <c r="CV104" s="639"/>
      <c r="CW104" s="639"/>
      <c r="CX104" s="639"/>
      <c r="CY104" s="639"/>
      <c r="CZ104" s="639"/>
      <c r="DA104" s="639"/>
      <c r="DB104" s="639"/>
      <c r="DC104" s="639"/>
      <c r="DD104" s="639"/>
      <c r="DE104" s="639"/>
      <c r="DF104" s="639"/>
      <c r="DG104" s="639"/>
      <c r="DH104" s="639"/>
      <c r="DI104" s="576"/>
      <c r="DJ104" s="576"/>
      <c r="DK104" s="576"/>
      <c r="DL104" s="576"/>
      <c r="DM104" s="576"/>
      <c r="DN104" s="576"/>
      <c r="DO104" s="576"/>
      <c r="DP104" s="576"/>
      <c r="DQ104" s="576"/>
      <c r="DR104" s="576"/>
      <c r="DS104" s="576"/>
      <c r="DT104" s="576"/>
      <c r="DU104" s="576"/>
      <c r="DV104" s="576"/>
      <c r="DW104" s="576"/>
      <c r="DX104" s="577"/>
      <c r="DY104" s="577"/>
      <c r="DZ104" s="577"/>
      <c r="EA104" s="577"/>
      <c r="EB104" s="577"/>
      <c r="EC104" s="577"/>
      <c r="ED104" s="577"/>
      <c r="EE104" s="577"/>
      <c r="EF104" s="577"/>
      <c r="EG104" s="577"/>
      <c r="EH104" s="8">
        <v>130</v>
      </c>
    </row>
    <row r="105" spans="1:138" x14ac:dyDescent="0.25">
      <c r="A105" s="16">
        <v>101</v>
      </c>
      <c r="B105" s="19" t="s">
        <v>693</v>
      </c>
      <c r="C105" s="19"/>
      <c r="D105" s="19" t="s">
        <v>1</v>
      </c>
      <c r="E105" s="19" t="s">
        <v>75</v>
      </c>
      <c r="F105" s="19" t="s">
        <v>8</v>
      </c>
      <c r="G105" s="19" t="s">
        <v>837</v>
      </c>
      <c r="H105" s="539">
        <v>-99</v>
      </c>
      <c r="I105" s="539">
        <v>-99</v>
      </c>
      <c r="J105" s="539">
        <v>-99</v>
      </c>
      <c r="K105" s="539">
        <v>-99</v>
      </c>
      <c r="L105" s="539">
        <v>-99</v>
      </c>
      <c r="M105" s="539">
        <v>-99</v>
      </c>
      <c r="N105" s="539">
        <v>-99</v>
      </c>
      <c r="O105" s="539">
        <v>-99</v>
      </c>
      <c r="P105" s="539">
        <v>-99</v>
      </c>
      <c r="Q105" s="539">
        <v>-99</v>
      </c>
      <c r="R105" s="539">
        <v>-99</v>
      </c>
      <c r="S105" s="539">
        <v>-99</v>
      </c>
      <c r="T105" s="539">
        <v>-99</v>
      </c>
      <c r="U105" s="539">
        <v>-99</v>
      </c>
      <c r="V105" s="539">
        <v>-99</v>
      </c>
      <c r="W105" s="539">
        <v>-99</v>
      </c>
      <c r="X105" s="539">
        <v>-99</v>
      </c>
      <c r="Y105" s="539">
        <v>-99</v>
      </c>
      <c r="Z105" s="539">
        <v>-99</v>
      </c>
      <c r="AA105" s="539">
        <v>-99</v>
      </c>
      <c r="AB105" s="539">
        <v>-99</v>
      </c>
      <c r="AC105" s="539">
        <v>-99</v>
      </c>
      <c r="AD105" s="539">
        <v>-99</v>
      </c>
      <c r="AE105" s="539">
        <v>-99</v>
      </c>
      <c r="AF105" s="539">
        <v>-99</v>
      </c>
      <c r="AG105" s="539">
        <v>-99</v>
      </c>
      <c r="AH105" s="540">
        <v>-99</v>
      </c>
      <c r="AI105" s="539">
        <v>-99</v>
      </c>
      <c r="AJ105" s="540">
        <v>-99</v>
      </c>
      <c r="AK105" s="539">
        <v>-99</v>
      </c>
      <c r="AL105" s="539">
        <v>-99</v>
      </c>
      <c r="AM105" s="540">
        <v>-99</v>
      </c>
      <c r="AN105" s="539">
        <v>-99</v>
      </c>
      <c r="AO105" s="540">
        <v>-99</v>
      </c>
      <c r="AP105" s="541">
        <v>-99</v>
      </c>
      <c r="AQ105" s="539">
        <v>-99</v>
      </c>
      <c r="AR105" s="540">
        <v>-99</v>
      </c>
      <c r="AS105" s="539">
        <v>-99</v>
      </c>
      <c r="AT105" s="540">
        <v>-99</v>
      </c>
      <c r="AU105" s="539">
        <v>-99</v>
      </c>
      <c r="AV105" s="540">
        <v>-99</v>
      </c>
      <c r="AW105" s="540">
        <v>-99</v>
      </c>
      <c r="AX105" s="540">
        <v>-99</v>
      </c>
      <c r="AY105" s="540">
        <v>-99</v>
      </c>
      <c r="AZ105" s="539">
        <v>-99</v>
      </c>
      <c r="BA105" s="539">
        <v>-99</v>
      </c>
      <c r="BB105" s="540">
        <v>-99</v>
      </c>
      <c r="BC105" s="539">
        <v>-99</v>
      </c>
      <c r="BD105" s="540">
        <v>-99</v>
      </c>
      <c r="BE105" s="541">
        <v>-99</v>
      </c>
      <c r="BF105" s="612"/>
      <c r="BG105" s="541"/>
      <c r="BH105" s="612">
        <v>-99</v>
      </c>
      <c r="BI105" s="576"/>
      <c r="BJ105" s="576"/>
      <c r="BK105" s="576"/>
      <c r="BL105" s="576"/>
      <c r="BM105" s="545">
        <v>-99</v>
      </c>
      <c r="BN105" s="568">
        <v>-99</v>
      </c>
      <c r="BO105" s="576"/>
      <c r="BP105" s="576"/>
      <c r="BQ105" s="576"/>
      <c r="BR105" s="570"/>
      <c r="BS105" s="547" t="s">
        <v>188</v>
      </c>
      <c r="BT105" s="549" t="s">
        <v>188</v>
      </c>
      <c r="BU105" s="549" t="s">
        <v>188</v>
      </c>
      <c r="BV105" s="549" t="s">
        <v>188</v>
      </c>
      <c r="BW105" s="549" t="s">
        <v>188</v>
      </c>
      <c r="BX105" s="549" t="s">
        <v>188</v>
      </c>
      <c r="BY105" s="549" t="s">
        <v>188</v>
      </c>
      <c r="BZ105" s="549" t="s">
        <v>188</v>
      </c>
      <c r="CA105" s="549" t="s">
        <v>188</v>
      </c>
      <c r="CB105" s="549" t="s">
        <v>188</v>
      </c>
      <c r="CC105" s="549" t="s">
        <v>188</v>
      </c>
      <c r="CD105" s="662"/>
      <c r="CE105" s="661" t="s">
        <v>188</v>
      </c>
      <c r="CF105" s="662" t="s">
        <v>188</v>
      </c>
      <c r="CG105" s="662" t="s">
        <v>188</v>
      </c>
      <c r="CH105" s="662" t="s">
        <v>188</v>
      </c>
      <c r="CI105" s="662" t="s">
        <v>188</v>
      </c>
      <c r="CJ105" s="662" t="s">
        <v>188</v>
      </c>
      <c r="CK105" s="662" t="s">
        <v>188</v>
      </c>
      <c r="CL105" s="662" t="s">
        <v>188</v>
      </c>
      <c r="CM105" s="662" t="s">
        <v>188</v>
      </c>
      <c r="CN105" s="662" t="s">
        <v>188</v>
      </c>
      <c r="CO105" s="616"/>
      <c r="CP105" s="616"/>
      <c r="CQ105" s="616"/>
      <c r="CR105" s="616"/>
      <c r="CS105" s="616"/>
      <c r="CT105" s="616"/>
      <c r="CU105" s="616"/>
      <c r="CV105" s="616"/>
      <c r="CW105" s="616"/>
      <c r="CX105" s="616"/>
      <c r="CY105" s="616"/>
      <c r="CZ105" s="616"/>
      <c r="DA105" s="616"/>
      <c r="DB105" s="616"/>
      <c r="DC105" s="640"/>
      <c r="DD105" s="640"/>
      <c r="DE105" s="640"/>
      <c r="DF105" s="640"/>
      <c r="DG105" s="640"/>
      <c r="DH105" s="640"/>
      <c r="DI105" s="576"/>
      <c r="DJ105" s="576"/>
      <c r="DK105" s="576"/>
      <c r="DL105" s="576"/>
      <c r="DM105" s="576"/>
      <c r="DN105" s="576"/>
      <c r="DO105" s="576"/>
      <c r="DP105" s="576"/>
      <c r="DQ105" s="576"/>
      <c r="DR105" s="576"/>
      <c r="DS105" s="576"/>
      <c r="DT105" s="576"/>
      <c r="DU105" s="576"/>
      <c r="DV105" s="576"/>
      <c r="DW105" s="576"/>
      <c r="DX105" s="577"/>
      <c r="DY105" s="577"/>
      <c r="DZ105" s="577"/>
      <c r="EA105" s="577"/>
      <c r="EB105" s="577"/>
      <c r="EC105" s="577"/>
      <c r="ED105" s="577"/>
      <c r="EE105" s="577"/>
      <c r="EF105" s="577"/>
      <c r="EG105" s="577"/>
      <c r="EH105" s="8">
        <v>125</v>
      </c>
    </row>
    <row r="106" spans="1:138" x14ac:dyDescent="0.25">
      <c r="A106" s="16">
        <v>102</v>
      </c>
      <c r="B106" s="19" t="s">
        <v>37</v>
      </c>
      <c r="C106" s="19"/>
      <c r="D106" s="19" t="s">
        <v>1</v>
      </c>
      <c r="E106" s="19" t="s">
        <v>75</v>
      </c>
      <c r="F106" s="19" t="s">
        <v>8</v>
      </c>
      <c r="G106" s="19" t="s">
        <v>837</v>
      </c>
      <c r="H106" s="539">
        <v>-99</v>
      </c>
      <c r="I106" s="539">
        <v>-99</v>
      </c>
      <c r="J106" s="539">
        <v>-99</v>
      </c>
      <c r="K106" s="539">
        <v>-99</v>
      </c>
      <c r="L106" s="539">
        <v>-99</v>
      </c>
      <c r="M106" s="539">
        <v>-99</v>
      </c>
      <c r="N106" s="539">
        <v>-99</v>
      </c>
      <c r="O106" s="539">
        <v>-99</v>
      </c>
      <c r="P106" s="539">
        <v>-99</v>
      </c>
      <c r="Q106" s="539">
        <v>-99</v>
      </c>
      <c r="R106" s="539">
        <v>-99</v>
      </c>
      <c r="S106" s="539">
        <v>-99</v>
      </c>
      <c r="T106" s="539">
        <v>-99</v>
      </c>
      <c r="U106" s="539">
        <v>-99</v>
      </c>
      <c r="V106" s="539">
        <v>-99</v>
      </c>
      <c r="W106" s="539">
        <v>-99</v>
      </c>
      <c r="X106" s="539">
        <v>-99</v>
      </c>
      <c r="Y106" s="539">
        <v>-99</v>
      </c>
      <c r="Z106" s="539">
        <v>-99</v>
      </c>
      <c r="AA106" s="539">
        <v>-99</v>
      </c>
      <c r="AB106" s="539">
        <v>-99</v>
      </c>
      <c r="AC106" s="539">
        <v>-99</v>
      </c>
      <c r="AD106" s="539">
        <v>-99</v>
      </c>
      <c r="AE106" s="539">
        <v>-99</v>
      </c>
      <c r="AF106" s="539">
        <v>-99</v>
      </c>
      <c r="AG106" s="539">
        <v>-99</v>
      </c>
      <c r="AH106" s="540">
        <v>-99</v>
      </c>
      <c r="AI106" s="539">
        <v>-99</v>
      </c>
      <c r="AJ106" s="540">
        <v>-99</v>
      </c>
      <c r="AK106" s="539">
        <v>-99</v>
      </c>
      <c r="AL106" s="539">
        <v>-99</v>
      </c>
      <c r="AM106" s="540">
        <v>-99</v>
      </c>
      <c r="AN106" s="539">
        <v>-99</v>
      </c>
      <c r="AO106" s="540">
        <v>-99</v>
      </c>
      <c r="AP106" s="541">
        <v>-99</v>
      </c>
      <c r="AQ106" s="539">
        <v>-99</v>
      </c>
      <c r="AR106" s="540">
        <v>-99</v>
      </c>
      <c r="AS106" s="539">
        <v>-99</v>
      </c>
      <c r="AT106" s="540">
        <v>-99</v>
      </c>
      <c r="AU106" s="539">
        <v>-99</v>
      </c>
      <c r="AV106" s="540">
        <v>-99</v>
      </c>
      <c r="AW106" s="540">
        <v>-99</v>
      </c>
      <c r="AX106" s="540">
        <v>-99</v>
      </c>
      <c r="AY106" s="540">
        <v>-99</v>
      </c>
      <c r="AZ106" s="539">
        <v>-99</v>
      </c>
      <c r="BA106" s="539">
        <v>-99</v>
      </c>
      <c r="BB106" s="540">
        <v>-99</v>
      </c>
      <c r="BC106" s="539">
        <v>-99</v>
      </c>
      <c r="BD106" s="540">
        <v>-99</v>
      </c>
      <c r="BE106" s="541">
        <v>-99</v>
      </c>
      <c r="BF106" s="612"/>
      <c r="BG106" s="541"/>
      <c r="BH106" s="612">
        <v>-99</v>
      </c>
      <c r="BI106" s="576"/>
      <c r="BJ106" s="576"/>
      <c r="BK106" s="576"/>
      <c r="BL106" s="576"/>
      <c r="BM106" s="545">
        <v>-99</v>
      </c>
      <c r="BN106" s="639">
        <v>-99</v>
      </c>
      <c r="BO106" s="576"/>
      <c r="BP106" s="576"/>
      <c r="BQ106" s="576"/>
      <c r="BR106" s="570"/>
      <c r="BS106" s="547" t="s">
        <v>188</v>
      </c>
      <c r="BT106" s="549" t="s">
        <v>188</v>
      </c>
      <c r="BU106" s="549" t="s">
        <v>188</v>
      </c>
      <c r="BV106" s="549" t="s">
        <v>188</v>
      </c>
      <c r="BW106" s="549" t="s">
        <v>188</v>
      </c>
      <c r="BX106" s="549" t="s">
        <v>188</v>
      </c>
      <c r="BY106" s="549" t="s">
        <v>188</v>
      </c>
      <c r="BZ106" s="549" t="s">
        <v>188</v>
      </c>
      <c r="CA106" s="549" t="s">
        <v>188</v>
      </c>
      <c r="CB106" s="549" t="s">
        <v>188</v>
      </c>
      <c r="CC106" s="549" t="s">
        <v>188</v>
      </c>
      <c r="CD106" s="662"/>
      <c r="CE106" s="661" t="s">
        <v>188</v>
      </c>
      <c r="CF106" s="662" t="s">
        <v>188</v>
      </c>
      <c r="CG106" s="662" t="s">
        <v>188</v>
      </c>
      <c r="CH106" s="662" t="s">
        <v>188</v>
      </c>
      <c r="CI106" s="662" t="s">
        <v>188</v>
      </c>
      <c r="CJ106" s="662" t="s">
        <v>188</v>
      </c>
      <c r="CK106" s="662" t="s">
        <v>188</v>
      </c>
      <c r="CL106" s="662" t="s">
        <v>188</v>
      </c>
      <c r="CM106" s="662" t="s">
        <v>188</v>
      </c>
      <c r="CN106" s="662" t="s">
        <v>188</v>
      </c>
      <c r="CO106" s="616"/>
      <c r="CP106" s="616"/>
      <c r="CQ106" s="616"/>
      <c r="CR106" s="616"/>
      <c r="CS106" s="616"/>
      <c r="CT106" s="616"/>
      <c r="CU106" s="616"/>
      <c r="CV106" s="616"/>
      <c r="CW106" s="616"/>
      <c r="CX106" s="616"/>
      <c r="CY106" s="616"/>
      <c r="CZ106" s="616"/>
      <c r="DA106" s="616"/>
      <c r="DB106" s="616"/>
      <c r="DC106" s="640"/>
      <c r="DD106" s="640"/>
      <c r="DE106" s="640"/>
      <c r="DF106" s="640"/>
      <c r="DG106" s="640"/>
      <c r="DH106" s="640"/>
      <c r="DI106" s="576"/>
      <c r="DJ106" s="576"/>
      <c r="DK106" s="576"/>
      <c r="DL106" s="576"/>
      <c r="DM106" s="576"/>
      <c r="DN106" s="576"/>
      <c r="DO106" s="576"/>
      <c r="DP106" s="576"/>
      <c r="DQ106" s="576"/>
      <c r="DR106" s="576"/>
      <c r="DS106" s="576"/>
      <c r="DT106" s="576"/>
      <c r="DU106" s="576"/>
      <c r="DV106" s="576"/>
      <c r="DW106" s="576"/>
      <c r="DX106" s="577"/>
      <c r="DY106" s="577"/>
      <c r="DZ106" s="577"/>
      <c r="EA106" s="577"/>
      <c r="EB106" s="577"/>
      <c r="EC106" s="577"/>
      <c r="ED106" s="577"/>
      <c r="EE106" s="577"/>
      <c r="EF106" s="577"/>
      <c r="EG106" s="577"/>
      <c r="EH106" s="8">
        <v>120</v>
      </c>
    </row>
    <row r="107" spans="1:138" x14ac:dyDescent="0.25">
      <c r="A107" s="16">
        <v>103</v>
      </c>
      <c r="B107" s="19" t="s">
        <v>405</v>
      </c>
      <c r="C107" s="19"/>
      <c r="D107" s="19" t="s">
        <v>1</v>
      </c>
      <c r="E107" s="19" t="s">
        <v>75</v>
      </c>
      <c r="F107" s="19"/>
      <c r="G107" s="19" t="s">
        <v>6</v>
      </c>
      <c r="H107" s="539">
        <v>-99</v>
      </c>
      <c r="I107" s="539">
        <v>-99</v>
      </c>
      <c r="J107" s="539">
        <v>-99</v>
      </c>
      <c r="K107" s="539">
        <v>-99</v>
      </c>
      <c r="L107" s="539">
        <v>-99</v>
      </c>
      <c r="M107" s="539">
        <v>-99</v>
      </c>
      <c r="N107" s="539">
        <v>-99</v>
      </c>
      <c r="O107" s="539">
        <v>-99</v>
      </c>
      <c r="P107" s="539">
        <v>-99</v>
      </c>
      <c r="Q107" s="539">
        <v>-99</v>
      </c>
      <c r="R107" s="539">
        <v>-99</v>
      </c>
      <c r="S107" s="539">
        <v>-99</v>
      </c>
      <c r="T107" s="539">
        <v>-99</v>
      </c>
      <c r="U107" s="539">
        <v>-99</v>
      </c>
      <c r="V107" s="539">
        <v>-99</v>
      </c>
      <c r="W107" s="539">
        <v>-99</v>
      </c>
      <c r="X107" s="539">
        <v>-99</v>
      </c>
      <c r="Y107" s="539">
        <v>-99</v>
      </c>
      <c r="Z107" s="539">
        <v>-99</v>
      </c>
      <c r="AA107" s="539">
        <v>-99</v>
      </c>
      <c r="AB107" s="539">
        <v>-99</v>
      </c>
      <c r="AC107" s="539">
        <v>-99</v>
      </c>
      <c r="AD107" s="539">
        <v>-99</v>
      </c>
      <c r="AE107" s="539">
        <v>-99</v>
      </c>
      <c r="AF107" s="539">
        <v>-99</v>
      </c>
      <c r="AG107" s="539">
        <v>-99</v>
      </c>
      <c r="AH107" s="540">
        <v>-99</v>
      </c>
      <c r="AI107" s="539">
        <v>-99</v>
      </c>
      <c r="AJ107" s="540">
        <v>-99</v>
      </c>
      <c r="AK107" s="539">
        <v>-99</v>
      </c>
      <c r="AL107" s="539">
        <v>-99</v>
      </c>
      <c r="AM107" s="540">
        <v>-99</v>
      </c>
      <c r="AN107" s="539">
        <v>-99</v>
      </c>
      <c r="AO107" s="540">
        <v>-99</v>
      </c>
      <c r="AP107" s="541">
        <v>-99</v>
      </c>
      <c r="AQ107" s="539">
        <v>-99</v>
      </c>
      <c r="AR107" s="540">
        <v>-99</v>
      </c>
      <c r="AS107" s="539">
        <v>-99</v>
      </c>
      <c r="AT107" s="540">
        <v>-99</v>
      </c>
      <c r="AU107" s="539">
        <v>-99</v>
      </c>
      <c r="AV107" s="540">
        <v>-99</v>
      </c>
      <c r="AW107" s="540">
        <v>-99</v>
      </c>
      <c r="AX107" s="540">
        <v>-99</v>
      </c>
      <c r="AY107" s="540">
        <v>-99</v>
      </c>
      <c r="AZ107" s="539">
        <v>-99</v>
      </c>
      <c r="BA107" s="539">
        <v>-99</v>
      </c>
      <c r="BB107" s="540">
        <v>-99</v>
      </c>
      <c r="BC107" s="539">
        <v>-99</v>
      </c>
      <c r="BD107" s="540">
        <v>-99</v>
      </c>
      <c r="BE107" s="541">
        <v>-99</v>
      </c>
      <c r="BF107" s="614"/>
      <c r="BG107" s="541"/>
      <c r="BH107" s="614">
        <v>-99</v>
      </c>
      <c r="BI107" s="607"/>
      <c r="BJ107" s="607"/>
      <c r="BK107" s="607"/>
      <c r="BL107" s="607"/>
      <c r="BM107" s="639">
        <v>-99</v>
      </c>
      <c r="BN107" s="639">
        <v>-99</v>
      </c>
      <c r="BO107" s="607"/>
      <c r="BP107" s="607"/>
      <c r="BQ107" s="607"/>
      <c r="BR107" s="638"/>
      <c r="BS107" s="547" t="s">
        <v>188</v>
      </c>
      <c r="BT107" s="549" t="s">
        <v>188</v>
      </c>
      <c r="BU107" s="549" t="s">
        <v>188</v>
      </c>
      <c r="BV107" s="549" t="s">
        <v>188</v>
      </c>
      <c r="BW107" s="549" t="s">
        <v>188</v>
      </c>
      <c r="BX107" s="549" t="s">
        <v>188</v>
      </c>
      <c r="BY107" s="549" t="s">
        <v>188</v>
      </c>
      <c r="BZ107" s="549" t="s">
        <v>188</v>
      </c>
      <c r="CA107" s="549" t="s">
        <v>188</v>
      </c>
      <c r="CB107" s="549" t="s">
        <v>188</v>
      </c>
      <c r="CC107" s="549" t="s">
        <v>188</v>
      </c>
      <c r="CD107" s="662"/>
      <c r="CE107" s="661" t="s">
        <v>188</v>
      </c>
      <c r="CF107" s="662" t="s">
        <v>188</v>
      </c>
      <c r="CG107" s="662" t="s">
        <v>188</v>
      </c>
      <c r="CH107" s="662" t="s">
        <v>188</v>
      </c>
      <c r="CI107" s="662" t="s">
        <v>188</v>
      </c>
      <c r="CJ107" s="662" t="s">
        <v>188</v>
      </c>
      <c r="CK107" s="662" t="s">
        <v>188</v>
      </c>
      <c r="CL107" s="662" t="s">
        <v>188</v>
      </c>
      <c r="CM107" s="662" t="s">
        <v>188</v>
      </c>
      <c r="CN107" s="662" t="s">
        <v>188</v>
      </c>
      <c r="CO107" s="638"/>
      <c r="CP107" s="638"/>
      <c r="CQ107" s="638"/>
      <c r="CR107" s="638"/>
      <c r="CS107" s="638"/>
      <c r="CT107" s="638"/>
      <c r="CU107" s="638"/>
      <c r="CV107" s="638"/>
      <c r="CW107" s="638"/>
      <c r="CX107" s="638"/>
      <c r="CY107" s="638"/>
      <c r="CZ107" s="638"/>
      <c r="DA107" s="638"/>
      <c r="DB107" s="638"/>
      <c r="DC107" s="638"/>
      <c r="DD107" s="638"/>
      <c r="DE107" s="638"/>
      <c r="DF107" s="638"/>
      <c r="DG107" s="638"/>
      <c r="DH107" s="638"/>
      <c r="DI107" s="607"/>
      <c r="DJ107" s="607"/>
      <c r="DK107" s="607"/>
      <c r="DL107" s="607"/>
      <c r="DM107" s="607"/>
      <c r="DN107" s="607"/>
      <c r="DO107" s="607"/>
      <c r="DP107" s="607"/>
      <c r="DQ107" s="607"/>
      <c r="DR107" s="607"/>
      <c r="DS107" s="607"/>
      <c r="DT107" s="607"/>
      <c r="DU107" s="607"/>
      <c r="DV107" s="607"/>
      <c r="DW107" s="607"/>
      <c r="DX107" s="607"/>
      <c r="DY107" s="607"/>
      <c r="DZ107" s="607"/>
      <c r="EA107" s="607"/>
      <c r="EB107" s="607"/>
      <c r="EC107" s="607"/>
      <c r="ED107" s="607"/>
      <c r="EE107" s="607"/>
      <c r="EF107" s="607"/>
      <c r="EG107" s="607"/>
      <c r="EH107" s="8">
        <v>110</v>
      </c>
    </row>
    <row r="108" spans="1:138" x14ac:dyDescent="0.25">
      <c r="A108" s="16">
        <v>104</v>
      </c>
      <c r="B108" s="19" t="s">
        <v>732</v>
      </c>
      <c r="C108" s="19"/>
      <c r="D108" s="19" t="s">
        <v>1</v>
      </c>
      <c r="E108" s="19" t="s">
        <v>75</v>
      </c>
      <c r="F108" s="19" t="s">
        <v>8</v>
      </c>
      <c r="G108" s="19" t="s">
        <v>837</v>
      </c>
      <c r="H108" s="539">
        <v>-99</v>
      </c>
      <c r="I108" s="539">
        <v>-99</v>
      </c>
      <c r="J108" s="539">
        <v>-99</v>
      </c>
      <c r="K108" s="539">
        <v>-99</v>
      </c>
      <c r="L108" s="539">
        <v>-99</v>
      </c>
      <c r="M108" s="539">
        <v>-99</v>
      </c>
      <c r="N108" s="539">
        <v>-99</v>
      </c>
      <c r="O108" s="539">
        <v>-99</v>
      </c>
      <c r="P108" s="539">
        <v>-99</v>
      </c>
      <c r="Q108" s="539">
        <v>-99</v>
      </c>
      <c r="R108" s="539">
        <v>-99</v>
      </c>
      <c r="S108" s="539">
        <v>-99</v>
      </c>
      <c r="T108" s="539">
        <v>-99</v>
      </c>
      <c r="U108" s="539">
        <v>-99</v>
      </c>
      <c r="V108" s="539">
        <v>-99</v>
      </c>
      <c r="W108" s="539">
        <v>-99</v>
      </c>
      <c r="X108" s="539">
        <v>-99</v>
      </c>
      <c r="Y108" s="539">
        <v>-99</v>
      </c>
      <c r="Z108" s="539">
        <v>-99</v>
      </c>
      <c r="AA108" s="539">
        <v>-99</v>
      </c>
      <c r="AB108" s="539">
        <v>-99</v>
      </c>
      <c r="AC108" s="539">
        <v>-99</v>
      </c>
      <c r="AD108" s="539">
        <v>-99</v>
      </c>
      <c r="AE108" s="539">
        <v>-99</v>
      </c>
      <c r="AF108" s="539">
        <v>-99</v>
      </c>
      <c r="AG108" s="539">
        <v>-99</v>
      </c>
      <c r="AH108" s="540">
        <v>-99</v>
      </c>
      <c r="AI108" s="539">
        <v>-99</v>
      </c>
      <c r="AJ108" s="540">
        <v>-99</v>
      </c>
      <c r="AK108" s="539">
        <v>-99</v>
      </c>
      <c r="AL108" s="539">
        <v>-99</v>
      </c>
      <c r="AM108" s="540">
        <v>-99</v>
      </c>
      <c r="AN108" s="539">
        <v>-99</v>
      </c>
      <c r="AO108" s="540">
        <v>-99</v>
      </c>
      <c r="AP108" s="541">
        <v>-99</v>
      </c>
      <c r="AQ108" s="539">
        <v>-99</v>
      </c>
      <c r="AR108" s="540">
        <v>-99</v>
      </c>
      <c r="AS108" s="539">
        <v>-99</v>
      </c>
      <c r="AT108" s="540">
        <v>-99</v>
      </c>
      <c r="AU108" s="539">
        <v>-99</v>
      </c>
      <c r="AV108" s="540">
        <v>-99</v>
      </c>
      <c r="AW108" s="540">
        <v>-99</v>
      </c>
      <c r="AX108" s="540">
        <v>-99</v>
      </c>
      <c r="AY108" s="540">
        <v>-99</v>
      </c>
      <c r="AZ108" s="539">
        <v>-99</v>
      </c>
      <c r="BA108" s="539">
        <v>-99</v>
      </c>
      <c r="BB108" s="540">
        <v>-99</v>
      </c>
      <c r="BC108" s="539">
        <v>-99</v>
      </c>
      <c r="BD108" s="540">
        <v>-99</v>
      </c>
      <c r="BE108" s="541">
        <v>-99</v>
      </c>
      <c r="BF108" s="557"/>
      <c r="BG108" s="541"/>
      <c r="BH108" s="557">
        <v>0</v>
      </c>
      <c r="BI108" s="576"/>
      <c r="BJ108" s="576"/>
      <c r="BK108" s="576"/>
      <c r="BL108" s="576"/>
      <c r="BM108" s="639">
        <v>13</v>
      </c>
      <c r="BN108" s="639">
        <v>0</v>
      </c>
      <c r="BO108" s="576"/>
      <c r="BP108" s="576"/>
      <c r="BQ108" s="576"/>
      <c r="BR108" s="570"/>
      <c r="BS108" s="547" t="s">
        <v>188</v>
      </c>
      <c r="BT108" s="549" t="s">
        <v>188</v>
      </c>
      <c r="BU108" s="549" t="s">
        <v>188</v>
      </c>
      <c r="BV108" s="549" t="s">
        <v>188</v>
      </c>
      <c r="BW108" s="549" t="s">
        <v>188</v>
      </c>
      <c r="BX108" s="549" t="s">
        <v>188</v>
      </c>
      <c r="BY108" s="549" t="s">
        <v>188</v>
      </c>
      <c r="BZ108" s="549" t="s">
        <v>188</v>
      </c>
      <c r="CA108" s="549" t="s">
        <v>188</v>
      </c>
      <c r="CB108" s="549" t="s">
        <v>188</v>
      </c>
      <c r="CC108" s="549" t="s">
        <v>188</v>
      </c>
      <c r="CD108" s="662"/>
      <c r="CE108" s="661" t="s">
        <v>188</v>
      </c>
      <c r="CF108" s="662" t="s">
        <v>188</v>
      </c>
      <c r="CG108" s="662" t="s">
        <v>188</v>
      </c>
      <c r="CH108" s="662" t="s">
        <v>188</v>
      </c>
      <c r="CI108" s="662" t="s">
        <v>188</v>
      </c>
      <c r="CJ108" s="662" t="s">
        <v>188</v>
      </c>
      <c r="CK108" s="662" t="s">
        <v>188</v>
      </c>
      <c r="CL108" s="662" t="s">
        <v>188</v>
      </c>
      <c r="CM108" s="662" t="s">
        <v>188</v>
      </c>
      <c r="CN108" s="662" t="s">
        <v>188</v>
      </c>
      <c r="CO108" s="616"/>
      <c r="CP108" s="616"/>
      <c r="CQ108" s="616"/>
      <c r="CR108" s="616"/>
      <c r="CS108" s="616"/>
      <c r="CT108" s="616"/>
      <c r="CU108" s="616"/>
      <c r="CV108" s="616"/>
      <c r="CW108" s="616"/>
      <c r="CX108" s="616"/>
      <c r="CY108" s="616"/>
      <c r="CZ108" s="616"/>
      <c r="DA108" s="616"/>
      <c r="DB108" s="616"/>
      <c r="DC108" s="640"/>
      <c r="DD108" s="640"/>
      <c r="DE108" s="640"/>
      <c r="DF108" s="640"/>
      <c r="DG108" s="640"/>
      <c r="DH108" s="640"/>
      <c r="DI108" s="576"/>
      <c r="DJ108" s="576"/>
      <c r="DK108" s="576"/>
      <c r="DL108" s="576"/>
      <c r="DM108" s="576"/>
      <c r="DN108" s="576"/>
      <c r="DO108" s="576"/>
      <c r="DP108" s="576"/>
      <c r="DQ108" s="576"/>
      <c r="DR108" s="576"/>
      <c r="DS108" s="576"/>
      <c r="DT108" s="576"/>
      <c r="DU108" s="576"/>
      <c r="DV108" s="576"/>
      <c r="DW108" s="576"/>
      <c r="DX108" s="577"/>
      <c r="DY108" s="577"/>
      <c r="DZ108" s="577"/>
      <c r="EA108" s="577"/>
      <c r="EB108" s="577"/>
      <c r="EC108" s="577"/>
      <c r="ED108" s="577"/>
      <c r="EE108" s="577"/>
      <c r="EF108" s="577"/>
      <c r="EG108" s="577"/>
      <c r="EH108" s="8">
        <v>106</v>
      </c>
    </row>
    <row r="109" spans="1:138" x14ac:dyDescent="0.25">
      <c r="A109" s="16">
        <v>105</v>
      </c>
      <c r="B109" s="526" t="s">
        <v>731</v>
      </c>
      <c r="C109" s="526"/>
      <c r="D109" s="19" t="s">
        <v>1</v>
      </c>
      <c r="E109" s="19" t="s">
        <v>75</v>
      </c>
      <c r="F109" s="19" t="s">
        <v>8</v>
      </c>
      <c r="G109" s="19" t="s">
        <v>837</v>
      </c>
      <c r="H109" s="539">
        <v>-99</v>
      </c>
      <c r="I109" s="539">
        <v>0.14215189523905944</v>
      </c>
      <c r="J109" s="539">
        <v>-99</v>
      </c>
      <c r="K109" s="539">
        <v>0.11783335477774069</v>
      </c>
      <c r="L109" s="539">
        <v>-99</v>
      </c>
      <c r="M109" s="539">
        <v>-99</v>
      </c>
      <c r="N109" s="539">
        <v>0.16218801244198255</v>
      </c>
      <c r="O109" s="539">
        <v>-99</v>
      </c>
      <c r="P109" s="539">
        <v>0.13933118562234886</v>
      </c>
      <c r="Q109" s="539">
        <v>-99</v>
      </c>
      <c r="R109" s="539">
        <v>-99</v>
      </c>
      <c r="S109" s="539">
        <v>0.12020256714012773</v>
      </c>
      <c r="T109" s="539">
        <v>-99</v>
      </c>
      <c r="U109" s="539">
        <v>0.10131722456867209</v>
      </c>
      <c r="V109" s="539">
        <v>-99</v>
      </c>
      <c r="W109" s="539">
        <v>-99</v>
      </c>
      <c r="X109" s="539">
        <v>-99</v>
      </c>
      <c r="Y109" s="539">
        <v>-99</v>
      </c>
      <c r="Z109" s="539">
        <v>-99</v>
      </c>
      <c r="AA109" s="539">
        <v>-99</v>
      </c>
      <c r="AB109" s="539">
        <v>-99</v>
      </c>
      <c r="AC109" s="539">
        <v>0.14456345298789114</v>
      </c>
      <c r="AD109" s="539">
        <v>-99</v>
      </c>
      <c r="AE109" s="539">
        <v>9.554156179475673E-2</v>
      </c>
      <c r="AF109" s="539">
        <v>-99</v>
      </c>
      <c r="AG109" s="539">
        <v>-99</v>
      </c>
      <c r="AH109" s="540">
        <v>0.17665676781019246</v>
      </c>
      <c r="AI109" s="539">
        <v>-99</v>
      </c>
      <c r="AJ109" s="540">
        <v>0.13691565333293473</v>
      </c>
      <c r="AK109" s="539">
        <v>-99</v>
      </c>
      <c r="AL109" s="539">
        <v>-99</v>
      </c>
      <c r="AM109" s="540">
        <v>0.20067366236102685</v>
      </c>
      <c r="AN109" s="539">
        <v>-99</v>
      </c>
      <c r="AO109" s="540">
        <v>0.16115039853640883</v>
      </c>
      <c r="AP109" s="541">
        <v>-99</v>
      </c>
      <c r="AQ109" s="539">
        <v>-99</v>
      </c>
      <c r="AR109" s="540">
        <v>0.15214722764023342</v>
      </c>
      <c r="AS109" s="539">
        <v>-99</v>
      </c>
      <c r="AT109" s="540">
        <v>0.11967336563870203</v>
      </c>
      <c r="AU109" s="539">
        <v>-99</v>
      </c>
      <c r="AV109" s="540">
        <v>-99</v>
      </c>
      <c r="AW109" s="540">
        <v>-99</v>
      </c>
      <c r="AX109" s="540">
        <v>-99</v>
      </c>
      <c r="AY109" s="540">
        <v>-99</v>
      </c>
      <c r="AZ109" s="539">
        <v>-99</v>
      </c>
      <c r="BA109" s="539">
        <v>-99</v>
      </c>
      <c r="BB109" s="540">
        <v>0.17347866416177396</v>
      </c>
      <c r="BC109" s="539">
        <v>-99</v>
      </c>
      <c r="BD109" s="540">
        <v>0.1068937428052992</v>
      </c>
      <c r="BE109" s="541">
        <v>-99</v>
      </c>
      <c r="BF109" s="612"/>
      <c r="BG109" s="612"/>
      <c r="BH109" s="612">
        <v>-99</v>
      </c>
      <c r="BI109" s="576"/>
      <c r="BJ109" s="576"/>
      <c r="BK109" s="576"/>
      <c r="BL109" s="576"/>
      <c r="BM109" s="545">
        <v>-99</v>
      </c>
      <c r="BN109" s="545">
        <v>-99</v>
      </c>
      <c r="BO109" s="576"/>
      <c r="BP109" s="576"/>
      <c r="BQ109" s="576"/>
      <c r="BR109" s="570"/>
      <c r="BS109" s="547" t="s">
        <v>188</v>
      </c>
      <c r="BT109" s="549" t="s">
        <v>188</v>
      </c>
      <c r="BU109" s="549" t="s">
        <v>188</v>
      </c>
      <c r="BV109" s="549" t="s">
        <v>188</v>
      </c>
      <c r="BW109" s="549" t="s">
        <v>188</v>
      </c>
      <c r="BX109" s="549" t="s">
        <v>188</v>
      </c>
      <c r="BY109" s="549" t="s">
        <v>188</v>
      </c>
      <c r="BZ109" s="549" t="s">
        <v>188</v>
      </c>
      <c r="CA109" s="549" t="s">
        <v>188</v>
      </c>
      <c r="CB109" s="549" t="s">
        <v>188</v>
      </c>
      <c r="CC109" s="549" t="s">
        <v>188</v>
      </c>
      <c r="CD109" s="662"/>
      <c r="CE109" s="661" t="s">
        <v>188</v>
      </c>
      <c r="CF109" s="662" t="s">
        <v>188</v>
      </c>
      <c r="CG109" s="662" t="s">
        <v>188</v>
      </c>
      <c r="CH109" s="662" t="s">
        <v>188</v>
      </c>
      <c r="CI109" s="662" t="s">
        <v>188</v>
      </c>
      <c r="CJ109" s="662" t="s">
        <v>188</v>
      </c>
      <c r="CK109" s="662" t="s">
        <v>188</v>
      </c>
      <c r="CL109" s="662" t="s">
        <v>188</v>
      </c>
      <c r="CM109" s="662" t="s">
        <v>188</v>
      </c>
      <c r="CN109" s="662" t="s">
        <v>188</v>
      </c>
      <c r="CO109" s="616"/>
      <c r="CP109" s="616"/>
      <c r="CQ109" s="616"/>
      <c r="CR109" s="616"/>
      <c r="CS109" s="616"/>
      <c r="CT109" s="616"/>
      <c r="CU109" s="616"/>
      <c r="CV109" s="616"/>
      <c r="CW109" s="616"/>
      <c r="CX109" s="616"/>
      <c r="CY109" s="616"/>
      <c r="CZ109" s="616"/>
      <c r="DA109" s="616"/>
      <c r="DB109" s="616"/>
      <c r="DC109" s="640"/>
      <c r="DD109" s="640"/>
      <c r="DE109" s="640"/>
      <c r="DF109" s="640"/>
      <c r="DG109" s="640"/>
      <c r="DH109" s="640"/>
      <c r="DI109" s="576"/>
      <c r="DJ109" s="576"/>
      <c r="DK109" s="576"/>
      <c r="DL109" s="576"/>
      <c r="DM109" s="576"/>
      <c r="DN109" s="576"/>
      <c r="DO109" s="576"/>
      <c r="DP109" s="576"/>
      <c r="DQ109" s="576"/>
      <c r="DR109" s="576"/>
      <c r="DS109" s="576"/>
      <c r="DT109" s="576"/>
      <c r="DU109" s="576"/>
      <c r="DV109" s="576"/>
      <c r="DW109" s="576"/>
      <c r="DX109" s="577"/>
      <c r="DY109" s="577"/>
      <c r="DZ109" s="577"/>
      <c r="EA109" s="577"/>
      <c r="EB109" s="577"/>
      <c r="EC109" s="577"/>
      <c r="ED109" s="577"/>
      <c r="EE109" s="577"/>
      <c r="EF109" s="577"/>
      <c r="EG109" s="577"/>
      <c r="EH109" s="8">
        <v>102</v>
      </c>
    </row>
    <row r="110" spans="1:138" x14ac:dyDescent="0.25">
      <c r="A110" s="16">
        <v>106</v>
      </c>
      <c r="B110" s="19" t="s">
        <v>730</v>
      </c>
      <c r="C110" s="19"/>
      <c r="D110" s="19" t="s">
        <v>1</v>
      </c>
      <c r="E110" s="19" t="s">
        <v>75</v>
      </c>
      <c r="F110" s="19" t="s">
        <v>8</v>
      </c>
      <c r="G110" s="19" t="s">
        <v>837</v>
      </c>
      <c r="H110" s="539">
        <v>-99</v>
      </c>
      <c r="I110" s="539">
        <v>-99</v>
      </c>
      <c r="J110" s="539">
        <v>-99</v>
      </c>
      <c r="K110" s="539">
        <v>-99</v>
      </c>
      <c r="L110" s="539">
        <v>-99</v>
      </c>
      <c r="M110" s="539">
        <v>-99</v>
      </c>
      <c r="N110" s="539">
        <v>-99</v>
      </c>
      <c r="O110" s="539">
        <v>-99</v>
      </c>
      <c r="P110" s="539">
        <v>-99</v>
      </c>
      <c r="Q110" s="539">
        <v>-99</v>
      </c>
      <c r="R110" s="539">
        <v>-99</v>
      </c>
      <c r="S110" s="539">
        <v>-99</v>
      </c>
      <c r="T110" s="539">
        <v>-99</v>
      </c>
      <c r="U110" s="539">
        <v>-99</v>
      </c>
      <c r="V110" s="539">
        <v>-99</v>
      </c>
      <c r="W110" s="539">
        <v>-99</v>
      </c>
      <c r="X110" s="539">
        <v>-99</v>
      </c>
      <c r="Y110" s="539">
        <v>-99</v>
      </c>
      <c r="Z110" s="539">
        <v>-99</v>
      </c>
      <c r="AA110" s="539">
        <v>-99</v>
      </c>
      <c r="AB110" s="539">
        <v>-99</v>
      </c>
      <c r="AC110" s="539">
        <v>-99</v>
      </c>
      <c r="AD110" s="539">
        <v>-99</v>
      </c>
      <c r="AE110" s="539">
        <v>-99</v>
      </c>
      <c r="AF110" s="539">
        <v>-99</v>
      </c>
      <c r="AG110" s="539">
        <v>-99</v>
      </c>
      <c r="AH110" s="540">
        <v>-99</v>
      </c>
      <c r="AI110" s="539">
        <v>-99</v>
      </c>
      <c r="AJ110" s="540">
        <v>-99</v>
      </c>
      <c r="AK110" s="539">
        <v>-99</v>
      </c>
      <c r="AL110" s="539">
        <v>-99</v>
      </c>
      <c r="AM110" s="540">
        <v>-99</v>
      </c>
      <c r="AN110" s="539">
        <v>-99</v>
      </c>
      <c r="AO110" s="540">
        <v>-99</v>
      </c>
      <c r="AP110" s="541">
        <v>-99</v>
      </c>
      <c r="AQ110" s="539">
        <v>-99</v>
      </c>
      <c r="AR110" s="540">
        <v>-99</v>
      </c>
      <c r="AS110" s="539">
        <v>-99</v>
      </c>
      <c r="AT110" s="540">
        <v>-99</v>
      </c>
      <c r="AU110" s="539">
        <v>-99</v>
      </c>
      <c r="AV110" s="540">
        <v>-99</v>
      </c>
      <c r="AW110" s="540">
        <v>-99</v>
      </c>
      <c r="AX110" s="540">
        <v>-99</v>
      </c>
      <c r="AY110" s="540">
        <v>-99</v>
      </c>
      <c r="AZ110" s="539">
        <v>-99</v>
      </c>
      <c r="BA110" s="539">
        <v>-99</v>
      </c>
      <c r="BB110" s="540">
        <v>-99</v>
      </c>
      <c r="BC110" s="539">
        <v>-99</v>
      </c>
      <c r="BD110" s="540">
        <v>-99</v>
      </c>
      <c r="BE110" s="541">
        <v>-99</v>
      </c>
      <c r="BF110" s="612"/>
      <c r="BG110" s="612"/>
      <c r="BH110" s="612">
        <v>-99</v>
      </c>
      <c r="BI110" s="576"/>
      <c r="BJ110" s="576"/>
      <c r="BK110" s="576"/>
      <c r="BL110" s="576"/>
      <c r="BM110" s="545">
        <v>-99</v>
      </c>
      <c r="BN110" s="545">
        <v>-99</v>
      </c>
      <c r="BO110" s="576"/>
      <c r="BP110" s="576"/>
      <c r="BQ110" s="576"/>
      <c r="BR110" s="570"/>
      <c r="BS110" s="547" t="s">
        <v>188</v>
      </c>
      <c r="BT110" s="549" t="s">
        <v>188</v>
      </c>
      <c r="BU110" s="549" t="s">
        <v>188</v>
      </c>
      <c r="BV110" s="549" t="s">
        <v>188</v>
      </c>
      <c r="BW110" s="549" t="s">
        <v>188</v>
      </c>
      <c r="BX110" s="549" t="s">
        <v>188</v>
      </c>
      <c r="BY110" s="549" t="s">
        <v>188</v>
      </c>
      <c r="BZ110" s="549" t="s">
        <v>188</v>
      </c>
      <c r="CA110" s="549" t="s">
        <v>188</v>
      </c>
      <c r="CB110" s="549" t="s">
        <v>188</v>
      </c>
      <c r="CC110" s="549" t="s">
        <v>188</v>
      </c>
      <c r="CD110" s="662"/>
      <c r="CE110" s="661" t="s">
        <v>188</v>
      </c>
      <c r="CF110" s="662" t="s">
        <v>188</v>
      </c>
      <c r="CG110" s="662" t="s">
        <v>188</v>
      </c>
      <c r="CH110" s="662" t="s">
        <v>188</v>
      </c>
      <c r="CI110" s="662" t="s">
        <v>188</v>
      </c>
      <c r="CJ110" s="662" t="s">
        <v>188</v>
      </c>
      <c r="CK110" s="662" t="s">
        <v>188</v>
      </c>
      <c r="CL110" s="662" t="s">
        <v>188</v>
      </c>
      <c r="CM110" s="662" t="s">
        <v>188</v>
      </c>
      <c r="CN110" s="662" t="s">
        <v>188</v>
      </c>
      <c r="CO110" s="616"/>
      <c r="CP110" s="616"/>
      <c r="CQ110" s="616"/>
      <c r="CR110" s="616"/>
      <c r="CS110" s="616"/>
      <c r="CT110" s="616"/>
      <c r="CU110" s="616"/>
      <c r="CV110" s="616"/>
      <c r="CW110" s="616"/>
      <c r="CX110" s="616"/>
      <c r="CY110" s="616"/>
      <c r="CZ110" s="616"/>
      <c r="DA110" s="616"/>
      <c r="DB110" s="616"/>
      <c r="DC110" s="640"/>
      <c r="DD110" s="640"/>
      <c r="DE110" s="640"/>
      <c r="DF110" s="640"/>
      <c r="DG110" s="640"/>
      <c r="DH110" s="640"/>
      <c r="DI110" s="576"/>
      <c r="DJ110" s="576"/>
      <c r="DK110" s="576"/>
      <c r="DL110" s="576"/>
      <c r="DM110" s="576"/>
      <c r="DN110" s="576"/>
      <c r="DO110" s="576"/>
      <c r="DP110" s="576"/>
      <c r="DQ110" s="576"/>
      <c r="DR110" s="576"/>
      <c r="DS110" s="576"/>
      <c r="DT110" s="576"/>
      <c r="DU110" s="576"/>
      <c r="DV110" s="576"/>
      <c r="DW110" s="576"/>
      <c r="DX110" s="577"/>
      <c r="DY110" s="577"/>
      <c r="DZ110" s="577"/>
      <c r="EA110" s="577"/>
      <c r="EB110" s="577"/>
      <c r="EC110" s="577"/>
      <c r="ED110" s="577"/>
      <c r="EE110" s="577"/>
      <c r="EF110" s="577"/>
      <c r="EG110" s="577"/>
      <c r="EH110" s="8">
        <v>100</v>
      </c>
    </row>
    <row r="111" spans="1:138" x14ac:dyDescent="0.25">
      <c r="A111" s="16">
        <v>107</v>
      </c>
      <c r="B111" s="19" t="s">
        <v>406</v>
      </c>
      <c r="C111" s="19"/>
      <c r="D111" s="19" t="s">
        <v>1</v>
      </c>
      <c r="E111" s="19" t="s">
        <v>75</v>
      </c>
      <c r="F111" s="19"/>
      <c r="G111" s="19" t="s">
        <v>6</v>
      </c>
      <c r="H111" s="539">
        <v>-99</v>
      </c>
      <c r="I111" s="539">
        <v>-99</v>
      </c>
      <c r="J111" s="539">
        <v>-99</v>
      </c>
      <c r="K111" s="539">
        <v>-99</v>
      </c>
      <c r="L111" s="539">
        <v>-99</v>
      </c>
      <c r="M111" s="539">
        <v>-99</v>
      </c>
      <c r="N111" s="539">
        <v>-99</v>
      </c>
      <c r="O111" s="539">
        <v>-99</v>
      </c>
      <c r="P111" s="539">
        <v>-99</v>
      </c>
      <c r="Q111" s="539">
        <v>-99</v>
      </c>
      <c r="R111" s="539">
        <v>-99</v>
      </c>
      <c r="S111" s="539">
        <v>-99</v>
      </c>
      <c r="T111" s="539">
        <v>-99</v>
      </c>
      <c r="U111" s="539">
        <v>-99</v>
      </c>
      <c r="V111" s="539">
        <v>-99</v>
      </c>
      <c r="W111" s="539">
        <v>-99</v>
      </c>
      <c r="X111" s="539">
        <v>-99</v>
      </c>
      <c r="Y111" s="539">
        <v>-99</v>
      </c>
      <c r="Z111" s="539">
        <v>-99</v>
      </c>
      <c r="AA111" s="539">
        <v>-99</v>
      </c>
      <c r="AB111" s="539">
        <v>-99</v>
      </c>
      <c r="AC111" s="539">
        <v>-99</v>
      </c>
      <c r="AD111" s="539">
        <v>-99</v>
      </c>
      <c r="AE111" s="539">
        <v>-99</v>
      </c>
      <c r="AF111" s="539">
        <v>-99</v>
      </c>
      <c r="AG111" s="539">
        <v>-99</v>
      </c>
      <c r="AH111" s="540">
        <v>-99</v>
      </c>
      <c r="AI111" s="539">
        <v>-99</v>
      </c>
      <c r="AJ111" s="540">
        <v>-99</v>
      </c>
      <c r="AK111" s="539">
        <v>-99</v>
      </c>
      <c r="AL111" s="539">
        <v>-99</v>
      </c>
      <c r="AM111" s="540">
        <v>-99</v>
      </c>
      <c r="AN111" s="539">
        <v>-99</v>
      </c>
      <c r="AO111" s="540">
        <v>-99</v>
      </c>
      <c r="AP111" s="541">
        <v>-99</v>
      </c>
      <c r="AQ111" s="539">
        <v>-99</v>
      </c>
      <c r="AR111" s="540">
        <v>-99</v>
      </c>
      <c r="AS111" s="539">
        <v>-99</v>
      </c>
      <c r="AT111" s="540">
        <v>-99</v>
      </c>
      <c r="AU111" s="539">
        <v>-99</v>
      </c>
      <c r="AV111" s="540">
        <v>-99</v>
      </c>
      <c r="AW111" s="540">
        <v>-99</v>
      </c>
      <c r="AX111" s="540">
        <v>-99</v>
      </c>
      <c r="AY111" s="540">
        <v>-99</v>
      </c>
      <c r="AZ111" s="539">
        <v>-99</v>
      </c>
      <c r="BA111" s="539">
        <v>-99</v>
      </c>
      <c r="BB111" s="540">
        <v>-99</v>
      </c>
      <c r="BC111" s="539">
        <v>-99</v>
      </c>
      <c r="BD111" s="540">
        <v>-99</v>
      </c>
      <c r="BE111" s="541">
        <v>-99</v>
      </c>
      <c r="BF111" s="614"/>
      <c r="BG111" s="612"/>
      <c r="BH111" s="614">
        <v>-99</v>
      </c>
      <c r="BI111" s="607"/>
      <c r="BJ111" s="607"/>
      <c r="BK111" s="607"/>
      <c r="BL111" s="607"/>
      <c r="BM111" s="639">
        <v>-99</v>
      </c>
      <c r="BN111" s="545">
        <v>-99</v>
      </c>
      <c r="BO111" s="607"/>
      <c r="BP111" s="607"/>
      <c r="BQ111" s="607"/>
      <c r="BR111" s="638"/>
      <c r="BS111" s="547" t="s">
        <v>188</v>
      </c>
      <c r="BT111" s="549" t="s">
        <v>188</v>
      </c>
      <c r="BU111" s="549" t="s">
        <v>188</v>
      </c>
      <c r="BV111" s="549" t="s">
        <v>188</v>
      </c>
      <c r="BW111" s="549" t="s">
        <v>188</v>
      </c>
      <c r="BX111" s="549" t="s">
        <v>188</v>
      </c>
      <c r="BY111" s="549" t="s">
        <v>188</v>
      </c>
      <c r="BZ111" s="549" t="s">
        <v>188</v>
      </c>
      <c r="CA111" s="549" t="s">
        <v>188</v>
      </c>
      <c r="CB111" s="549" t="s">
        <v>188</v>
      </c>
      <c r="CC111" s="549" t="s">
        <v>188</v>
      </c>
      <c r="CD111" s="662"/>
      <c r="CE111" s="661" t="s">
        <v>188</v>
      </c>
      <c r="CF111" s="662" t="s">
        <v>188</v>
      </c>
      <c r="CG111" s="662" t="s">
        <v>188</v>
      </c>
      <c r="CH111" s="662" t="s">
        <v>188</v>
      </c>
      <c r="CI111" s="662" t="s">
        <v>188</v>
      </c>
      <c r="CJ111" s="662" t="s">
        <v>188</v>
      </c>
      <c r="CK111" s="662" t="s">
        <v>188</v>
      </c>
      <c r="CL111" s="662" t="s">
        <v>188</v>
      </c>
      <c r="CM111" s="662" t="s">
        <v>188</v>
      </c>
      <c r="CN111" s="662" t="s">
        <v>188</v>
      </c>
      <c r="CO111" s="638"/>
      <c r="CP111" s="638"/>
      <c r="CQ111" s="638"/>
      <c r="CR111" s="638"/>
      <c r="CS111" s="638"/>
      <c r="CT111" s="638"/>
      <c r="CU111" s="638"/>
      <c r="CV111" s="638"/>
      <c r="CW111" s="638"/>
      <c r="CX111" s="638"/>
      <c r="CY111" s="638"/>
      <c r="CZ111" s="638"/>
      <c r="DA111" s="638"/>
      <c r="DB111" s="638"/>
      <c r="DC111" s="638"/>
      <c r="DD111" s="638"/>
      <c r="DE111" s="638"/>
      <c r="DF111" s="638"/>
      <c r="DG111" s="638"/>
      <c r="DH111" s="638"/>
      <c r="DI111" s="607"/>
      <c r="DJ111" s="607"/>
      <c r="DK111" s="607"/>
      <c r="DL111" s="607"/>
      <c r="DM111" s="607"/>
      <c r="DN111" s="607"/>
      <c r="DO111" s="607"/>
      <c r="DP111" s="607"/>
      <c r="DQ111" s="607"/>
      <c r="DR111" s="607"/>
      <c r="DS111" s="607"/>
      <c r="DT111" s="607"/>
      <c r="DU111" s="607"/>
      <c r="DV111" s="607"/>
      <c r="DW111" s="607"/>
      <c r="DX111" s="577"/>
      <c r="DY111" s="577"/>
      <c r="DZ111" s="577"/>
      <c r="EA111" s="577"/>
      <c r="EB111" s="577"/>
      <c r="EC111" s="577"/>
      <c r="ED111" s="577"/>
      <c r="EE111" s="577"/>
      <c r="EF111" s="577"/>
      <c r="EG111" s="577"/>
      <c r="EH111" s="8">
        <v>57</v>
      </c>
    </row>
    <row r="112" spans="1:138" x14ac:dyDescent="0.25">
      <c r="A112" s="16">
        <v>108</v>
      </c>
      <c r="B112" s="19" t="s">
        <v>748</v>
      </c>
      <c r="C112" s="19" t="s">
        <v>128</v>
      </c>
      <c r="D112" s="19" t="s">
        <v>1</v>
      </c>
      <c r="E112" s="19" t="s">
        <v>75</v>
      </c>
      <c r="F112" s="19" t="s">
        <v>8</v>
      </c>
      <c r="G112" s="19" t="s">
        <v>837</v>
      </c>
      <c r="H112" s="539">
        <v>-99</v>
      </c>
      <c r="I112" s="539">
        <v>-99</v>
      </c>
      <c r="J112" s="539">
        <v>-99</v>
      </c>
      <c r="K112" s="539">
        <v>-99</v>
      </c>
      <c r="L112" s="539">
        <v>-99</v>
      </c>
      <c r="M112" s="539">
        <v>-99</v>
      </c>
      <c r="N112" s="539">
        <v>-99</v>
      </c>
      <c r="O112" s="539">
        <v>-99</v>
      </c>
      <c r="P112" s="539">
        <v>-99</v>
      </c>
      <c r="Q112" s="539">
        <v>-99</v>
      </c>
      <c r="R112" s="539">
        <v>-99</v>
      </c>
      <c r="S112" s="539">
        <v>-99</v>
      </c>
      <c r="T112" s="539">
        <v>-99</v>
      </c>
      <c r="U112" s="539">
        <v>-99</v>
      </c>
      <c r="V112" s="539">
        <v>-99</v>
      </c>
      <c r="W112" s="539">
        <v>-99</v>
      </c>
      <c r="X112" s="539">
        <v>-99</v>
      </c>
      <c r="Y112" s="539">
        <v>-99</v>
      </c>
      <c r="Z112" s="539">
        <v>-99</v>
      </c>
      <c r="AA112" s="539">
        <v>-99</v>
      </c>
      <c r="AB112" s="539">
        <v>-99</v>
      </c>
      <c r="AC112" s="539">
        <v>-99</v>
      </c>
      <c r="AD112" s="539">
        <v>-99</v>
      </c>
      <c r="AE112" s="539">
        <v>-99</v>
      </c>
      <c r="AF112" s="539">
        <v>-99</v>
      </c>
      <c r="AG112" s="539">
        <v>-99</v>
      </c>
      <c r="AH112" s="540">
        <v>-99</v>
      </c>
      <c r="AI112" s="539">
        <v>-99</v>
      </c>
      <c r="AJ112" s="540">
        <v>-99</v>
      </c>
      <c r="AK112" s="539">
        <v>-99</v>
      </c>
      <c r="AL112" s="539">
        <v>-99</v>
      </c>
      <c r="AM112" s="540">
        <v>-99</v>
      </c>
      <c r="AN112" s="539">
        <v>-99</v>
      </c>
      <c r="AO112" s="540">
        <v>-99</v>
      </c>
      <c r="AP112" s="541">
        <v>-99</v>
      </c>
      <c r="AQ112" s="539">
        <v>-99</v>
      </c>
      <c r="AR112" s="540">
        <v>-99</v>
      </c>
      <c r="AS112" s="539">
        <v>-99</v>
      </c>
      <c r="AT112" s="540">
        <v>-99</v>
      </c>
      <c r="AU112" s="539">
        <v>-99</v>
      </c>
      <c r="AV112" s="540">
        <v>-99</v>
      </c>
      <c r="AW112" s="540">
        <v>-99</v>
      </c>
      <c r="AX112" s="540">
        <v>-99</v>
      </c>
      <c r="AY112" s="540">
        <v>-99</v>
      </c>
      <c r="AZ112" s="539">
        <v>-99</v>
      </c>
      <c r="BA112" s="539">
        <v>-99</v>
      </c>
      <c r="BB112" s="540">
        <v>-99</v>
      </c>
      <c r="BC112" s="539">
        <v>-99</v>
      </c>
      <c r="BD112" s="540">
        <v>-99</v>
      </c>
      <c r="BE112" s="541">
        <v>-99</v>
      </c>
      <c r="BF112" s="612"/>
      <c r="BG112" s="612"/>
      <c r="BH112" s="612">
        <v>-99</v>
      </c>
      <c r="BI112" s="576"/>
      <c r="BJ112" s="576"/>
      <c r="BK112" s="576"/>
      <c r="BL112" s="576"/>
      <c r="BM112" s="545">
        <v>-99</v>
      </c>
      <c r="BN112" s="545">
        <v>-99</v>
      </c>
      <c r="BO112" s="576"/>
      <c r="BP112" s="576"/>
      <c r="BQ112" s="576"/>
      <c r="BR112" s="570"/>
      <c r="BS112" s="547" t="s">
        <v>188</v>
      </c>
      <c r="BT112" s="549" t="s">
        <v>188</v>
      </c>
      <c r="BU112" s="549" t="s">
        <v>188</v>
      </c>
      <c r="BV112" s="549" t="s">
        <v>188</v>
      </c>
      <c r="BW112" s="549" t="s">
        <v>188</v>
      </c>
      <c r="BX112" s="549" t="s">
        <v>188</v>
      </c>
      <c r="BY112" s="549" t="s">
        <v>188</v>
      </c>
      <c r="BZ112" s="549" t="s">
        <v>188</v>
      </c>
      <c r="CA112" s="549" t="s">
        <v>188</v>
      </c>
      <c r="CB112" s="549" t="s">
        <v>188</v>
      </c>
      <c r="CC112" s="549" t="s">
        <v>188</v>
      </c>
      <c r="CD112" s="662"/>
      <c r="CE112" s="661" t="s">
        <v>188</v>
      </c>
      <c r="CF112" s="662" t="s">
        <v>188</v>
      </c>
      <c r="CG112" s="662" t="s">
        <v>188</v>
      </c>
      <c r="CH112" s="662" t="s">
        <v>188</v>
      </c>
      <c r="CI112" s="662" t="s">
        <v>188</v>
      </c>
      <c r="CJ112" s="662" t="s">
        <v>188</v>
      </c>
      <c r="CK112" s="662" t="s">
        <v>188</v>
      </c>
      <c r="CL112" s="662" t="s">
        <v>188</v>
      </c>
      <c r="CM112" s="662" t="s">
        <v>188</v>
      </c>
      <c r="CN112" s="662" t="s">
        <v>188</v>
      </c>
      <c r="CO112" s="616"/>
      <c r="CP112" s="616"/>
      <c r="CQ112" s="616"/>
      <c r="CR112" s="616"/>
      <c r="CS112" s="616"/>
      <c r="CT112" s="616"/>
      <c r="CU112" s="616"/>
      <c r="CV112" s="616"/>
      <c r="CW112" s="616"/>
      <c r="CX112" s="616"/>
      <c r="CY112" s="616"/>
      <c r="CZ112" s="616"/>
      <c r="DA112" s="616"/>
      <c r="DB112" s="616"/>
      <c r="DC112" s="640"/>
      <c r="DD112" s="640"/>
      <c r="DE112" s="640"/>
      <c r="DF112" s="640"/>
      <c r="DG112" s="640"/>
      <c r="DH112" s="640"/>
      <c r="DI112" s="576"/>
      <c r="DJ112" s="576"/>
      <c r="DK112" s="576"/>
      <c r="DL112" s="576"/>
      <c r="DM112" s="576"/>
      <c r="DN112" s="576"/>
      <c r="DO112" s="576"/>
      <c r="DP112" s="576"/>
      <c r="DQ112" s="576"/>
      <c r="DR112" s="576"/>
      <c r="DS112" s="576"/>
      <c r="DT112" s="576"/>
      <c r="DU112" s="576"/>
      <c r="DV112" s="576"/>
      <c r="DW112" s="576"/>
      <c r="DX112" s="577"/>
      <c r="DY112" s="577"/>
      <c r="DZ112" s="577"/>
      <c r="EA112" s="577"/>
      <c r="EB112" s="577"/>
      <c r="EC112" s="577"/>
      <c r="ED112" s="577"/>
      <c r="EE112" s="577"/>
      <c r="EF112" s="577"/>
      <c r="EG112" s="577"/>
      <c r="EH112" s="8">
        <v>42</v>
      </c>
    </row>
    <row r="113" spans="1:139" x14ac:dyDescent="0.25">
      <c r="A113" s="16">
        <v>109</v>
      </c>
      <c r="B113" s="19" t="s">
        <v>38</v>
      </c>
      <c r="C113" s="19"/>
      <c r="D113" s="19" t="s">
        <v>1</v>
      </c>
      <c r="E113" s="19" t="s">
        <v>75</v>
      </c>
      <c r="F113" s="19" t="s">
        <v>8</v>
      </c>
      <c r="G113" s="19" t="s">
        <v>837</v>
      </c>
      <c r="H113" s="539">
        <v>-99</v>
      </c>
      <c r="I113" s="539">
        <v>-99</v>
      </c>
      <c r="J113" s="539">
        <v>-99</v>
      </c>
      <c r="K113" s="539">
        <v>-99</v>
      </c>
      <c r="L113" s="539">
        <v>-99</v>
      </c>
      <c r="M113" s="539">
        <v>-99</v>
      </c>
      <c r="N113" s="539">
        <v>-99</v>
      </c>
      <c r="O113" s="539">
        <v>-99</v>
      </c>
      <c r="P113" s="539">
        <v>-99</v>
      </c>
      <c r="Q113" s="539">
        <v>-99</v>
      </c>
      <c r="R113" s="539">
        <v>-99</v>
      </c>
      <c r="S113" s="539">
        <v>-99</v>
      </c>
      <c r="T113" s="539">
        <v>-99</v>
      </c>
      <c r="U113" s="539">
        <v>-99</v>
      </c>
      <c r="V113" s="539">
        <v>-99</v>
      </c>
      <c r="W113" s="539">
        <v>-99</v>
      </c>
      <c r="X113" s="539">
        <v>-99</v>
      </c>
      <c r="Y113" s="539">
        <v>-99</v>
      </c>
      <c r="Z113" s="539">
        <v>-99</v>
      </c>
      <c r="AA113" s="539">
        <v>-99</v>
      </c>
      <c r="AB113" s="539">
        <v>-99</v>
      </c>
      <c r="AC113" s="539">
        <v>-99</v>
      </c>
      <c r="AD113" s="539">
        <v>-99</v>
      </c>
      <c r="AE113" s="539">
        <v>-99</v>
      </c>
      <c r="AF113" s="539">
        <v>-99</v>
      </c>
      <c r="AG113" s="539">
        <v>-99</v>
      </c>
      <c r="AH113" s="540">
        <v>-99</v>
      </c>
      <c r="AI113" s="539">
        <v>-99</v>
      </c>
      <c r="AJ113" s="540">
        <v>-99</v>
      </c>
      <c r="AK113" s="539">
        <v>-99</v>
      </c>
      <c r="AL113" s="539">
        <v>-99</v>
      </c>
      <c r="AM113" s="540">
        <v>-99</v>
      </c>
      <c r="AN113" s="539">
        <v>-99</v>
      </c>
      <c r="AO113" s="540">
        <v>-99</v>
      </c>
      <c r="AP113" s="541">
        <v>-99</v>
      </c>
      <c r="AQ113" s="539">
        <v>-99</v>
      </c>
      <c r="AR113" s="540">
        <v>-99</v>
      </c>
      <c r="AS113" s="539">
        <v>-99</v>
      </c>
      <c r="AT113" s="540">
        <v>-99</v>
      </c>
      <c r="AU113" s="539">
        <v>-99</v>
      </c>
      <c r="AV113" s="540">
        <v>-99</v>
      </c>
      <c r="AW113" s="540">
        <v>-99</v>
      </c>
      <c r="AX113" s="540">
        <v>-99</v>
      </c>
      <c r="AY113" s="540">
        <v>-99</v>
      </c>
      <c r="AZ113" s="539">
        <v>-99</v>
      </c>
      <c r="BA113" s="539">
        <v>-99</v>
      </c>
      <c r="BB113" s="540">
        <v>-99</v>
      </c>
      <c r="BC113" s="539">
        <v>-99</v>
      </c>
      <c r="BD113" s="540">
        <v>-99</v>
      </c>
      <c r="BE113" s="541">
        <v>-99</v>
      </c>
      <c r="BF113" s="612"/>
      <c r="BG113" s="612"/>
      <c r="BH113" s="612">
        <v>-99</v>
      </c>
      <c r="BI113" s="576"/>
      <c r="BJ113" s="576"/>
      <c r="BK113" s="576"/>
      <c r="BL113" s="576"/>
      <c r="BM113" s="545">
        <v>-99</v>
      </c>
      <c r="BN113" s="545">
        <v>-99</v>
      </c>
      <c r="BO113" s="576"/>
      <c r="BP113" s="576"/>
      <c r="BQ113" s="576"/>
      <c r="BR113" s="570"/>
      <c r="BS113" s="547" t="s">
        <v>188</v>
      </c>
      <c r="BT113" s="549" t="s">
        <v>188</v>
      </c>
      <c r="BU113" s="549" t="s">
        <v>188</v>
      </c>
      <c r="BV113" s="549" t="s">
        <v>188</v>
      </c>
      <c r="BW113" s="549" t="s">
        <v>188</v>
      </c>
      <c r="BX113" s="549" t="s">
        <v>188</v>
      </c>
      <c r="BY113" s="549" t="s">
        <v>188</v>
      </c>
      <c r="BZ113" s="549" t="s">
        <v>188</v>
      </c>
      <c r="CA113" s="549" t="s">
        <v>188</v>
      </c>
      <c r="CB113" s="549" t="s">
        <v>188</v>
      </c>
      <c r="CC113" s="549" t="s">
        <v>188</v>
      </c>
      <c r="CD113" s="662"/>
      <c r="CE113" s="661" t="s">
        <v>188</v>
      </c>
      <c r="CF113" s="662" t="s">
        <v>188</v>
      </c>
      <c r="CG113" s="662" t="s">
        <v>188</v>
      </c>
      <c r="CH113" s="662" t="s">
        <v>188</v>
      </c>
      <c r="CI113" s="662" t="s">
        <v>188</v>
      </c>
      <c r="CJ113" s="662" t="s">
        <v>188</v>
      </c>
      <c r="CK113" s="662" t="s">
        <v>188</v>
      </c>
      <c r="CL113" s="662" t="s">
        <v>188</v>
      </c>
      <c r="CM113" s="662" t="s">
        <v>188</v>
      </c>
      <c r="CN113" s="662" t="s">
        <v>188</v>
      </c>
      <c r="CO113" s="616"/>
      <c r="CP113" s="616"/>
      <c r="CQ113" s="616"/>
      <c r="CR113" s="616"/>
      <c r="CS113" s="616"/>
      <c r="CT113" s="616"/>
      <c r="CU113" s="616"/>
      <c r="CV113" s="616"/>
      <c r="CW113" s="616"/>
      <c r="CX113" s="616"/>
      <c r="CY113" s="616"/>
      <c r="CZ113" s="616"/>
      <c r="DA113" s="616"/>
      <c r="DB113" s="616"/>
      <c r="DC113" s="640"/>
      <c r="DD113" s="640"/>
      <c r="DE113" s="640"/>
      <c r="DF113" s="640"/>
      <c r="DG113" s="640"/>
      <c r="DH113" s="640"/>
      <c r="DI113" s="576"/>
      <c r="DJ113" s="576"/>
      <c r="DK113" s="576"/>
      <c r="DL113" s="576"/>
      <c r="DM113" s="576"/>
      <c r="DN113" s="576"/>
      <c r="DO113" s="576"/>
      <c r="DP113" s="576"/>
      <c r="DQ113" s="576"/>
      <c r="DR113" s="576"/>
      <c r="DS113" s="576"/>
      <c r="DT113" s="576"/>
      <c r="DU113" s="576"/>
      <c r="DV113" s="576"/>
      <c r="DW113" s="576"/>
      <c r="DX113" s="577"/>
      <c r="DY113" s="577"/>
      <c r="DZ113" s="577"/>
      <c r="EA113" s="577"/>
      <c r="EB113" s="577"/>
      <c r="EC113" s="577"/>
      <c r="ED113" s="577"/>
      <c r="EE113" s="577"/>
      <c r="EF113" s="577"/>
      <c r="EG113" s="577"/>
      <c r="EH113" s="8">
        <v>41</v>
      </c>
    </row>
    <row r="114" spans="1:139" x14ac:dyDescent="0.25">
      <c r="A114" s="16">
        <v>110</v>
      </c>
      <c r="B114" s="19" t="s">
        <v>39</v>
      </c>
      <c r="C114" s="19"/>
      <c r="D114" s="19" t="s">
        <v>1</v>
      </c>
      <c r="E114" s="19" t="s">
        <v>75</v>
      </c>
      <c r="F114" s="19" t="s">
        <v>8</v>
      </c>
      <c r="G114" s="19" t="s">
        <v>837</v>
      </c>
      <c r="H114" s="539">
        <v>-99</v>
      </c>
      <c r="I114" s="539">
        <v>7.8222873142073206E-3</v>
      </c>
      <c r="J114" s="539">
        <v>-99</v>
      </c>
      <c r="K114" s="539">
        <v>8.358238643330072E-3</v>
      </c>
      <c r="L114" s="539">
        <v>-99</v>
      </c>
      <c r="M114" s="539">
        <v>-99</v>
      </c>
      <c r="N114" s="539">
        <v>7.9530172372221618E-3</v>
      </c>
      <c r="O114" s="539">
        <v>-99</v>
      </c>
      <c r="P114" s="539">
        <v>7.8039205615957081E-3</v>
      </c>
      <c r="Q114" s="539">
        <v>-99</v>
      </c>
      <c r="R114" s="539">
        <v>-99</v>
      </c>
      <c r="S114" s="539">
        <v>7.3858646213170705E-3</v>
      </c>
      <c r="T114" s="539">
        <v>-99</v>
      </c>
      <c r="U114" s="539">
        <v>7.6722200669043211E-3</v>
      </c>
      <c r="V114" s="539">
        <v>-99</v>
      </c>
      <c r="W114" s="539">
        <v>-99</v>
      </c>
      <c r="X114" s="539">
        <v>-99</v>
      </c>
      <c r="Y114" s="539">
        <v>-99</v>
      </c>
      <c r="Z114" s="539">
        <v>-99</v>
      </c>
      <c r="AA114" s="539">
        <v>-99</v>
      </c>
      <c r="AB114" s="539">
        <v>-99</v>
      </c>
      <c r="AC114" s="539">
        <v>8.8262180264895764E-3</v>
      </c>
      <c r="AD114" s="539">
        <v>-99</v>
      </c>
      <c r="AE114" s="539">
        <v>1.2884611632489806E-2</v>
      </c>
      <c r="AF114" s="539">
        <v>-99</v>
      </c>
      <c r="AG114" s="539">
        <v>-99</v>
      </c>
      <c r="AH114" s="540">
        <v>7.920143926447373E-3</v>
      </c>
      <c r="AI114" s="539">
        <v>-99</v>
      </c>
      <c r="AJ114" s="540">
        <v>8.5905611976979934E-3</v>
      </c>
      <c r="AK114" s="539">
        <v>-99</v>
      </c>
      <c r="AL114" s="539">
        <v>-99</v>
      </c>
      <c r="AM114" s="540">
        <v>8.1706084391042211E-3</v>
      </c>
      <c r="AN114" s="539">
        <v>-99</v>
      </c>
      <c r="AO114" s="540">
        <v>8.1837153903870051E-3</v>
      </c>
      <c r="AP114" s="541">
        <v>-99</v>
      </c>
      <c r="AQ114" s="539">
        <v>-99</v>
      </c>
      <c r="AR114" s="540">
        <v>7.3858646213170705E-3</v>
      </c>
      <c r="AS114" s="539">
        <v>-99</v>
      </c>
      <c r="AT114" s="540">
        <v>7.8135865547202688E-3</v>
      </c>
      <c r="AU114" s="539">
        <v>-99</v>
      </c>
      <c r="AV114" s="540">
        <v>-99</v>
      </c>
      <c r="AW114" s="540">
        <v>-99</v>
      </c>
      <c r="AX114" s="540">
        <v>-99</v>
      </c>
      <c r="AY114" s="540">
        <v>-99</v>
      </c>
      <c r="AZ114" s="539">
        <v>-99</v>
      </c>
      <c r="BA114" s="539">
        <v>-99</v>
      </c>
      <c r="BB114" s="540">
        <v>8.8262180264895764E-3</v>
      </c>
      <c r="BC114" s="539">
        <v>-99</v>
      </c>
      <c r="BD114" s="540">
        <v>1.2884611632489806E-2</v>
      </c>
      <c r="BE114" s="541">
        <v>-99</v>
      </c>
      <c r="BF114" s="612"/>
      <c r="BG114" s="612"/>
      <c r="BH114" s="612">
        <v>-99</v>
      </c>
      <c r="BI114" s="576"/>
      <c r="BJ114" s="576"/>
      <c r="BK114" s="576"/>
      <c r="BL114" s="576"/>
      <c r="BM114" s="545">
        <v>-99</v>
      </c>
      <c r="BN114" s="545">
        <v>-99</v>
      </c>
      <c r="BO114" s="576"/>
      <c r="BP114" s="576"/>
      <c r="BQ114" s="576"/>
      <c r="BR114" s="570"/>
      <c r="BS114" s="547" t="s">
        <v>188</v>
      </c>
      <c r="BT114" s="549" t="s">
        <v>188</v>
      </c>
      <c r="BU114" s="549" t="s">
        <v>188</v>
      </c>
      <c r="BV114" s="549" t="s">
        <v>188</v>
      </c>
      <c r="BW114" s="549" t="s">
        <v>188</v>
      </c>
      <c r="BX114" s="549" t="s">
        <v>188</v>
      </c>
      <c r="BY114" s="549" t="s">
        <v>188</v>
      </c>
      <c r="BZ114" s="549" t="s">
        <v>188</v>
      </c>
      <c r="CA114" s="549" t="s">
        <v>188</v>
      </c>
      <c r="CB114" s="549" t="s">
        <v>188</v>
      </c>
      <c r="CC114" s="549" t="s">
        <v>188</v>
      </c>
      <c r="CD114" s="662"/>
      <c r="CE114" s="661" t="s">
        <v>188</v>
      </c>
      <c r="CF114" s="662" t="s">
        <v>188</v>
      </c>
      <c r="CG114" s="662" t="s">
        <v>188</v>
      </c>
      <c r="CH114" s="662" t="s">
        <v>188</v>
      </c>
      <c r="CI114" s="662" t="s">
        <v>188</v>
      </c>
      <c r="CJ114" s="662" t="s">
        <v>188</v>
      </c>
      <c r="CK114" s="662" t="s">
        <v>188</v>
      </c>
      <c r="CL114" s="662" t="s">
        <v>188</v>
      </c>
      <c r="CM114" s="662" t="s">
        <v>188</v>
      </c>
      <c r="CN114" s="662" t="s">
        <v>188</v>
      </c>
      <c r="CO114" s="616"/>
      <c r="CP114" s="616"/>
      <c r="CQ114" s="616"/>
      <c r="CR114" s="616"/>
      <c r="CS114" s="616"/>
      <c r="CT114" s="616"/>
      <c r="CU114" s="616"/>
      <c r="CV114" s="616"/>
      <c r="CW114" s="616"/>
      <c r="CX114" s="616"/>
      <c r="CY114" s="616"/>
      <c r="CZ114" s="616"/>
      <c r="DA114" s="616"/>
      <c r="DB114" s="616"/>
      <c r="DC114" s="640"/>
      <c r="DD114" s="640"/>
      <c r="DE114" s="640"/>
      <c r="DF114" s="640"/>
      <c r="DG114" s="640"/>
      <c r="DH114" s="640"/>
      <c r="DI114" s="576"/>
      <c r="DJ114" s="576"/>
      <c r="DK114" s="576"/>
      <c r="DL114" s="576"/>
      <c r="DM114" s="576"/>
      <c r="DN114" s="576"/>
      <c r="DO114" s="576"/>
      <c r="DP114" s="576"/>
      <c r="DQ114" s="576"/>
      <c r="DR114" s="576"/>
      <c r="DS114" s="576"/>
      <c r="DT114" s="576"/>
      <c r="DU114" s="576"/>
      <c r="DV114" s="576"/>
      <c r="DW114" s="576"/>
      <c r="DX114" s="577"/>
      <c r="DY114" s="577"/>
      <c r="DZ114" s="577"/>
      <c r="EA114" s="577"/>
      <c r="EB114" s="577"/>
      <c r="EC114" s="577"/>
      <c r="ED114" s="577"/>
      <c r="EE114" s="577"/>
      <c r="EF114" s="577"/>
      <c r="EG114" s="577"/>
      <c r="EH114" s="8">
        <v>38</v>
      </c>
    </row>
    <row r="115" spans="1:139" x14ac:dyDescent="0.25">
      <c r="A115" s="16">
        <v>111</v>
      </c>
      <c r="B115" s="19" t="s">
        <v>84</v>
      </c>
      <c r="C115" s="19"/>
      <c r="D115" s="19" t="s">
        <v>1</v>
      </c>
      <c r="E115" s="19" t="s">
        <v>75</v>
      </c>
      <c r="F115" s="19" t="s">
        <v>8</v>
      </c>
      <c r="G115" s="19" t="s">
        <v>837</v>
      </c>
      <c r="H115" s="539">
        <v>-99</v>
      </c>
      <c r="I115" s="539">
        <v>1.6462975021171413E-2</v>
      </c>
      <c r="J115" s="539">
        <v>-99</v>
      </c>
      <c r="K115" s="539">
        <v>-99</v>
      </c>
      <c r="L115" s="539">
        <v>-99</v>
      </c>
      <c r="M115" s="539">
        <v>-99</v>
      </c>
      <c r="N115" s="539">
        <v>1.5303130419932202E-2</v>
      </c>
      <c r="O115" s="539">
        <v>-99</v>
      </c>
      <c r="P115" s="539">
        <v>-99</v>
      </c>
      <c r="Q115" s="539">
        <v>-99</v>
      </c>
      <c r="R115" s="539">
        <v>-99</v>
      </c>
      <c r="S115" s="539">
        <v>1.8293769792469345E-2</v>
      </c>
      <c r="T115" s="539">
        <v>-99</v>
      </c>
      <c r="U115" s="539">
        <v>-99</v>
      </c>
      <c r="V115" s="539">
        <v>-99</v>
      </c>
      <c r="W115" s="539">
        <v>-99</v>
      </c>
      <c r="X115" s="539">
        <v>-99</v>
      </c>
      <c r="Y115" s="539">
        <v>-99</v>
      </c>
      <c r="Z115" s="539">
        <v>-99</v>
      </c>
      <c r="AA115" s="539">
        <v>-99</v>
      </c>
      <c r="AB115" s="539">
        <v>-99</v>
      </c>
      <c r="AC115" s="539">
        <v>1.4435352624720321E-2</v>
      </c>
      <c r="AD115" s="539">
        <v>-99</v>
      </c>
      <c r="AE115" s="539">
        <v>-99</v>
      </c>
      <c r="AF115" s="539">
        <v>-99</v>
      </c>
      <c r="AG115" s="539">
        <v>-99</v>
      </c>
      <c r="AH115" s="540">
        <v>1.8311989128922661E-2</v>
      </c>
      <c r="AI115" s="539">
        <v>-99</v>
      </c>
      <c r="AJ115" s="540">
        <v>-99</v>
      </c>
      <c r="AK115" s="539">
        <v>-99</v>
      </c>
      <c r="AL115" s="539">
        <v>-99</v>
      </c>
      <c r="AM115" s="540">
        <v>1.6403789050857768E-2</v>
      </c>
      <c r="AN115" s="539">
        <v>-99</v>
      </c>
      <c r="AO115" s="540">
        <v>-99</v>
      </c>
      <c r="AP115" s="541">
        <v>-99</v>
      </c>
      <c r="AQ115" s="539">
        <v>-99</v>
      </c>
      <c r="AR115" s="540">
        <v>2.0080467458145231E-2</v>
      </c>
      <c r="AS115" s="539">
        <v>-99</v>
      </c>
      <c r="AT115" s="540">
        <v>-99</v>
      </c>
      <c r="AU115" s="539">
        <v>-99</v>
      </c>
      <c r="AV115" s="540">
        <v>-99</v>
      </c>
      <c r="AW115" s="540">
        <v>-99</v>
      </c>
      <c r="AX115" s="540">
        <v>-99</v>
      </c>
      <c r="AY115" s="540">
        <v>-99</v>
      </c>
      <c r="AZ115" s="539">
        <v>-99</v>
      </c>
      <c r="BA115" s="539">
        <v>-99</v>
      </c>
      <c r="BB115" s="540">
        <v>1.9167318516253109E-2</v>
      </c>
      <c r="BC115" s="539">
        <v>-99</v>
      </c>
      <c r="BD115" s="540">
        <v>-99</v>
      </c>
      <c r="BE115" s="541">
        <v>-99</v>
      </c>
      <c r="BF115" s="612"/>
      <c r="BG115" s="612"/>
      <c r="BH115" s="612">
        <v>-99</v>
      </c>
      <c r="BI115" s="576"/>
      <c r="BJ115" s="576"/>
      <c r="BK115" s="576"/>
      <c r="BL115" s="576"/>
      <c r="BM115" s="545">
        <v>-99</v>
      </c>
      <c r="BN115" s="545">
        <v>-99</v>
      </c>
      <c r="BO115" s="576"/>
      <c r="BP115" s="576"/>
      <c r="BQ115" s="576"/>
      <c r="BR115" s="570"/>
      <c r="BS115" s="547" t="s">
        <v>188</v>
      </c>
      <c r="BT115" s="549" t="s">
        <v>188</v>
      </c>
      <c r="BU115" s="549" t="s">
        <v>188</v>
      </c>
      <c r="BV115" s="549" t="s">
        <v>188</v>
      </c>
      <c r="BW115" s="549" t="s">
        <v>188</v>
      </c>
      <c r="BX115" s="549" t="s">
        <v>188</v>
      </c>
      <c r="BY115" s="549" t="s">
        <v>188</v>
      </c>
      <c r="BZ115" s="549" t="s">
        <v>188</v>
      </c>
      <c r="CA115" s="549" t="s">
        <v>188</v>
      </c>
      <c r="CB115" s="549" t="s">
        <v>188</v>
      </c>
      <c r="CC115" s="549" t="s">
        <v>188</v>
      </c>
      <c r="CD115" s="662"/>
      <c r="CE115" s="661" t="s">
        <v>188</v>
      </c>
      <c r="CF115" s="662" t="s">
        <v>188</v>
      </c>
      <c r="CG115" s="662" t="s">
        <v>188</v>
      </c>
      <c r="CH115" s="662" t="s">
        <v>188</v>
      </c>
      <c r="CI115" s="662" t="s">
        <v>188</v>
      </c>
      <c r="CJ115" s="662" t="s">
        <v>188</v>
      </c>
      <c r="CK115" s="662" t="s">
        <v>188</v>
      </c>
      <c r="CL115" s="662" t="s">
        <v>188</v>
      </c>
      <c r="CM115" s="662" t="s">
        <v>188</v>
      </c>
      <c r="CN115" s="662" t="s">
        <v>188</v>
      </c>
      <c r="CO115" s="616"/>
      <c r="CP115" s="616"/>
      <c r="CQ115" s="616"/>
      <c r="CR115" s="616"/>
      <c r="CS115" s="616"/>
      <c r="CT115" s="616"/>
      <c r="CU115" s="616"/>
      <c r="CV115" s="616"/>
      <c r="CW115" s="616"/>
      <c r="CX115" s="616"/>
      <c r="CY115" s="616"/>
      <c r="CZ115" s="616"/>
      <c r="DA115" s="616"/>
      <c r="DB115" s="616"/>
      <c r="DC115" s="640"/>
      <c r="DD115" s="640"/>
      <c r="DE115" s="640"/>
      <c r="DF115" s="640"/>
      <c r="DG115" s="640"/>
      <c r="DH115" s="640"/>
      <c r="DI115" s="576"/>
      <c r="DJ115" s="576"/>
      <c r="DK115" s="576"/>
      <c r="DL115" s="576"/>
      <c r="DM115" s="576"/>
      <c r="DN115" s="576"/>
      <c r="DO115" s="576"/>
      <c r="DP115" s="576"/>
      <c r="DQ115" s="576"/>
      <c r="DR115" s="576"/>
      <c r="DS115" s="576"/>
      <c r="DT115" s="576"/>
      <c r="DU115" s="576"/>
      <c r="DV115" s="576"/>
      <c r="DW115" s="576"/>
      <c r="DX115" s="577"/>
      <c r="DY115" s="577"/>
      <c r="DZ115" s="577"/>
      <c r="EA115" s="577"/>
      <c r="EB115" s="577"/>
      <c r="EC115" s="577"/>
      <c r="ED115" s="577"/>
      <c r="EE115" s="577"/>
      <c r="EF115" s="577"/>
      <c r="EG115" s="577"/>
      <c r="EH115" s="8">
        <v>3</v>
      </c>
    </row>
    <row r="116" spans="1:139" x14ac:dyDescent="0.25">
      <c r="A116" s="16">
        <v>112</v>
      </c>
      <c r="B116" s="526" t="s">
        <v>698</v>
      </c>
      <c r="C116" s="526"/>
      <c r="D116" s="19" t="s">
        <v>57</v>
      </c>
      <c r="E116" s="19" t="s">
        <v>75</v>
      </c>
      <c r="F116" s="19" t="s">
        <v>8</v>
      </c>
      <c r="G116" s="19" t="s">
        <v>837</v>
      </c>
      <c r="H116" s="539">
        <v>-99</v>
      </c>
      <c r="I116" s="539">
        <v>-99</v>
      </c>
      <c r="J116" s="539">
        <v>-99</v>
      </c>
      <c r="K116" s="539">
        <v>-99</v>
      </c>
      <c r="L116" s="539">
        <v>-99</v>
      </c>
      <c r="M116" s="539">
        <v>-99</v>
      </c>
      <c r="N116" s="539">
        <v>-99</v>
      </c>
      <c r="O116" s="539">
        <v>-99</v>
      </c>
      <c r="P116" s="539">
        <v>-99</v>
      </c>
      <c r="Q116" s="539">
        <v>-99</v>
      </c>
      <c r="R116" s="539">
        <v>-99</v>
      </c>
      <c r="S116" s="539">
        <v>-99</v>
      </c>
      <c r="T116" s="539">
        <v>-99</v>
      </c>
      <c r="U116" s="539">
        <v>-99</v>
      </c>
      <c r="V116" s="539">
        <v>-99</v>
      </c>
      <c r="W116" s="539">
        <v>-99</v>
      </c>
      <c r="X116" s="539">
        <v>-99</v>
      </c>
      <c r="Y116" s="539">
        <v>-99</v>
      </c>
      <c r="Z116" s="539">
        <v>-99</v>
      </c>
      <c r="AA116" s="539">
        <v>-99</v>
      </c>
      <c r="AB116" s="539">
        <v>-99</v>
      </c>
      <c r="AC116" s="539">
        <v>-99</v>
      </c>
      <c r="AD116" s="539">
        <v>-99</v>
      </c>
      <c r="AE116" s="539">
        <v>-99</v>
      </c>
      <c r="AF116" s="539">
        <v>-99</v>
      </c>
      <c r="AG116" s="539">
        <v>-99</v>
      </c>
      <c r="AH116" s="540">
        <v>-99</v>
      </c>
      <c r="AI116" s="539">
        <v>-99</v>
      </c>
      <c r="AJ116" s="540">
        <v>-99</v>
      </c>
      <c r="AK116" s="539">
        <v>-99</v>
      </c>
      <c r="AL116" s="539">
        <v>-99</v>
      </c>
      <c r="AM116" s="540">
        <v>-99</v>
      </c>
      <c r="AN116" s="539">
        <v>-99</v>
      </c>
      <c r="AO116" s="540">
        <v>-99</v>
      </c>
      <c r="AP116" s="541">
        <v>-99</v>
      </c>
      <c r="AQ116" s="539">
        <v>-99</v>
      </c>
      <c r="AR116" s="540">
        <v>-99</v>
      </c>
      <c r="AS116" s="539">
        <v>-99</v>
      </c>
      <c r="AT116" s="540">
        <v>-99</v>
      </c>
      <c r="AU116" s="539">
        <v>-99</v>
      </c>
      <c r="AV116" s="540">
        <v>-99</v>
      </c>
      <c r="AW116" s="540">
        <v>-99</v>
      </c>
      <c r="AX116" s="540">
        <v>-99</v>
      </c>
      <c r="AY116" s="540">
        <v>-99</v>
      </c>
      <c r="AZ116" s="539">
        <v>-99</v>
      </c>
      <c r="BA116" s="539">
        <v>-99</v>
      </c>
      <c r="BB116" s="540">
        <v>-99</v>
      </c>
      <c r="BC116" s="539">
        <v>-99</v>
      </c>
      <c r="BD116" s="540">
        <v>-99</v>
      </c>
      <c r="BE116" s="541">
        <v>-99</v>
      </c>
      <c r="BF116" s="612"/>
      <c r="BG116" s="541"/>
      <c r="BH116" s="612">
        <v>-99</v>
      </c>
      <c r="BI116" s="641"/>
      <c r="BJ116" s="641"/>
      <c r="BK116" s="641"/>
      <c r="BL116" s="641"/>
      <c r="BM116" s="545">
        <v>-99</v>
      </c>
      <c r="BN116" s="545">
        <v>-99</v>
      </c>
      <c r="BO116" s="641"/>
      <c r="BP116" s="641"/>
      <c r="BQ116" s="641"/>
      <c r="BR116" s="640"/>
      <c r="BS116" s="547" t="s">
        <v>188</v>
      </c>
      <c r="BT116" s="549" t="s">
        <v>188</v>
      </c>
      <c r="BU116" s="549" t="s">
        <v>188</v>
      </c>
      <c r="BV116" s="549" t="s">
        <v>188</v>
      </c>
      <c r="BW116" s="549" t="s">
        <v>188</v>
      </c>
      <c r="BX116" s="549" t="s">
        <v>188</v>
      </c>
      <c r="BY116" s="549" t="s">
        <v>188</v>
      </c>
      <c r="BZ116" s="549" t="s">
        <v>188</v>
      </c>
      <c r="CA116" s="549" t="s">
        <v>188</v>
      </c>
      <c r="CB116" s="549" t="s">
        <v>188</v>
      </c>
      <c r="CC116" s="549" t="s">
        <v>188</v>
      </c>
      <c r="CD116" s="662"/>
      <c r="CE116" s="661" t="s">
        <v>188</v>
      </c>
      <c r="CF116" s="662" t="s">
        <v>188</v>
      </c>
      <c r="CG116" s="662" t="s">
        <v>188</v>
      </c>
      <c r="CH116" s="662" t="s">
        <v>188</v>
      </c>
      <c r="CI116" s="662" t="s">
        <v>188</v>
      </c>
      <c r="CJ116" s="662" t="s">
        <v>188</v>
      </c>
      <c r="CK116" s="662" t="s">
        <v>188</v>
      </c>
      <c r="CL116" s="662" t="s">
        <v>188</v>
      </c>
      <c r="CM116" s="662" t="s">
        <v>188</v>
      </c>
      <c r="CN116" s="662" t="s">
        <v>188</v>
      </c>
      <c r="CO116" s="640"/>
      <c r="CP116" s="640"/>
      <c r="CQ116" s="640"/>
      <c r="CR116" s="640"/>
      <c r="CS116" s="640"/>
      <c r="CT116" s="640"/>
      <c r="CU116" s="640"/>
      <c r="CV116" s="640"/>
      <c r="CW116" s="640"/>
      <c r="CX116" s="640"/>
      <c r="CY116" s="640"/>
      <c r="CZ116" s="640"/>
      <c r="DA116" s="640"/>
      <c r="DB116" s="640"/>
      <c r="DC116" s="640"/>
      <c r="DD116" s="640"/>
      <c r="DE116" s="640"/>
      <c r="DF116" s="640"/>
      <c r="DG116" s="640"/>
      <c r="DH116" s="640"/>
      <c r="DI116" s="641"/>
      <c r="DJ116" s="641"/>
      <c r="DK116" s="641"/>
      <c r="DL116" s="641"/>
      <c r="DM116" s="641"/>
      <c r="DN116" s="641"/>
      <c r="DO116" s="641"/>
      <c r="DP116" s="641"/>
      <c r="DQ116" s="641"/>
      <c r="DR116" s="641"/>
      <c r="DS116" s="641"/>
      <c r="DT116" s="641"/>
      <c r="DU116" s="641"/>
      <c r="DV116" s="641"/>
      <c r="DW116" s="641"/>
      <c r="DX116" s="607"/>
      <c r="DY116" s="607"/>
      <c r="DZ116" s="607"/>
      <c r="EA116" s="607"/>
      <c r="EB116" s="607"/>
      <c r="EC116" s="607"/>
      <c r="ED116" s="607"/>
      <c r="EE116" s="607"/>
      <c r="EF116" s="607"/>
      <c r="EG116" s="607"/>
      <c r="EH116" s="8">
        <v>111</v>
      </c>
    </row>
    <row r="117" spans="1:139" x14ac:dyDescent="0.25">
      <c r="A117" s="16">
        <v>113</v>
      </c>
      <c r="B117" s="526" t="s">
        <v>746</v>
      </c>
      <c r="C117" s="526"/>
      <c r="D117" s="19" t="s">
        <v>57</v>
      </c>
      <c r="E117" s="19" t="s">
        <v>75</v>
      </c>
      <c r="F117" s="19" t="s">
        <v>8</v>
      </c>
      <c r="G117" s="19" t="s">
        <v>837</v>
      </c>
      <c r="H117" s="539">
        <v>-99</v>
      </c>
      <c r="I117" s="539">
        <v>-99</v>
      </c>
      <c r="J117" s="539">
        <v>-99</v>
      </c>
      <c r="K117" s="539">
        <v>-99</v>
      </c>
      <c r="L117" s="539">
        <v>-99</v>
      </c>
      <c r="M117" s="539">
        <v>-99</v>
      </c>
      <c r="N117" s="539">
        <v>-99</v>
      </c>
      <c r="O117" s="539">
        <v>-99</v>
      </c>
      <c r="P117" s="539">
        <v>-99</v>
      </c>
      <c r="Q117" s="539">
        <v>-99</v>
      </c>
      <c r="R117" s="539">
        <v>-99</v>
      </c>
      <c r="S117" s="539">
        <v>-99</v>
      </c>
      <c r="T117" s="539">
        <v>-99</v>
      </c>
      <c r="U117" s="539">
        <v>-99</v>
      </c>
      <c r="V117" s="539">
        <v>-99</v>
      </c>
      <c r="W117" s="539">
        <v>-99</v>
      </c>
      <c r="X117" s="539">
        <v>-99</v>
      </c>
      <c r="Y117" s="539">
        <v>-99</v>
      </c>
      <c r="Z117" s="539">
        <v>-99</v>
      </c>
      <c r="AA117" s="539">
        <v>-99</v>
      </c>
      <c r="AB117" s="539">
        <v>-99</v>
      </c>
      <c r="AC117" s="539">
        <v>-99</v>
      </c>
      <c r="AD117" s="539">
        <v>-99</v>
      </c>
      <c r="AE117" s="539">
        <v>-99</v>
      </c>
      <c r="AF117" s="539">
        <v>-99</v>
      </c>
      <c r="AG117" s="539">
        <v>-99</v>
      </c>
      <c r="AH117" s="540">
        <v>-99</v>
      </c>
      <c r="AI117" s="539">
        <v>-99</v>
      </c>
      <c r="AJ117" s="540">
        <v>-99</v>
      </c>
      <c r="AK117" s="539">
        <v>-99</v>
      </c>
      <c r="AL117" s="539">
        <v>-99</v>
      </c>
      <c r="AM117" s="540">
        <v>-99</v>
      </c>
      <c r="AN117" s="539">
        <v>-99</v>
      </c>
      <c r="AO117" s="540">
        <v>-99</v>
      </c>
      <c r="AP117" s="541">
        <v>-99</v>
      </c>
      <c r="AQ117" s="539">
        <v>-99</v>
      </c>
      <c r="AR117" s="540">
        <v>-99</v>
      </c>
      <c r="AS117" s="539">
        <v>-99</v>
      </c>
      <c r="AT117" s="540">
        <v>-99</v>
      </c>
      <c r="AU117" s="539">
        <v>-99</v>
      </c>
      <c r="AV117" s="540">
        <v>-99</v>
      </c>
      <c r="AW117" s="540">
        <v>-99</v>
      </c>
      <c r="AX117" s="540">
        <v>-99</v>
      </c>
      <c r="AY117" s="540">
        <v>-99</v>
      </c>
      <c r="AZ117" s="539">
        <v>-99</v>
      </c>
      <c r="BA117" s="539">
        <v>-99</v>
      </c>
      <c r="BB117" s="540">
        <v>-99</v>
      </c>
      <c r="BC117" s="539">
        <v>-99</v>
      </c>
      <c r="BD117" s="540">
        <v>-99</v>
      </c>
      <c r="BE117" s="541">
        <v>-99</v>
      </c>
      <c r="BF117" s="612"/>
      <c r="BG117" s="612"/>
      <c r="BH117" s="612">
        <v>-99</v>
      </c>
      <c r="BI117" s="576"/>
      <c r="BJ117" s="576"/>
      <c r="BK117" s="576"/>
      <c r="BL117" s="576"/>
      <c r="BM117" s="545">
        <v>-99</v>
      </c>
      <c r="BN117" s="545">
        <v>-99</v>
      </c>
      <c r="BO117" s="576"/>
      <c r="BP117" s="576"/>
      <c r="BQ117" s="576"/>
      <c r="BR117" s="570"/>
      <c r="BS117" s="547" t="s">
        <v>188</v>
      </c>
      <c r="BT117" s="549" t="s">
        <v>188</v>
      </c>
      <c r="BU117" s="549" t="s">
        <v>188</v>
      </c>
      <c r="BV117" s="549" t="s">
        <v>188</v>
      </c>
      <c r="BW117" s="549" t="s">
        <v>188</v>
      </c>
      <c r="BX117" s="549" t="s">
        <v>188</v>
      </c>
      <c r="BY117" s="549" t="s">
        <v>188</v>
      </c>
      <c r="BZ117" s="549" t="s">
        <v>188</v>
      </c>
      <c r="CA117" s="549" t="s">
        <v>188</v>
      </c>
      <c r="CB117" s="549" t="s">
        <v>188</v>
      </c>
      <c r="CC117" s="549" t="s">
        <v>188</v>
      </c>
      <c r="CD117" s="662"/>
      <c r="CE117" s="661" t="s">
        <v>188</v>
      </c>
      <c r="CF117" s="662" t="s">
        <v>188</v>
      </c>
      <c r="CG117" s="662" t="s">
        <v>188</v>
      </c>
      <c r="CH117" s="662" t="s">
        <v>188</v>
      </c>
      <c r="CI117" s="662" t="s">
        <v>188</v>
      </c>
      <c r="CJ117" s="662" t="s">
        <v>188</v>
      </c>
      <c r="CK117" s="662" t="s">
        <v>188</v>
      </c>
      <c r="CL117" s="662" t="s">
        <v>188</v>
      </c>
      <c r="CM117" s="662" t="s">
        <v>188</v>
      </c>
      <c r="CN117" s="662" t="s">
        <v>188</v>
      </c>
      <c r="CO117" s="616"/>
      <c r="CP117" s="616"/>
      <c r="CQ117" s="616"/>
      <c r="CR117" s="616"/>
      <c r="CS117" s="616"/>
      <c r="CT117" s="616"/>
      <c r="CU117" s="616"/>
      <c r="CV117" s="616"/>
      <c r="CW117" s="616"/>
      <c r="CX117" s="616"/>
      <c r="CY117" s="616"/>
      <c r="CZ117" s="616"/>
      <c r="DA117" s="616"/>
      <c r="DB117" s="616"/>
      <c r="DC117" s="640"/>
      <c r="DD117" s="640"/>
      <c r="DE117" s="640"/>
      <c r="DF117" s="640"/>
      <c r="DG117" s="640"/>
      <c r="DH117" s="640"/>
      <c r="DI117" s="576"/>
      <c r="DJ117" s="576"/>
      <c r="DK117" s="576"/>
      <c r="DL117" s="576"/>
      <c r="DM117" s="576"/>
      <c r="DN117" s="576"/>
      <c r="DO117" s="576"/>
      <c r="DP117" s="576"/>
      <c r="DQ117" s="576"/>
      <c r="DR117" s="576"/>
      <c r="DS117" s="576"/>
      <c r="DT117" s="576"/>
      <c r="DU117" s="576"/>
      <c r="DV117" s="576"/>
      <c r="DW117" s="576"/>
      <c r="DX117" s="577"/>
      <c r="DY117" s="577"/>
      <c r="DZ117" s="577"/>
      <c r="EA117" s="577"/>
      <c r="EB117" s="577"/>
      <c r="EC117" s="577"/>
      <c r="ED117" s="577"/>
      <c r="EE117" s="577"/>
      <c r="EF117" s="577"/>
      <c r="EG117" s="577"/>
      <c r="EH117" s="8">
        <v>83</v>
      </c>
    </row>
    <row r="118" spans="1:139" x14ac:dyDescent="0.25">
      <c r="A118" s="16">
        <v>114</v>
      </c>
      <c r="B118" s="526" t="s">
        <v>729</v>
      </c>
      <c r="C118" s="526"/>
      <c r="D118" s="19" t="s">
        <v>57</v>
      </c>
      <c r="E118" s="19" t="s">
        <v>75</v>
      </c>
      <c r="F118" s="19" t="s">
        <v>8</v>
      </c>
      <c r="G118" s="19" t="s">
        <v>837</v>
      </c>
      <c r="H118" s="539">
        <v>-99</v>
      </c>
      <c r="I118" s="539">
        <v>2.9803524043684457E-2</v>
      </c>
      <c r="J118" s="539">
        <v>-99</v>
      </c>
      <c r="K118" s="539">
        <v>4.9943091726367433E-2</v>
      </c>
      <c r="L118" s="539">
        <v>-99</v>
      </c>
      <c r="M118" s="539">
        <v>-99</v>
      </c>
      <c r="N118" s="539">
        <v>3.4000000000000002E-2</v>
      </c>
      <c r="O118" s="539">
        <v>-99</v>
      </c>
      <c r="P118" s="539">
        <v>5.6000000000000001E-2</v>
      </c>
      <c r="Q118" s="539">
        <v>-99</v>
      </c>
      <c r="R118" s="539">
        <v>-99</v>
      </c>
      <c r="S118" s="539">
        <v>2.7E-2</v>
      </c>
      <c r="T118" s="539">
        <v>-99</v>
      </c>
      <c r="U118" s="539">
        <v>4.9000000000000002E-2</v>
      </c>
      <c r="V118" s="539">
        <v>-99</v>
      </c>
      <c r="W118" s="539">
        <v>-99</v>
      </c>
      <c r="X118" s="539">
        <v>-99</v>
      </c>
      <c r="Y118" s="539">
        <v>-99</v>
      </c>
      <c r="Z118" s="539">
        <v>-99</v>
      </c>
      <c r="AA118" s="539">
        <v>-99</v>
      </c>
      <c r="AB118" s="539">
        <v>-99</v>
      </c>
      <c r="AC118" s="539">
        <v>2.3E-2</v>
      </c>
      <c r="AD118" s="539">
        <v>-99</v>
      </c>
      <c r="AE118" s="539">
        <v>3.1E-2</v>
      </c>
      <c r="AF118" s="539">
        <v>-99</v>
      </c>
      <c r="AG118" s="539">
        <v>-99</v>
      </c>
      <c r="AH118" s="540">
        <v>-99</v>
      </c>
      <c r="AI118" s="539">
        <v>-99</v>
      </c>
      <c r="AJ118" s="540">
        <v>-99</v>
      </c>
      <c r="AK118" s="539">
        <v>-99</v>
      </c>
      <c r="AL118" s="539">
        <v>-99</v>
      </c>
      <c r="AM118" s="540">
        <v>-99</v>
      </c>
      <c r="AN118" s="539">
        <v>-99</v>
      </c>
      <c r="AO118" s="540">
        <v>-99</v>
      </c>
      <c r="AP118" s="541">
        <v>-99</v>
      </c>
      <c r="AQ118" s="539">
        <v>-99</v>
      </c>
      <c r="AR118" s="540">
        <v>-99</v>
      </c>
      <c r="AS118" s="539">
        <v>-99</v>
      </c>
      <c r="AT118" s="540">
        <v>-99</v>
      </c>
      <c r="AU118" s="539">
        <v>-99</v>
      </c>
      <c r="AV118" s="540">
        <v>-99</v>
      </c>
      <c r="AW118" s="540">
        <v>-99</v>
      </c>
      <c r="AX118" s="540">
        <v>-99</v>
      </c>
      <c r="AY118" s="540">
        <v>-99</v>
      </c>
      <c r="AZ118" s="539">
        <v>-99</v>
      </c>
      <c r="BA118" s="539">
        <v>-99</v>
      </c>
      <c r="BB118" s="540">
        <v>-99</v>
      </c>
      <c r="BC118" s="539">
        <v>-99</v>
      </c>
      <c r="BD118" s="540">
        <v>-99</v>
      </c>
      <c r="BE118" s="541">
        <v>-99</v>
      </c>
      <c r="BF118" s="612"/>
      <c r="BG118" s="612"/>
      <c r="BH118" s="612">
        <v>-99</v>
      </c>
      <c r="BI118" s="576"/>
      <c r="BJ118" s="576"/>
      <c r="BK118" s="576"/>
      <c r="BL118" s="576"/>
      <c r="BM118" s="545">
        <v>-99</v>
      </c>
      <c r="BN118" s="545">
        <v>-99</v>
      </c>
      <c r="BO118" s="576"/>
      <c r="BP118" s="576"/>
      <c r="BQ118" s="576"/>
      <c r="BR118" s="640"/>
      <c r="BS118" s="547" t="s">
        <v>188</v>
      </c>
      <c r="BT118" s="549" t="s">
        <v>188</v>
      </c>
      <c r="BU118" s="549" t="s">
        <v>188</v>
      </c>
      <c r="BV118" s="549" t="s">
        <v>188</v>
      </c>
      <c r="BW118" s="549" t="s">
        <v>188</v>
      </c>
      <c r="BX118" s="549" t="s">
        <v>188</v>
      </c>
      <c r="BY118" s="549" t="s">
        <v>188</v>
      </c>
      <c r="BZ118" s="549" t="s">
        <v>188</v>
      </c>
      <c r="CA118" s="549" t="s">
        <v>188</v>
      </c>
      <c r="CB118" s="549" t="s">
        <v>188</v>
      </c>
      <c r="CC118" s="549" t="s">
        <v>188</v>
      </c>
      <c r="CD118" s="662"/>
      <c r="CE118" s="661" t="s">
        <v>188</v>
      </c>
      <c r="CF118" s="662" t="s">
        <v>188</v>
      </c>
      <c r="CG118" s="662" t="s">
        <v>188</v>
      </c>
      <c r="CH118" s="662" t="s">
        <v>188</v>
      </c>
      <c r="CI118" s="662" t="s">
        <v>188</v>
      </c>
      <c r="CJ118" s="662" t="s">
        <v>188</v>
      </c>
      <c r="CK118" s="662" t="s">
        <v>188</v>
      </c>
      <c r="CL118" s="662" t="s">
        <v>188</v>
      </c>
      <c r="CM118" s="662" t="s">
        <v>188</v>
      </c>
      <c r="CN118" s="662" t="s">
        <v>188</v>
      </c>
      <c r="CO118" s="640"/>
      <c r="CP118" s="640"/>
      <c r="CQ118" s="640"/>
      <c r="CR118" s="640"/>
      <c r="CS118" s="640"/>
      <c r="CT118" s="640"/>
      <c r="CU118" s="640"/>
      <c r="CV118" s="640"/>
      <c r="CW118" s="640"/>
      <c r="CX118" s="640"/>
      <c r="CY118" s="640"/>
      <c r="CZ118" s="640"/>
      <c r="DA118" s="640"/>
      <c r="DB118" s="640"/>
      <c r="DC118" s="640"/>
      <c r="DD118" s="640"/>
      <c r="DE118" s="640"/>
      <c r="DF118" s="640"/>
      <c r="DG118" s="640"/>
      <c r="DH118" s="640"/>
      <c r="DI118" s="576"/>
      <c r="DJ118" s="576"/>
      <c r="DK118" s="576"/>
      <c r="DL118" s="576"/>
      <c r="DM118" s="576"/>
      <c r="DN118" s="576"/>
      <c r="DO118" s="576"/>
      <c r="DP118" s="576"/>
      <c r="DQ118" s="576"/>
      <c r="DR118" s="576"/>
      <c r="DS118" s="576"/>
      <c r="DT118" s="576"/>
      <c r="DU118" s="576"/>
      <c r="DV118" s="576"/>
      <c r="DW118" s="576"/>
      <c r="DX118" s="577"/>
      <c r="DY118" s="577"/>
      <c r="DZ118" s="577"/>
      <c r="EA118" s="577"/>
      <c r="EB118" s="577"/>
      <c r="EC118" s="577"/>
      <c r="ED118" s="577"/>
      <c r="EE118" s="577"/>
      <c r="EF118" s="577"/>
      <c r="EG118" s="577"/>
      <c r="EH118" s="8">
        <v>66</v>
      </c>
    </row>
    <row r="119" spans="1:139" x14ac:dyDescent="0.25">
      <c r="A119" s="16">
        <v>115</v>
      </c>
      <c r="B119" s="526" t="s">
        <v>40</v>
      </c>
      <c r="C119" s="526"/>
      <c r="D119" s="19" t="s">
        <v>57</v>
      </c>
      <c r="E119" s="19" t="s">
        <v>75</v>
      </c>
      <c r="F119" s="19" t="s">
        <v>8</v>
      </c>
      <c r="G119" s="19" t="s">
        <v>837</v>
      </c>
      <c r="H119" s="539">
        <v>-99</v>
      </c>
      <c r="I119" s="539">
        <v>-99</v>
      </c>
      <c r="J119" s="539">
        <v>-99</v>
      </c>
      <c r="K119" s="539">
        <v>-99</v>
      </c>
      <c r="L119" s="539">
        <v>-99</v>
      </c>
      <c r="M119" s="539">
        <v>-99</v>
      </c>
      <c r="N119" s="539">
        <v>-99</v>
      </c>
      <c r="O119" s="539">
        <v>-99</v>
      </c>
      <c r="P119" s="539">
        <v>-99</v>
      </c>
      <c r="Q119" s="539">
        <v>-99</v>
      </c>
      <c r="R119" s="539">
        <v>-99</v>
      </c>
      <c r="S119" s="539">
        <v>-99</v>
      </c>
      <c r="T119" s="539">
        <v>-99</v>
      </c>
      <c r="U119" s="539">
        <v>-99</v>
      </c>
      <c r="V119" s="539">
        <v>-99</v>
      </c>
      <c r="W119" s="539">
        <v>-99</v>
      </c>
      <c r="X119" s="539">
        <v>-99</v>
      </c>
      <c r="Y119" s="539">
        <v>-99</v>
      </c>
      <c r="Z119" s="539">
        <v>-99</v>
      </c>
      <c r="AA119" s="539">
        <v>-99</v>
      </c>
      <c r="AB119" s="539">
        <v>-99</v>
      </c>
      <c r="AC119" s="539">
        <v>-99</v>
      </c>
      <c r="AD119" s="539">
        <v>-99</v>
      </c>
      <c r="AE119" s="539">
        <v>-99</v>
      </c>
      <c r="AF119" s="539">
        <v>-99</v>
      </c>
      <c r="AG119" s="539">
        <v>-99</v>
      </c>
      <c r="AH119" s="540">
        <v>-99</v>
      </c>
      <c r="AI119" s="539">
        <v>-99</v>
      </c>
      <c r="AJ119" s="540">
        <v>-99</v>
      </c>
      <c r="AK119" s="539">
        <v>-99</v>
      </c>
      <c r="AL119" s="539">
        <v>-99</v>
      </c>
      <c r="AM119" s="540">
        <v>-99</v>
      </c>
      <c r="AN119" s="539">
        <v>-99</v>
      </c>
      <c r="AO119" s="540">
        <v>-99</v>
      </c>
      <c r="AP119" s="541">
        <v>-99</v>
      </c>
      <c r="AQ119" s="539">
        <v>-99</v>
      </c>
      <c r="AR119" s="540">
        <v>-99</v>
      </c>
      <c r="AS119" s="539">
        <v>-99</v>
      </c>
      <c r="AT119" s="540">
        <v>-99</v>
      </c>
      <c r="AU119" s="539">
        <v>-99</v>
      </c>
      <c r="AV119" s="540">
        <v>-99</v>
      </c>
      <c r="AW119" s="540">
        <v>-99</v>
      </c>
      <c r="AX119" s="540">
        <v>-99</v>
      </c>
      <c r="AY119" s="540">
        <v>-99</v>
      </c>
      <c r="AZ119" s="539">
        <v>-99</v>
      </c>
      <c r="BA119" s="539">
        <v>-99</v>
      </c>
      <c r="BB119" s="540">
        <v>-99</v>
      </c>
      <c r="BC119" s="539">
        <v>-99</v>
      </c>
      <c r="BD119" s="540">
        <v>-99</v>
      </c>
      <c r="BE119" s="541">
        <v>-99</v>
      </c>
      <c r="BF119" s="557"/>
      <c r="BG119" s="612"/>
      <c r="BH119" s="612">
        <v>-99</v>
      </c>
      <c r="BI119" s="576"/>
      <c r="BJ119" s="576"/>
      <c r="BK119" s="576"/>
      <c r="BL119" s="576"/>
      <c r="BM119" s="568">
        <v>-99</v>
      </c>
      <c r="BN119" s="545">
        <v>-99</v>
      </c>
      <c r="BO119" s="576"/>
      <c r="BP119" s="576"/>
      <c r="BQ119" s="576"/>
      <c r="BR119" s="640"/>
      <c r="BS119" s="547" t="s">
        <v>188</v>
      </c>
      <c r="BT119" s="549" t="s">
        <v>188</v>
      </c>
      <c r="BU119" s="549" t="s">
        <v>188</v>
      </c>
      <c r="BV119" s="549" t="s">
        <v>188</v>
      </c>
      <c r="BW119" s="549" t="s">
        <v>188</v>
      </c>
      <c r="BX119" s="549" t="s">
        <v>188</v>
      </c>
      <c r="BY119" s="549" t="s">
        <v>188</v>
      </c>
      <c r="BZ119" s="549" t="s">
        <v>188</v>
      </c>
      <c r="CA119" s="549" t="s">
        <v>188</v>
      </c>
      <c r="CB119" s="549" t="s">
        <v>188</v>
      </c>
      <c r="CC119" s="549" t="s">
        <v>188</v>
      </c>
      <c r="CD119" s="662"/>
      <c r="CE119" s="661" t="s">
        <v>188</v>
      </c>
      <c r="CF119" s="662" t="s">
        <v>188</v>
      </c>
      <c r="CG119" s="662" t="s">
        <v>188</v>
      </c>
      <c r="CH119" s="662" t="s">
        <v>188</v>
      </c>
      <c r="CI119" s="662" t="s">
        <v>188</v>
      </c>
      <c r="CJ119" s="662" t="s">
        <v>188</v>
      </c>
      <c r="CK119" s="662" t="s">
        <v>188</v>
      </c>
      <c r="CL119" s="662" t="s">
        <v>188</v>
      </c>
      <c r="CM119" s="662" t="s">
        <v>188</v>
      </c>
      <c r="CN119" s="662" t="s">
        <v>188</v>
      </c>
      <c r="CO119" s="640"/>
      <c r="CP119" s="640"/>
      <c r="CQ119" s="640"/>
      <c r="CR119" s="640"/>
      <c r="CS119" s="640"/>
      <c r="CT119" s="640"/>
      <c r="CU119" s="640"/>
      <c r="CV119" s="640"/>
      <c r="CW119" s="640"/>
      <c r="CX119" s="640"/>
      <c r="CY119" s="640"/>
      <c r="CZ119" s="640"/>
      <c r="DA119" s="640"/>
      <c r="DB119" s="640"/>
      <c r="DC119" s="640"/>
      <c r="DD119" s="640"/>
      <c r="DE119" s="640"/>
      <c r="DF119" s="640"/>
      <c r="DG119" s="640"/>
      <c r="DH119" s="640"/>
      <c r="DI119" s="576"/>
      <c r="DJ119" s="576"/>
      <c r="DK119" s="576"/>
      <c r="DL119" s="576"/>
      <c r="DM119" s="576"/>
      <c r="DN119" s="576"/>
      <c r="DO119" s="576"/>
      <c r="DP119" s="576"/>
      <c r="DQ119" s="576"/>
      <c r="DR119" s="576"/>
      <c r="DS119" s="576"/>
      <c r="DT119" s="576"/>
      <c r="DU119" s="576"/>
      <c r="DV119" s="576"/>
      <c r="DW119" s="576"/>
      <c r="DX119" s="577"/>
      <c r="DY119" s="577"/>
      <c r="DZ119" s="577"/>
      <c r="EA119" s="577"/>
      <c r="EB119" s="577"/>
      <c r="EC119" s="577"/>
      <c r="ED119" s="577"/>
      <c r="EE119" s="577"/>
      <c r="EF119" s="577"/>
      <c r="EG119" s="577"/>
      <c r="EH119" s="8">
        <v>33</v>
      </c>
    </row>
    <row r="120" spans="1:139" s="14" customFormat="1" x14ac:dyDescent="0.25">
      <c r="A120" s="16">
        <v>116</v>
      </c>
      <c r="B120" s="19" t="s">
        <v>728</v>
      </c>
      <c r="C120" s="19"/>
      <c r="D120" s="19" t="s">
        <v>57</v>
      </c>
      <c r="E120" s="19" t="s">
        <v>75</v>
      </c>
      <c r="F120" s="19" t="s">
        <v>8</v>
      </c>
      <c r="G120" s="19" t="s">
        <v>837</v>
      </c>
      <c r="H120" s="539">
        <v>-99</v>
      </c>
      <c r="I120" s="539">
        <v>-99</v>
      </c>
      <c r="J120" s="539">
        <v>-99</v>
      </c>
      <c r="K120" s="539">
        <v>-99</v>
      </c>
      <c r="L120" s="539">
        <v>-99</v>
      </c>
      <c r="M120" s="539">
        <v>-99</v>
      </c>
      <c r="N120" s="539">
        <v>-99</v>
      </c>
      <c r="O120" s="539">
        <v>-99</v>
      </c>
      <c r="P120" s="539">
        <v>-99</v>
      </c>
      <c r="Q120" s="539">
        <v>-99</v>
      </c>
      <c r="R120" s="539">
        <v>-99</v>
      </c>
      <c r="S120" s="539">
        <v>-99</v>
      </c>
      <c r="T120" s="539">
        <v>-99</v>
      </c>
      <c r="U120" s="539">
        <v>-99</v>
      </c>
      <c r="V120" s="539">
        <v>-99</v>
      </c>
      <c r="W120" s="539">
        <v>-99</v>
      </c>
      <c r="X120" s="539">
        <v>-99</v>
      </c>
      <c r="Y120" s="539">
        <v>-99</v>
      </c>
      <c r="Z120" s="539">
        <v>-99</v>
      </c>
      <c r="AA120" s="539">
        <v>-99</v>
      </c>
      <c r="AB120" s="539">
        <v>-99</v>
      </c>
      <c r="AC120" s="539">
        <v>-99</v>
      </c>
      <c r="AD120" s="539">
        <v>-99</v>
      </c>
      <c r="AE120" s="539">
        <v>-99</v>
      </c>
      <c r="AF120" s="539">
        <v>-99</v>
      </c>
      <c r="AG120" s="539">
        <v>-99</v>
      </c>
      <c r="AH120" s="540">
        <v>-99</v>
      </c>
      <c r="AI120" s="539">
        <v>-99</v>
      </c>
      <c r="AJ120" s="540">
        <v>-99</v>
      </c>
      <c r="AK120" s="539">
        <v>-99</v>
      </c>
      <c r="AL120" s="539">
        <v>-99</v>
      </c>
      <c r="AM120" s="540">
        <v>-99</v>
      </c>
      <c r="AN120" s="539">
        <v>-99</v>
      </c>
      <c r="AO120" s="540">
        <v>-99</v>
      </c>
      <c r="AP120" s="541">
        <v>-99</v>
      </c>
      <c r="AQ120" s="539">
        <v>-99</v>
      </c>
      <c r="AR120" s="540">
        <v>-99</v>
      </c>
      <c r="AS120" s="539">
        <v>-99</v>
      </c>
      <c r="AT120" s="540">
        <v>-99</v>
      </c>
      <c r="AU120" s="539">
        <v>-99</v>
      </c>
      <c r="AV120" s="540">
        <v>-99</v>
      </c>
      <c r="AW120" s="540">
        <v>-99</v>
      </c>
      <c r="AX120" s="540">
        <v>-99</v>
      </c>
      <c r="AY120" s="540">
        <v>-99</v>
      </c>
      <c r="AZ120" s="539">
        <v>-99</v>
      </c>
      <c r="BA120" s="539">
        <v>-99</v>
      </c>
      <c r="BB120" s="540">
        <v>-99</v>
      </c>
      <c r="BC120" s="539">
        <v>-99</v>
      </c>
      <c r="BD120" s="540">
        <v>-99</v>
      </c>
      <c r="BE120" s="541">
        <v>-99</v>
      </c>
      <c r="BF120" s="542"/>
      <c r="BG120" s="612"/>
      <c r="BH120" s="612">
        <v>-99</v>
      </c>
      <c r="BI120" s="641"/>
      <c r="BJ120" s="641"/>
      <c r="BK120" s="641"/>
      <c r="BL120" s="641"/>
      <c r="BM120" s="545">
        <v>-99</v>
      </c>
      <c r="BN120" s="545">
        <v>-99</v>
      </c>
      <c r="BO120" s="641"/>
      <c r="BP120" s="641"/>
      <c r="BQ120" s="641"/>
      <c r="BR120" s="640"/>
      <c r="BS120" s="547" t="s">
        <v>188</v>
      </c>
      <c r="BT120" s="549" t="s">
        <v>188</v>
      </c>
      <c r="BU120" s="549" t="s">
        <v>188</v>
      </c>
      <c r="BV120" s="549" t="s">
        <v>188</v>
      </c>
      <c r="BW120" s="549" t="s">
        <v>188</v>
      </c>
      <c r="BX120" s="549" t="s">
        <v>188</v>
      </c>
      <c r="BY120" s="549" t="s">
        <v>188</v>
      </c>
      <c r="BZ120" s="549" t="s">
        <v>188</v>
      </c>
      <c r="CA120" s="549" t="s">
        <v>188</v>
      </c>
      <c r="CB120" s="549" t="s">
        <v>188</v>
      </c>
      <c r="CC120" s="549" t="s">
        <v>188</v>
      </c>
      <c r="CD120" s="662"/>
      <c r="CE120" s="661" t="s">
        <v>188</v>
      </c>
      <c r="CF120" s="662" t="s">
        <v>188</v>
      </c>
      <c r="CG120" s="662" t="s">
        <v>188</v>
      </c>
      <c r="CH120" s="662" t="s">
        <v>188</v>
      </c>
      <c r="CI120" s="662" t="s">
        <v>188</v>
      </c>
      <c r="CJ120" s="662" t="s">
        <v>188</v>
      </c>
      <c r="CK120" s="662" t="s">
        <v>188</v>
      </c>
      <c r="CL120" s="662" t="s">
        <v>188</v>
      </c>
      <c r="CM120" s="662" t="s">
        <v>188</v>
      </c>
      <c r="CN120" s="662" t="s">
        <v>188</v>
      </c>
      <c r="CO120" s="640"/>
      <c r="CP120" s="640"/>
      <c r="CQ120" s="640"/>
      <c r="CR120" s="640"/>
      <c r="CS120" s="640"/>
      <c r="CT120" s="640"/>
      <c r="CU120" s="640"/>
      <c r="CV120" s="640"/>
      <c r="CW120" s="640"/>
      <c r="CX120" s="640"/>
      <c r="CY120" s="640"/>
      <c r="CZ120" s="640"/>
      <c r="DA120" s="640"/>
      <c r="DB120" s="640"/>
      <c r="DC120" s="640"/>
      <c r="DD120" s="640"/>
      <c r="DE120" s="640"/>
      <c r="DF120" s="640"/>
      <c r="DG120" s="640"/>
      <c r="DH120" s="640"/>
      <c r="DI120" s="641"/>
      <c r="DJ120" s="641"/>
      <c r="DK120" s="641"/>
      <c r="DL120" s="641"/>
      <c r="DM120" s="641"/>
      <c r="DN120" s="641"/>
      <c r="DO120" s="641"/>
      <c r="DP120" s="641"/>
      <c r="DQ120" s="641"/>
      <c r="DR120" s="641"/>
      <c r="DS120" s="641"/>
      <c r="DT120" s="641"/>
      <c r="DU120" s="641"/>
      <c r="DV120" s="641"/>
      <c r="DW120" s="641"/>
      <c r="DX120" s="607"/>
      <c r="DY120" s="607"/>
      <c r="DZ120" s="607"/>
      <c r="EA120" s="607"/>
      <c r="EB120" s="607"/>
      <c r="EC120" s="607"/>
      <c r="ED120" s="607"/>
      <c r="EE120" s="607"/>
      <c r="EF120" s="607"/>
      <c r="EG120" s="607"/>
      <c r="EH120" s="8">
        <v>18</v>
      </c>
      <c r="EI120" s="360"/>
    </row>
    <row r="121" spans="1:139" s="14" customFormat="1" x14ac:dyDescent="0.25">
      <c r="A121" s="16">
        <v>117</v>
      </c>
      <c r="B121" s="19" t="s">
        <v>727</v>
      </c>
      <c r="C121" s="19"/>
      <c r="D121" s="19" t="s">
        <v>57</v>
      </c>
      <c r="E121" s="19" t="s">
        <v>75</v>
      </c>
      <c r="F121" s="19" t="s">
        <v>8</v>
      </c>
      <c r="G121" s="19" t="s">
        <v>837</v>
      </c>
      <c r="H121" s="539">
        <v>-99</v>
      </c>
      <c r="I121" s="539">
        <v>-99</v>
      </c>
      <c r="J121" s="539">
        <v>-99</v>
      </c>
      <c r="K121" s="539">
        <v>-99</v>
      </c>
      <c r="L121" s="539">
        <v>-99</v>
      </c>
      <c r="M121" s="539">
        <v>-99</v>
      </c>
      <c r="N121" s="539">
        <v>-99</v>
      </c>
      <c r="O121" s="539">
        <v>-99</v>
      </c>
      <c r="P121" s="539">
        <v>-99</v>
      </c>
      <c r="Q121" s="539">
        <v>-99</v>
      </c>
      <c r="R121" s="539">
        <v>-99</v>
      </c>
      <c r="S121" s="539">
        <v>-99</v>
      </c>
      <c r="T121" s="539">
        <v>-99</v>
      </c>
      <c r="U121" s="539">
        <v>-99</v>
      </c>
      <c r="V121" s="539">
        <v>-99</v>
      </c>
      <c r="W121" s="539">
        <v>-99</v>
      </c>
      <c r="X121" s="539">
        <v>-99</v>
      </c>
      <c r="Y121" s="539">
        <v>-99</v>
      </c>
      <c r="Z121" s="539">
        <v>-99</v>
      </c>
      <c r="AA121" s="539">
        <v>-99</v>
      </c>
      <c r="AB121" s="539">
        <v>-99</v>
      </c>
      <c r="AC121" s="539">
        <v>-99</v>
      </c>
      <c r="AD121" s="539">
        <v>-99</v>
      </c>
      <c r="AE121" s="539">
        <v>-99</v>
      </c>
      <c r="AF121" s="539">
        <v>-99</v>
      </c>
      <c r="AG121" s="539">
        <v>-99</v>
      </c>
      <c r="AH121" s="540">
        <v>-99</v>
      </c>
      <c r="AI121" s="539">
        <v>-99</v>
      </c>
      <c r="AJ121" s="540">
        <v>-99</v>
      </c>
      <c r="AK121" s="539">
        <v>-99</v>
      </c>
      <c r="AL121" s="539">
        <v>-99</v>
      </c>
      <c r="AM121" s="540">
        <v>-99</v>
      </c>
      <c r="AN121" s="539">
        <v>-99</v>
      </c>
      <c r="AO121" s="540">
        <v>-99</v>
      </c>
      <c r="AP121" s="541">
        <v>-99</v>
      </c>
      <c r="AQ121" s="539">
        <v>-99</v>
      </c>
      <c r="AR121" s="540">
        <v>-99</v>
      </c>
      <c r="AS121" s="539">
        <v>-99</v>
      </c>
      <c r="AT121" s="540">
        <v>-99</v>
      </c>
      <c r="AU121" s="539">
        <v>-99</v>
      </c>
      <c r="AV121" s="540">
        <v>-99</v>
      </c>
      <c r="AW121" s="540">
        <v>-99</v>
      </c>
      <c r="AX121" s="540">
        <v>-99</v>
      </c>
      <c r="AY121" s="540">
        <v>-99</v>
      </c>
      <c r="AZ121" s="539">
        <v>-99</v>
      </c>
      <c r="BA121" s="539">
        <v>-99</v>
      </c>
      <c r="BB121" s="540">
        <v>-99</v>
      </c>
      <c r="BC121" s="539">
        <v>-99</v>
      </c>
      <c r="BD121" s="540">
        <v>-99</v>
      </c>
      <c r="BE121" s="541">
        <v>-99</v>
      </c>
      <c r="BF121" s="612"/>
      <c r="BG121" s="612"/>
      <c r="BH121" s="612">
        <v>-99</v>
      </c>
      <c r="BI121" s="576"/>
      <c r="BJ121" s="576"/>
      <c r="BK121" s="576"/>
      <c r="BL121" s="576"/>
      <c r="BM121" s="545">
        <v>-99</v>
      </c>
      <c r="BN121" s="545">
        <v>-99</v>
      </c>
      <c r="BO121" s="576"/>
      <c r="BP121" s="576"/>
      <c r="BQ121" s="576"/>
      <c r="BR121" s="570"/>
      <c r="BS121" s="547" t="s">
        <v>188</v>
      </c>
      <c r="BT121" s="549" t="s">
        <v>188</v>
      </c>
      <c r="BU121" s="549" t="s">
        <v>188</v>
      </c>
      <c r="BV121" s="549" t="s">
        <v>188</v>
      </c>
      <c r="BW121" s="549" t="s">
        <v>188</v>
      </c>
      <c r="BX121" s="549" t="s">
        <v>188</v>
      </c>
      <c r="BY121" s="549" t="s">
        <v>188</v>
      </c>
      <c r="BZ121" s="549" t="s">
        <v>188</v>
      </c>
      <c r="CA121" s="549" t="s">
        <v>188</v>
      </c>
      <c r="CB121" s="549" t="s">
        <v>188</v>
      </c>
      <c r="CC121" s="549" t="s">
        <v>188</v>
      </c>
      <c r="CD121" s="662"/>
      <c r="CE121" s="661" t="s">
        <v>188</v>
      </c>
      <c r="CF121" s="662" t="s">
        <v>188</v>
      </c>
      <c r="CG121" s="662" t="s">
        <v>188</v>
      </c>
      <c r="CH121" s="662" t="s">
        <v>188</v>
      </c>
      <c r="CI121" s="662" t="s">
        <v>188</v>
      </c>
      <c r="CJ121" s="662" t="s">
        <v>188</v>
      </c>
      <c r="CK121" s="662" t="s">
        <v>188</v>
      </c>
      <c r="CL121" s="662" t="s">
        <v>188</v>
      </c>
      <c r="CM121" s="662" t="s">
        <v>188</v>
      </c>
      <c r="CN121" s="662" t="s">
        <v>188</v>
      </c>
      <c r="CO121" s="616"/>
      <c r="CP121" s="616"/>
      <c r="CQ121" s="616"/>
      <c r="CR121" s="616"/>
      <c r="CS121" s="616"/>
      <c r="CT121" s="616"/>
      <c r="CU121" s="616"/>
      <c r="CV121" s="616"/>
      <c r="CW121" s="616"/>
      <c r="CX121" s="616"/>
      <c r="CY121" s="616"/>
      <c r="CZ121" s="616"/>
      <c r="DA121" s="616"/>
      <c r="DB121" s="616"/>
      <c r="DC121" s="640"/>
      <c r="DD121" s="640"/>
      <c r="DE121" s="640"/>
      <c r="DF121" s="640"/>
      <c r="DG121" s="640"/>
      <c r="DH121" s="640"/>
      <c r="DI121" s="576"/>
      <c r="DJ121" s="576"/>
      <c r="DK121" s="576"/>
      <c r="DL121" s="576"/>
      <c r="DM121" s="576"/>
      <c r="DN121" s="576"/>
      <c r="DO121" s="576"/>
      <c r="DP121" s="576"/>
      <c r="DQ121" s="576"/>
      <c r="DR121" s="576"/>
      <c r="DS121" s="576"/>
      <c r="DT121" s="576"/>
      <c r="DU121" s="576"/>
      <c r="DV121" s="576"/>
      <c r="DW121" s="576"/>
      <c r="DX121" s="577"/>
      <c r="DY121" s="577"/>
      <c r="DZ121" s="577"/>
      <c r="EA121" s="577"/>
      <c r="EB121" s="577"/>
      <c r="EC121" s="577"/>
      <c r="ED121" s="577"/>
      <c r="EE121" s="577"/>
      <c r="EF121" s="577"/>
      <c r="EG121" s="577"/>
      <c r="EH121" s="8">
        <v>17</v>
      </c>
      <c r="EI121" s="360"/>
    </row>
    <row r="122" spans="1:139" s="14" customFormat="1" x14ac:dyDescent="0.25">
      <c r="A122" s="16">
        <v>118</v>
      </c>
      <c r="B122" s="19" t="s">
        <v>726</v>
      </c>
      <c r="C122" s="19"/>
      <c r="D122" s="19" t="s">
        <v>57</v>
      </c>
      <c r="E122" s="19" t="s">
        <v>75</v>
      </c>
      <c r="F122" s="19" t="s">
        <v>8</v>
      </c>
      <c r="G122" s="19" t="s">
        <v>837</v>
      </c>
      <c r="H122" s="539">
        <v>-99</v>
      </c>
      <c r="I122" s="539">
        <v>-99</v>
      </c>
      <c r="J122" s="539">
        <v>-99</v>
      </c>
      <c r="K122" s="539">
        <v>-99</v>
      </c>
      <c r="L122" s="539">
        <v>-99</v>
      </c>
      <c r="M122" s="539">
        <v>-99</v>
      </c>
      <c r="N122" s="539">
        <v>-99</v>
      </c>
      <c r="O122" s="539">
        <v>-99</v>
      </c>
      <c r="P122" s="539">
        <v>-99</v>
      </c>
      <c r="Q122" s="539">
        <v>-99</v>
      </c>
      <c r="R122" s="539">
        <v>-99</v>
      </c>
      <c r="S122" s="539">
        <v>-99</v>
      </c>
      <c r="T122" s="539">
        <v>-99</v>
      </c>
      <c r="U122" s="539">
        <v>-99</v>
      </c>
      <c r="V122" s="539">
        <v>-99</v>
      </c>
      <c r="W122" s="539">
        <v>-99</v>
      </c>
      <c r="X122" s="539">
        <v>-99</v>
      </c>
      <c r="Y122" s="539">
        <v>-99</v>
      </c>
      <c r="Z122" s="539">
        <v>-99</v>
      </c>
      <c r="AA122" s="539">
        <v>-99</v>
      </c>
      <c r="AB122" s="539">
        <v>-99</v>
      </c>
      <c r="AC122" s="539">
        <v>-99</v>
      </c>
      <c r="AD122" s="539">
        <v>-99</v>
      </c>
      <c r="AE122" s="539">
        <v>-99</v>
      </c>
      <c r="AF122" s="539">
        <v>-99</v>
      </c>
      <c r="AG122" s="539">
        <v>-99</v>
      </c>
      <c r="AH122" s="540">
        <v>-99</v>
      </c>
      <c r="AI122" s="539">
        <v>-99</v>
      </c>
      <c r="AJ122" s="540">
        <v>-99</v>
      </c>
      <c r="AK122" s="539">
        <v>-99</v>
      </c>
      <c r="AL122" s="539">
        <v>-99</v>
      </c>
      <c r="AM122" s="540">
        <v>-99</v>
      </c>
      <c r="AN122" s="539">
        <v>-99</v>
      </c>
      <c r="AO122" s="540">
        <v>-99</v>
      </c>
      <c r="AP122" s="541">
        <v>-99</v>
      </c>
      <c r="AQ122" s="539">
        <v>-99</v>
      </c>
      <c r="AR122" s="540">
        <v>-99</v>
      </c>
      <c r="AS122" s="539">
        <v>-99</v>
      </c>
      <c r="AT122" s="540">
        <v>-99</v>
      </c>
      <c r="AU122" s="539">
        <v>-99</v>
      </c>
      <c r="AV122" s="540">
        <v>-99</v>
      </c>
      <c r="AW122" s="540">
        <v>-99</v>
      </c>
      <c r="AX122" s="540">
        <v>-99</v>
      </c>
      <c r="AY122" s="540">
        <v>-99</v>
      </c>
      <c r="AZ122" s="539">
        <v>-99</v>
      </c>
      <c r="BA122" s="539">
        <v>-99</v>
      </c>
      <c r="BB122" s="540">
        <v>-99</v>
      </c>
      <c r="BC122" s="539">
        <v>-99</v>
      </c>
      <c r="BD122" s="540">
        <v>-99</v>
      </c>
      <c r="BE122" s="541">
        <v>-99</v>
      </c>
      <c r="BF122" s="612"/>
      <c r="BG122" s="612"/>
      <c r="BH122" s="612">
        <v>-99</v>
      </c>
      <c r="BI122" s="576"/>
      <c r="BJ122" s="576"/>
      <c r="BK122" s="576"/>
      <c r="BL122" s="576"/>
      <c r="BM122" s="545">
        <v>-99</v>
      </c>
      <c r="BN122" s="545">
        <v>-99</v>
      </c>
      <c r="BO122" s="576"/>
      <c r="BP122" s="576"/>
      <c r="BQ122" s="576"/>
      <c r="BR122" s="570"/>
      <c r="BS122" s="547" t="s">
        <v>188</v>
      </c>
      <c r="BT122" s="549" t="s">
        <v>188</v>
      </c>
      <c r="BU122" s="549" t="s">
        <v>188</v>
      </c>
      <c r="BV122" s="549" t="s">
        <v>188</v>
      </c>
      <c r="BW122" s="549" t="s">
        <v>188</v>
      </c>
      <c r="BX122" s="549" t="s">
        <v>188</v>
      </c>
      <c r="BY122" s="549" t="s">
        <v>188</v>
      </c>
      <c r="BZ122" s="549" t="s">
        <v>188</v>
      </c>
      <c r="CA122" s="549" t="s">
        <v>188</v>
      </c>
      <c r="CB122" s="549" t="s">
        <v>188</v>
      </c>
      <c r="CC122" s="549" t="s">
        <v>188</v>
      </c>
      <c r="CD122" s="662"/>
      <c r="CE122" s="661" t="s">
        <v>188</v>
      </c>
      <c r="CF122" s="662" t="s">
        <v>188</v>
      </c>
      <c r="CG122" s="662" t="s">
        <v>188</v>
      </c>
      <c r="CH122" s="662" t="s">
        <v>188</v>
      </c>
      <c r="CI122" s="662" t="s">
        <v>188</v>
      </c>
      <c r="CJ122" s="662" t="s">
        <v>188</v>
      </c>
      <c r="CK122" s="662" t="s">
        <v>188</v>
      </c>
      <c r="CL122" s="662" t="s">
        <v>188</v>
      </c>
      <c r="CM122" s="662" t="s">
        <v>188</v>
      </c>
      <c r="CN122" s="662" t="s">
        <v>188</v>
      </c>
      <c r="CO122" s="616"/>
      <c r="CP122" s="616"/>
      <c r="CQ122" s="616"/>
      <c r="CR122" s="616"/>
      <c r="CS122" s="616"/>
      <c r="CT122" s="616"/>
      <c r="CU122" s="616"/>
      <c r="CV122" s="616"/>
      <c r="CW122" s="616"/>
      <c r="CX122" s="616"/>
      <c r="CY122" s="616"/>
      <c r="CZ122" s="616"/>
      <c r="DA122" s="616"/>
      <c r="DB122" s="616"/>
      <c r="DC122" s="640"/>
      <c r="DD122" s="640"/>
      <c r="DE122" s="640"/>
      <c r="DF122" s="640"/>
      <c r="DG122" s="640"/>
      <c r="DH122" s="640"/>
      <c r="DI122" s="576"/>
      <c r="DJ122" s="576"/>
      <c r="DK122" s="576"/>
      <c r="DL122" s="576"/>
      <c r="DM122" s="576"/>
      <c r="DN122" s="576"/>
      <c r="DO122" s="576"/>
      <c r="DP122" s="576"/>
      <c r="DQ122" s="576"/>
      <c r="DR122" s="576"/>
      <c r="DS122" s="576"/>
      <c r="DT122" s="576"/>
      <c r="DU122" s="576"/>
      <c r="DV122" s="576"/>
      <c r="DW122" s="576"/>
      <c r="DX122" s="577"/>
      <c r="DY122" s="577"/>
      <c r="DZ122" s="577"/>
      <c r="EA122" s="577"/>
      <c r="EB122" s="577"/>
      <c r="EC122" s="577"/>
      <c r="ED122" s="577"/>
      <c r="EE122" s="577"/>
      <c r="EF122" s="577"/>
      <c r="EG122" s="577"/>
      <c r="EH122" s="8">
        <v>6</v>
      </c>
      <c r="EI122" s="360"/>
    </row>
    <row r="123" spans="1:139" s="14" customFormat="1" x14ac:dyDescent="0.25">
      <c r="A123" s="16">
        <v>119</v>
      </c>
      <c r="B123" s="19" t="s">
        <v>42</v>
      </c>
      <c r="C123" s="19" t="s">
        <v>129</v>
      </c>
      <c r="D123" s="19" t="s">
        <v>54</v>
      </c>
      <c r="E123" s="19" t="s">
        <v>75</v>
      </c>
      <c r="F123" s="19" t="s">
        <v>8</v>
      </c>
      <c r="G123" s="19" t="s">
        <v>837</v>
      </c>
      <c r="H123" s="539">
        <v>-99</v>
      </c>
      <c r="I123" s="539">
        <v>-99</v>
      </c>
      <c r="J123" s="539">
        <v>-99</v>
      </c>
      <c r="K123" s="539">
        <v>5.7195024349907107E-2</v>
      </c>
      <c r="L123" s="539">
        <v>-99</v>
      </c>
      <c r="M123" s="539">
        <v>-99</v>
      </c>
      <c r="N123" s="539">
        <v>-99</v>
      </c>
      <c r="O123" s="539">
        <v>-99</v>
      </c>
      <c r="P123" s="539">
        <v>5.7945482166902602E-2</v>
      </c>
      <c r="Q123" s="539">
        <v>-99</v>
      </c>
      <c r="R123" s="539">
        <v>-99</v>
      </c>
      <c r="S123" s="539">
        <v>-99</v>
      </c>
      <c r="T123" s="539">
        <v>-99</v>
      </c>
      <c r="U123" s="539">
        <v>5.6629859530205766E-2</v>
      </c>
      <c r="V123" s="539">
        <v>-99</v>
      </c>
      <c r="W123" s="539">
        <v>-99</v>
      </c>
      <c r="X123" s="539">
        <v>-99</v>
      </c>
      <c r="Y123" s="539">
        <v>-99</v>
      </c>
      <c r="Z123" s="539">
        <v>-99</v>
      </c>
      <c r="AA123" s="539">
        <v>-99</v>
      </c>
      <c r="AB123" s="539">
        <v>-99</v>
      </c>
      <c r="AC123" s="539">
        <v>-99</v>
      </c>
      <c r="AD123" s="539">
        <v>-99</v>
      </c>
      <c r="AE123" s="539">
        <v>5.6376374716276774E-2</v>
      </c>
      <c r="AF123" s="539">
        <v>-99</v>
      </c>
      <c r="AG123" s="539">
        <v>-99</v>
      </c>
      <c r="AH123" s="540">
        <v>-99</v>
      </c>
      <c r="AI123" s="539">
        <v>-99</v>
      </c>
      <c r="AJ123" s="540">
        <v>6.1477262868794992E-2</v>
      </c>
      <c r="AK123" s="539">
        <v>-99</v>
      </c>
      <c r="AL123" s="539">
        <v>-99</v>
      </c>
      <c r="AM123" s="540">
        <v>-99</v>
      </c>
      <c r="AN123" s="539">
        <v>-99</v>
      </c>
      <c r="AO123" s="540">
        <v>6.2795635811207409E-2</v>
      </c>
      <c r="AP123" s="541">
        <v>-99</v>
      </c>
      <c r="AQ123" s="539">
        <v>-99</v>
      </c>
      <c r="AR123" s="540">
        <v>-99</v>
      </c>
      <c r="AS123" s="539">
        <v>-99</v>
      </c>
      <c r="AT123" s="540">
        <v>6.0711874052981778E-2</v>
      </c>
      <c r="AU123" s="539">
        <v>-99</v>
      </c>
      <c r="AV123" s="540">
        <v>-99</v>
      </c>
      <c r="AW123" s="540">
        <v>-99</v>
      </c>
      <c r="AX123" s="540">
        <v>-99</v>
      </c>
      <c r="AY123" s="540">
        <v>-99</v>
      </c>
      <c r="AZ123" s="539">
        <v>-99</v>
      </c>
      <c r="BA123" s="539">
        <v>-99</v>
      </c>
      <c r="BB123" s="540">
        <v>-99</v>
      </c>
      <c r="BC123" s="539">
        <v>-99</v>
      </c>
      <c r="BD123" s="540">
        <v>5.923067917975533E-2</v>
      </c>
      <c r="BE123" s="541">
        <v>-99</v>
      </c>
      <c r="BF123" s="612"/>
      <c r="BG123" s="541"/>
      <c r="BH123" s="612">
        <v>-99</v>
      </c>
      <c r="BI123" s="576"/>
      <c r="BJ123" s="576"/>
      <c r="BK123" s="576"/>
      <c r="BL123" s="576"/>
      <c r="BM123" s="545">
        <v>-99</v>
      </c>
      <c r="BN123" s="545">
        <v>-99</v>
      </c>
      <c r="BO123" s="576"/>
      <c r="BP123" s="576"/>
      <c r="BQ123" s="576"/>
      <c r="BR123" s="570"/>
      <c r="BS123" s="547" t="s">
        <v>188</v>
      </c>
      <c r="BT123" s="549" t="s">
        <v>188</v>
      </c>
      <c r="BU123" s="549" t="s">
        <v>188</v>
      </c>
      <c r="BV123" s="549" t="s">
        <v>188</v>
      </c>
      <c r="BW123" s="549" t="s">
        <v>188</v>
      </c>
      <c r="BX123" s="549" t="s">
        <v>188</v>
      </c>
      <c r="BY123" s="549" t="s">
        <v>188</v>
      </c>
      <c r="BZ123" s="549" t="s">
        <v>188</v>
      </c>
      <c r="CA123" s="549" t="s">
        <v>188</v>
      </c>
      <c r="CB123" s="549" t="s">
        <v>188</v>
      </c>
      <c r="CC123" s="549" t="s">
        <v>188</v>
      </c>
      <c r="CD123" s="662"/>
      <c r="CE123" s="661" t="s">
        <v>188</v>
      </c>
      <c r="CF123" s="662" t="s">
        <v>188</v>
      </c>
      <c r="CG123" s="662" t="s">
        <v>188</v>
      </c>
      <c r="CH123" s="662" t="s">
        <v>188</v>
      </c>
      <c r="CI123" s="662" t="s">
        <v>188</v>
      </c>
      <c r="CJ123" s="662" t="s">
        <v>188</v>
      </c>
      <c r="CK123" s="662" t="s">
        <v>188</v>
      </c>
      <c r="CL123" s="662" t="s">
        <v>188</v>
      </c>
      <c r="CM123" s="662" t="s">
        <v>188</v>
      </c>
      <c r="CN123" s="662" t="s">
        <v>188</v>
      </c>
      <c r="CO123" s="616"/>
      <c r="CP123" s="616"/>
      <c r="CQ123" s="616"/>
      <c r="CR123" s="616"/>
      <c r="CS123" s="616"/>
      <c r="CT123" s="616"/>
      <c r="CU123" s="616"/>
      <c r="CV123" s="616"/>
      <c r="CW123" s="616"/>
      <c r="CX123" s="616"/>
      <c r="CY123" s="616"/>
      <c r="CZ123" s="616"/>
      <c r="DA123" s="616"/>
      <c r="DB123" s="616"/>
      <c r="DC123" s="640"/>
      <c r="DD123" s="640"/>
      <c r="DE123" s="640"/>
      <c r="DF123" s="640"/>
      <c r="DG123" s="640"/>
      <c r="DH123" s="640"/>
      <c r="DI123" s="576"/>
      <c r="DJ123" s="576"/>
      <c r="DK123" s="576"/>
      <c r="DL123" s="576"/>
      <c r="DM123" s="576"/>
      <c r="DN123" s="576"/>
      <c r="DO123" s="576"/>
      <c r="DP123" s="576"/>
      <c r="DQ123" s="576"/>
      <c r="DR123" s="576"/>
      <c r="DS123" s="576"/>
      <c r="DT123" s="576"/>
      <c r="DU123" s="576"/>
      <c r="DV123" s="576"/>
      <c r="DW123" s="576"/>
      <c r="DX123" s="577"/>
      <c r="DY123" s="577"/>
      <c r="DZ123" s="577"/>
      <c r="EA123" s="577"/>
      <c r="EB123" s="577"/>
      <c r="EC123" s="577"/>
      <c r="ED123" s="577"/>
      <c r="EE123" s="577"/>
      <c r="EF123" s="577"/>
      <c r="EG123" s="577"/>
      <c r="EH123" s="8">
        <v>129</v>
      </c>
      <c r="EI123" s="360"/>
    </row>
    <row r="124" spans="1:139" s="14" customFormat="1" x14ac:dyDescent="0.25">
      <c r="A124" s="16">
        <v>120</v>
      </c>
      <c r="B124" s="19" t="s">
        <v>725</v>
      </c>
      <c r="C124" s="19"/>
      <c r="D124" s="19" t="s">
        <v>54</v>
      </c>
      <c r="E124" s="19" t="s">
        <v>75</v>
      </c>
      <c r="F124" s="19" t="s">
        <v>8</v>
      </c>
      <c r="G124" s="19" t="s">
        <v>837</v>
      </c>
      <c r="H124" s="539">
        <v>-99</v>
      </c>
      <c r="I124" s="539">
        <v>-99</v>
      </c>
      <c r="J124" s="539">
        <v>-99</v>
      </c>
      <c r="K124" s="539">
        <v>-99</v>
      </c>
      <c r="L124" s="539">
        <v>-99</v>
      </c>
      <c r="M124" s="539">
        <v>-99</v>
      </c>
      <c r="N124" s="539">
        <v>-99</v>
      </c>
      <c r="O124" s="539">
        <v>-99</v>
      </c>
      <c r="P124" s="539">
        <v>-99</v>
      </c>
      <c r="Q124" s="539">
        <v>-99</v>
      </c>
      <c r="R124" s="539">
        <v>-99</v>
      </c>
      <c r="S124" s="539">
        <v>-99</v>
      </c>
      <c r="T124" s="539">
        <v>-99</v>
      </c>
      <c r="U124" s="539">
        <v>-99</v>
      </c>
      <c r="V124" s="539">
        <v>-99</v>
      </c>
      <c r="W124" s="539">
        <v>-99</v>
      </c>
      <c r="X124" s="539">
        <v>-99</v>
      </c>
      <c r="Y124" s="539">
        <v>-99</v>
      </c>
      <c r="Z124" s="539">
        <v>-99</v>
      </c>
      <c r="AA124" s="539">
        <v>-99</v>
      </c>
      <c r="AB124" s="539">
        <v>-99</v>
      </c>
      <c r="AC124" s="539">
        <v>-99</v>
      </c>
      <c r="AD124" s="539">
        <v>-99</v>
      </c>
      <c r="AE124" s="539">
        <v>-99</v>
      </c>
      <c r="AF124" s="539">
        <v>-99</v>
      </c>
      <c r="AG124" s="539">
        <v>-99</v>
      </c>
      <c r="AH124" s="540">
        <v>-99</v>
      </c>
      <c r="AI124" s="539">
        <v>-99</v>
      </c>
      <c r="AJ124" s="540">
        <v>-99</v>
      </c>
      <c r="AK124" s="539">
        <v>-99</v>
      </c>
      <c r="AL124" s="539">
        <v>-99</v>
      </c>
      <c r="AM124" s="540">
        <v>-99</v>
      </c>
      <c r="AN124" s="539">
        <v>-99</v>
      </c>
      <c r="AO124" s="540">
        <v>-99</v>
      </c>
      <c r="AP124" s="541">
        <v>-99</v>
      </c>
      <c r="AQ124" s="539">
        <v>-99</v>
      </c>
      <c r="AR124" s="540">
        <v>-99</v>
      </c>
      <c r="AS124" s="539">
        <v>-99</v>
      </c>
      <c r="AT124" s="540">
        <v>-99</v>
      </c>
      <c r="AU124" s="539">
        <v>-99</v>
      </c>
      <c r="AV124" s="540">
        <v>-99</v>
      </c>
      <c r="AW124" s="540">
        <v>-99</v>
      </c>
      <c r="AX124" s="540">
        <v>-99</v>
      </c>
      <c r="AY124" s="540">
        <v>-99</v>
      </c>
      <c r="AZ124" s="539">
        <v>-99</v>
      </c>
      <c r="BA124" s="539">
        <v>-99</v>
      </c>
      <c r="BB124" s="540">
        <v>-99</v>
      </c>
      <c r="BC124" s="539">
        <v>-99</v>
      </c>
      <c r="BD124" s="540">
        <v>-99</v>
      </c>
      <c r="BE124" s="541">
        <v>-99</v>
      </c>
      <c r="BF124" s="584"/>
      <c r="BG124" s="612"/>
      <c r="BH124" s="584">
        <v>-99</v>
      </c>
      <c r="BI124" s="576"/>
      <c r="BJ124" s="576"/>
      <c r="BK124" s="576"/>
      <c r="BL124" s="576"/>
      <c r="BM124" s="545">
        <v>-99</v>
      </c>
      <c r="BN124" s="545">
        <v>-99</v>
      </c>
      <c r="BO124" s="576"/>
      <c r="BP124" s="576"/>
      <c r="BQ124" s="576"/>
      <c r="BR124" s="570"/>
      <c r="BS124" s="547" t="s">
        <v>188</v>
      </c>
      <c r="BT124" s="549" t="s">
        <v>188</v>
      </c>
      <c r="BU124" s="549" t="s">
        <v>188</v>
      </c>
      <c r="BV124" s="549" t="s">
        <v>188</v>
      </c>
      <c r="BW124" s="549" t="s">
        <v>188</v>
      </c>
      <c r="BX124" s="549" t="s">
        <v>188</v>
      </c>
      <c r="BY124" s="549" t="s">
        <v>188</v>
      </c>
      <c r="BZ124" s="549" t="s">
        <v>188</v>
      </c>
      <c r="CA124" s="549" t="s">
        <v>188</v>
      </c>
      <c r="CB124" s="549" t="s">
        <v>188</v>
      </c>
      <c r="CC124" s="549" t="s">
        <v>188</v>
      </c>
      <c r="CD124" s="662"/>
      <c r="CE124" s="661" t="s">
        <v>188</v>
      </c>
      <c r="CF124" s="662" t="s">
        <v>188</v>
      </c>
      <c r="CG124" s="662" t="s">
        <v>188</v>
      </c>
      <c r="CH124" s="662" t="s">
        <v>188</v>
      </c>
      <c r="CI124" s="662" t="s">
        <v>188</v>
      </c>
      <c r="CJ124" s="662" t="s">
        <v>188</v>
      </c>
      <c r="CK124" s="662" t="s">
        <v>188</v>
      </c>
      <c r="CL124" s="662" t="s">
        <v>188</v>
      </c>
      <c r="CM124" s="662" t="s">
        <v>188</v>
      </c>
      <c r="CN124" s="662" t="s">
        <v>188</v>
      </c>
      <c r="CO124" s="616"/>
      <c r="CP124" s="616"/>
      <c r="CQ124" s="616"/>
      <c r="CR124" s="616"/>
      <c r="CS124" s="616"/>
      <c r="CT124" s="616"/>
      <c r="CU124" s="616"/>
      <c r="CV124" s="616"/>
      <c r="CW124" s="616"/>
      <c r="CX124" s="616"/>
      <c r="CY124" s="616"/>
      <c r="CZ124" s="616"/>
      <c r="DA124" s="616"/>
      <c r="DB124" s="616"/>
      <c r="DC124" s="640"/>
      <c r="DD124" s="640"/>
      <c r="DE124" s="640"/>
      <c r="DF124" s="640"/>
      <c r="DG124" s="640"/>
      <c r="DH124" s="640"/>
      <c r="DI124" s="576"/>
      <c r="DJ124" s="576"/>
      <c r="DK124" s="576"/>
      <c r="DL124" s="576"/>
      <c r="DM124" s="576"/>
      <c r="DN124" s="576"/>
      <c r="DO124" s="576"/>
      <c r="DP124" s="576"/>
      <c r="DQ124" s="576"/>
      <c r="DR124" s="576"/>
      <c r="DS124" s="576"/>
      <c r="DT124" s="576"/>
      <c r="DU124" s="576"/>
      <c r="DV124" s="576"/>
      <c r="DW124" s="576"/>
      <c r="DX124" s="577"/>
      <c r="DY124" s="577"/>
      <c r="DZ124" s="577"/>
      <c r="EA124" s="577"/>
      <c r="EB124" s="577"/>
      <c r="EC124" s="577"/>
      <c r="ED124" s="577"/>
      <c r="EE124" s="577"/>
      <c r="EF124" s="577"/>
      <c r="EG124" s="577"/>
      <c r="EH124" s="8">
        <v>72</v>
      </c>
      <c r="EI124" s="360"/>
    </row>
    <row r="125" spans="1:139" s="14" customFormat="1" x14ac:dyDescent="0.25">
      <c r="A125" s="16">
        <v>121</v>
      </c>
      <c r="B125" s="526" t="s">
        <v>41</v>
      </c>
      <c r="C125" s="526"/>
      <c r="D125" s="19" t="s">
        <v>54</v>
      </c>
      <c r="E125" s="19" t="s">
        <v>75</v>
      </c>
      <c r="F125" s="19" t="s">
        <v>8</v>
      </c>
      <c r="G125" s="19" t="s">
        <v>837</v>
      </c>
      <c r="H125" s="539">
        <v>-99</v>
      </c>
      <c r="I125" s="539">
        <v>-99</v>
      </c>
      <c r="J125" s="539">
        <v>-99</v>
      </c>
      <c r="K125" s="539">
        <v>-99</v>
      </c>
      <c r="L125" s="539">
        <v>-99</v>
      </c>
      <c r="M125" s="539">
        <v>-99</v>
      </c>
      <c r="N125" s="539">
        <v>-99</v>
      </c>
      <c r="O125" s="539">
        <v>-99</v>
      </c>
      <c r="P125" s="539">
        <v>-99</v>
      </c>
      <c r="Q125" s="539">
        <v>-99</v>
      </c>
      <c r="R125" s="539">
        <v>-99</v>
      </c>
      <c r="S125" s="539">
        <v>-99</v>
      </c>
      <c r="T125" s="539">
        <v>-99</v>
      </c>
      <c r="U125" s="539">
        <v>-99</v>
      </c>
      <c r="V125" s="539">
        <v>-99</v>
      </c>
      <c r="W125" s="539">
        <v>-99</v>
      </c>
      <c r="X125" s="539">
        <v>-99</v>
      </c>
      <c r="Y125" s="539">
        <v>-99</v>
      </c>
      <c r="Z125" s="539">
        <v>-99</v>
      </c>
      <c r="AA125" s="539">
        <v>-99</v>
      </c>
      <c r="AB125" s="539">
        <v>-99</v>
      </c>
      <c r="AC125" s="539">
        <v>-99</v>
      </c>
      <c r="AD125" s="539">
        <v>-99</v>
      </c>
      <c r="AE125" s="539">
        <v>-99</v>
      </c>
      <c r="AF125" s="539">
        <v>-99</v>
      </c>
      <c r="AG125" s="539">
        <v>-99</v>
      </c>
      <c r="AH125" s="540">
        <v>-99</v>
      </c>
      <c r="AI125" s="539">
        <v>-99</v>
      </c>
      <c r="AJ125" s="540">
        <v>-99</v>
      </c>
      <c r="AK125" s="539">
        <v>-99</v>
      </c>
      <c r="AL125" s="539">
        <v>-99</v>
      </c>
      <c r="AM125" s="540">
        <v>-99</v>
      </c>
      <c r="AN125" s="539">
        <v>-99</v>
      </c>
      <c r="AO125" s="540">
        <v>-99</v>
      </c>
      <c r="AP125" s="541">
        <v>-99</v>
      </c>
      <c r="AQ125" s="539">
        <v>-99</v>
      </c>
      <c r="AR125" s="540">
        <v>-99</v>
      </c>
      <c r="AS125" s="539">
        <v>-99</v>
      </c>
      <c r="AT125" s="540">
        <v>-99</v>
      </c>
      <c r="AU125" s="539">
        <v>-99</v>
      </c>
      <c r="AV125" s="540">
        <v>-99</v>
      </c>
      <c r="AW125" s="540">
        <v>-99</v>
      </c>
      <c r="AX125" s="540">
        <v>-99</v>
      </c>
      <c r="AY125" s="540">
        <v>-99</v>
      </c>
      <c r="AZ125" s="539">
        <v>-99</v>
      </c>
      <c r="BA125" s="539">
        <v>-99</v>
      </c>
      <c r="BB125" s="540">
        <v>-99</v>
      </c>
      <c r="BC125" s="539">
        <v>-99</v>
      </c>
      <c r="BD125" s="540">
        <v>-99</v>
      </c>
      <c r="BE125" s="541">
        <v>-99</v>
      </c>
      <c r="BF125" s="612"/>
      <c r="BG125" s="612"/>
      <c r="BH125" s="542">
        <v>0.86</v>
      </c>
      <c r="BI125" s="576"/>
      <c r="BJ125" s="576"/>
      <c r="BK125" s="576"/>
      <c r="BL125" s="576"/>
      <c r="BM125" s="545">
        <v>-99</v>
      </c>
      <c r="BN125" s="545">
        <v>-99</v>
      </c>
      <c r="BO125" s="576"/>
      <c r="BP125" s="576"/>
      <c r="BQ125" s="576"/>
      <c r="BR125" s="570"/>
      <c r="BS125" s="547" t="s">
        <v>188</v>
      </c>
      <c r="BT125" s="549" t="s">
        <v>188</v>
      </c>
      <c r="BU125" s="549" t="s">
        <v>188</v>
      </c>
      <c r="BV125" s="549" t="s">
        <v>188</v>
      </c>
      <c r="BW125" s="549" t="s">
        <v>188</v>
      </c>
      <c r="BX125" s="549" t="s">
        <v>188</v>
      </c>
      <c r="BY125" s="549" t="s">
        <v>188</v>
      </c>
      <c r="BZ125" s="549" t="s">
        <v>188</v>
      </c>
      <c r="CA125" s="549" t="s">
        <v>188</v>
      </c>
      <c r="CB125" s="549" t="s">
        <v>188</v>
      </c>
      <c r="CC125" s="549" t="s">
        <v>188</v>
      </c>
      <c r="CD125" s="662"/>
      <c r="CE125" s="661" t="s">
        <v>188</v>
      </c>
      <c r="CF125" s="662" t="s">
        <v>188</v>
      </c>
      <c r="CG125" s="662" t="s">
        <v>188</v>
      </c>
      <c r="CH125" s="662" t="s">
        <v>188</v>
      </c>
      <c r="CI125" s="662" t="s">
        <v>188</v>
      </c>
      <c r="CJ125" s="662" t="s">
        <v>188</v>
      </c>
      <c r="CK125" s="662" t="s">
        <v>188</v>
      </c>
      <c r="CL125" s="662" t="s">
        <v>188</v>
      </c>
      <c r="CM125" s="662" t="s">
        <v>188</v>
      </c>
      <c r="CN125" s="662" t="s">
        <v>188</v>
      </c>
      <c r="CO125" s="616"/>
      <c r="CP125" s="616"/>
      <c r="CQ125" s="616"/>
      <c r="CR125" s="616"/>
      <c r="CS125" s="616"/>
      <c r="CT125" s="616"/>
      <c r="CU125" s="616"/>
      <c r="CV125" s="616"/>
      <c r="CW125" s="616"/>
      <c r="CX125" s="616"/>
      <c r="CY125" s="616"/>
      <c r="CZ125" s="616"/>
      <c r="DA125" s="616"/>
      <c r="DB125" s="616"/>
      <c r="DC125" s="640"/>
      <c r="DD125" s="640"/>
      <c r="DE125" s="640"/>
      <c r="DF125" s="640"/>
      <c r="DG125" s="640"/>
      <c r="DH125" s="640"/>
      <c r="DI125" s="576"/>
      <c r="DJ125" s="576"/>
      <c r="DK125" s="576"/>
      <c r="DL125" s="576"/>
      <c r="DM125" s="576"/>
      <c r="DN125" s="576"/>
      <c r="DO125" s="576"/>
      <c r="DP125" s="576"/>
      <c r="DQ125" s="576"/>
      <c r="DR125" s="576"/>
      <c r="DS125" s="576"/>
      <c r="DT125" s="576"/>
      <c r="DU125" s="576"/>
      <c r="DV125" s="576"/>
      <c r="DW125" s="576"/>
      <c r="DX125" s="577"/>
      <c r="DY125" s="577"/>
      <c r="DZ125" s="577"/>
      <c r="EA125" s="577"/>
      <c r="EB125" s="577"/>
      <c r="EC125" s="577"/>
      <c r="ED125" s="577"/>
      <c r="EE125" s="577"/>
      <c r="EF125" s="577"/>
      <c r="EG125" s="577"/>
      <c r="EH125" s="8">
        <v>7</v>
      </c>
      <c r="EI125" s="360"/>
    </row>
    <row r="126" spans="1:139" s="14" customFormat="1" x14ac:dyDescent="0.25">
      <c r="A126" s="16">
        <v>122</v>
      </c>
      <c r="B126" s="18" t="s">
        <v>44</v>
      </c>
      <c r="C126" s="18"/>
      <c r="D126" s="19" t="s">
        <v>58</v>
      </c>
      <c r="E126" s="19" t="s">
        <v>75</v>
      </c>
      <c r="F126" s="19" t="s">
        <v>8</v>
      </c>
      <c r="G126" s="19" t="s">
        <v>837</v>
      </c>
      <c r="H126" s="539">
        <v>-99</v>
      </c>
      <c r="I126" s="539">
        <v>-99</v>
      </c>
      <c r="J126" s="539">
        <v>-99</v>
      </c>
      <c r="K126" s="539">
        <v>-99</v>
      </c>
      <c r="L126" s="539">
        <v>-99</v>
      </c>
      <c r="M126" s="539">
        <v>-99</v>
      </c>
      <c r="N126" s="539">
        <v>-99</v>
      </c>
      <c r="O126" s="539">
        <v>-99</v>
      </c>
      <c r="P126" s="539">
        <v>-99</v>
      </c>
      <c r="Q126" s="539">
        <v>-99</v>
      </c>
      <c r="R126" s="539">
        <v>-99</v>
      </c>
      <c r="S126" s="539">
        <v>-99</v>
      </c>
      <c r="T126" s="539">
        <v>-99</v>
      </c>
      <c r="U126" s="539">
        <v>-99</v>
      </c>
      <c r="V126" s="539">
        <v>-99</v>
      </c>
      <c r="W126" s="539">
        <v>-99</v>
      </c>
      <c r="X126" s="539">
        <v>-99</v>
      </c>
      <c r="Y126" s="539">
        <v>-99</v>
      </c>
      <c r="Z126" s="539">
        <v>-99</v>
      </c>
      <c r="AA126" s="539">
        <v>-99</v>
      </c>
      <c r="AB126" s="539">
        <v>-99</v>
      </c>
      <c r="AC126" s="539">
        <v>-99</v>
      </c>
      <c r="AD126" s="539">
        <v>-99</v>
      </c>
      <c r="AE126" s="539">
        <v>-99</v>
      </c>
      <c r="AF126" s="539">
        <v>-99</v>
      </c>
      <c r="AG126" s="539">
        <v>-99</v>
      </c>
      <c r="AH126" s="540">
        <v>-99</v>
      </c>
      <c r="AI126" s="539">
        <v>-99</v>
      </c>
      <c r="AJ126" s="540">
        <v>-99</v>
      </c>
      <c r="AK126" s="539">
        <v>-99</v>
      </c>
      <c r="AL126" s="539">
        <v>-99</v>
      </c>
      <c r="AM126" s="540">
        <v>-99</v>
      </c>
      <c r="AN126" s="539">
        <v>-99</v>
      </c>
      <c r="AO126" s="540">
        <v>-99</v>
      </c>
      <c r="AP126" s="541">
        <v>-99</v>
      </c>
      <c r="AQ126" s="539">
        <v>-99</v>
      </c>
      <c r="AR126" s="540">
        <v>-99</v>
      </c>
      <c r="AS126" s="539">
        <v>-99</v>
      </c>
      <c r="AT126" s="540">
        <v>-99</v>
      </c>
      <c r="AU126" s="539">
        <v>-99</v>
      </c>
      <c r="AV126" s="540">
        <v>-99</v>
      </c>
      <c r="AW126" s="540">
        <v>-99</v>
      </c>
      <c r="AX126" s="540">
        <v>-99</v>
      </c>
      <c r="AY126" s="540">
        <v>-99</v>
      </c>
      <c r="AZ126" s="539">
        <v>-99</v>
      </c>
      <c r="BA126" s="539">
        <v>-99</v>
      </c>
      <c r="BB126" s="540">
        <v>-99</v>
      </c>
      <c r="BC126" s="539">
        <v>-99</v>
      </c>
      <c r="BD126" s="540">
        <v>-99</v>
      </c>
      <c r="BE126" s="541">
        <v>-99</v>
      </c>
      <c r="BF126" s="612"/>
      <c r="BG126" s="541"/>
      <c r="BH126" s="612">
        <v>-99</v>
      </c>
      <c r="BI126" s="576"/>
      <c r="BJ126" s="576"/>
      <c r="BK126" s="576"/>
      <c r="BL126" s="576"/>
      <c r="BM126" s="545">
        <v>-99</v>
      </c>
      <c r="BN126" s="545">
        <v>-99</v>
      </c>
      <c r="BO126" s="576"/>
      <c r="BP126" s="576"/>
      <c r="BQ126" s="576"/>
      <c r="BR126" s="570"/>
      <c r="BS126" s="547" t="s">
        <v>188</v>
      </c>
      <c r="BT126" s="549" t="s">
        <v>188</v>
      </c>
      <c r="BU126" s="549" t="s">
        <v>188</v>
      </c>
      <c r="BV126" s="549" t="s">
        <v>188</v>
      </c>
      <c r="BW126" s="549" t="s">
        <v>188</v>
      </c>
      <c r="BX126" s="549" t="s">
        <v>188</v>
      </c>
      <c r="BY126" s="549" t="s">
        <v>188</v>
      </c>
      <c r="BZ126" s="549" t="s">
        <v>188</v>
      </c>
      <c r="CA126" s="549" t="s">
        <v>188</v>
      </c>
      <c r="CB126" s="549" t="s">
        <v>188</v>
      </c>
      <c r="CC126" s="549" t="s">
        <v>188</v>
      </c>
      <c r="CD126" s="662"/>
      <c r="CE126" s="661" t="s">
        <v>188</v>
      </c>
      <c r="CF126" s="662" t="s">
        <v>188</v>
      </c>
      <c r="CG126" s="662" t="s">
        <v>188</v>
      </c>
      <c r="CH126" s="662" t="s">
        <v>188</v>
      </c>
      <c r="CI126" s="662" t="s">
        <v>188</v>
      </c>
      <c r="CJ126" s="662" t="s">
        <v>188</v>
      </c>
      <c r="CK126" s="662" t="s">
        <v>188</v>
      </c>
      <c r="CL126" s="662" t="s">
        <v>188</v>
      </c>
      <c r="CM126" s="662" t="s">
        <v>188</v>
      </c>
      <c r="CN126" s="662" t="s">
        <v>188</v>
      </c>
      <c r="CO126" s="616"/>
      <c r="CP126" s="616"/>
      <c r="CQ126" s="616"/>
      <c r="CR126" s="616"/>
      <c r="CS126" s="616"/>
      <c r="CT126" s="616"/>
      <c r="CU126" s="616"/>
      <c r="CV126" s="616"/>
      <c r="CW126" s="616"/>
      <c r="CX126" s="616"/>
      <c r="CY126" s="616"/>
      <c r="CZ126" s="616"/>
      <c r="DA126" s="616"/>
      <c r="DB126" s="616"/>
      <c r="DC126" s="640"/>
      <c r="DD126" s="640"/>
      <c r="DE126" s="640"/>
      <c r="DF126" s="640"/>
      <c r="DG126" s="640"/>
      <c r="DH126" s="640"/>
      <c r="DI126" s="576"/>
      <c r="DJ126" s="576"/>
      <c r="DK126" s="576"/>
      <c r="DL126" s="576"/>
      <c r="DM126" s="576"/>
      <c r="DN126" s="576"/>
      <c r="DO126" s="576"/>
      <c r="DP126" s="576"/>
      <c r="DQ126" s="576"/>
      <c r="DR126" s="576"/>
      <c r="DS126" s="576"/>
      <c r="DT126" s="576"/>
      <c r="DU126" s="576"/>
      <c r="DV126" s="576"/>
      <c r="DW126" s="576"/>
      <c r="DX126" s="577"/>
      <c r="DY126" s="577"/>
      <c r="DZ126" s="577"/>
      <c r="EA126" s="577"/>
      <c r="EB126" s="577"/>
      <c r="EC126" s="577"/>
      <c r="ED126" s="577"/>
      <c r="EE126" s="577"/>
      <c r="EF126" s="577"/>
      <c r="EG126" s="577"/>
      <c r="EH126" s="8">
        <v>127</v>
      </c>
      <c r="EI126" s="360"/>
    </row>
    <row r="127" spans="1:139" s="14" customFormat="1" x14ac:dyDescent="0.25">
      <c r="A127" s="16">
        <v>123</v>
      </c>
      <c r="B127" s="526" t="s">
        <v>724</v>
      </c>
      <c r="C127" s="526"/>
      <c r="D127" s="19" t="s">
        <v>58</v>
      </c>
      <c r="E127" s="19" t="s">
        <v>75</v>
      </c>
      <c r="F127" s="19" t="s">
        <v>8</v>
      </c>
      <c r="G127" s="19" t="s">
        <v>837</v>
      </c>
      <c r="H127" s="539">
        <v>-99</v>
      </c>
      <c r="I127" s="539">
        <v>-99</v>
      </c>
      <c r="J127" s="539">
        <v>-99</v>
      </c>
      <c r="K127" s="539">
        <v>-99</v>
      </c>
      <c r="L127" s="539">
        <v>-99</v>
      </c>
      <c r="M127" s="539">
        <v>-99</v>
      </c>
      <c r="N127" s="539">
        <v>-99</v>
      </c>
      <c r="O127" s="539">
        <v>-99</v>
      </c>
      <c r="P127" s="539">
        <v>-99</v>
      </c>
      <c r="Q127" s="539">
        <v>-99</v>
      </c>
      <c r="R127" s="539">
        <v>-99</v>
      </c>
      <c r="S127" s="539">
        <v>-99</v>
      </c>
      <c r="T127" s="539">
        <v>-99</v>
      </c>
      <c r="U127" s="539">
        <v>-99</v>
      </c>
      <c r="V127" s="539">
        <v>-99</v>
      </c>
      <c r="W127" s="539">
        <v>-99</v>
      </c>
      <c r="X127" s="539">
        <v>-99</v>
      </c>
      <c r="Y127" s="539">
        <v>-99</v>
      </c>
      <c r="Z127" s="539">
        <v>-99</v>
      </c>
      <c r="AA127" s="539">
        <v>-99</v>
      </c>
      <c r="AB127" s="539">
        <v>-99</v>
      </c>
      <c r="AC127" s="539">
        <v>-99</v>
      </c>
      <c r="AD127" s="539">
        <v>-99</v>
      </c>
      <c r="AE127" s="539">
        <v>-99</v>
      </c>
      <c r="AF127" s="539">
        <v>-99</v>
      </c>
      <c r="AG127" s="539">
        <v>-99</v>
      </c>
      <c r="AH127" s="540">
        <v>-99</v>
      </c>
      <c r="AI127" s="539">
        <v>-99</v>
      </c>
      <c r="AJ127" s="540">
        <v>-99</v>
      </c>
      <c r="AK127" s="539">
        <v>-99</v>
      </c>
      <c r="AL127" s="539">
        <v>-99</v>
      </c>
      <c r="AM127" s="540">
        <v>-99</v>
      </c>
      <c r="AN127" s="539">
        <v>-99</v>
      </c>
      <c r="AO127" s="540">
        <v>-99</v>
      </c>
      <c r="AP127" s="541">
        <v>-99</v>
      </c>
      <c r="AQ127" s="539">
        <v>-99</v>
      </c>
      <c r="AR127" s="540">
        <v>-99</v>
      </c>
      <c r="AS127" s="539">
        <v>-99</v>
      </c>
      <c r="AT127" s="540">
        <v>-99</v>
      </c>
      <c r="AU127" s="539">
        <v>-99</v>
      </c>
      <c r="AV127" s="540">
        <v>-99</v>
      </c>
      <c r="AW127" s="540">
        <v>-99</v>
      </c>
      <c r="AX127" s="540">
        <v>-99</v>
      </c>
      <c r="AY127" s="540">
        <v>-99</v>
      </c>
      <c r="AZ127" s="539">
        <v>-99</v>
      </c>
      <c r="BA127" s="539">
        <v>-99</v>
      </c>
      <c r="BB127" s="540">
        <v>-99</v>
      </c>
      <c r="BC127" s="539">
        <v>-99</v>
      </c>
      <c r="BD127" s="540">
        <v>-99</v>
      </c>
      <c r="BE127" s="541">
        <v>-99</v>
      </c>
      <c r="BF127" s="612"/>
      <c r="BG127" s="612"/>
      <c r="BH127" s="612">
        <v>-99</v>
      </c>
      <c r="BI127" s="576"/>
      <c r="BJ127" s="576"/>
      <c r="BK127" s="576"/>
      <c r="BL127" s="576"/>
      <c r="BM127" s="545">
        <v>-99</v>
      </c>
      <c r="BN127" s="545">
        <v>-99</v>
      </c>
      <c r="BO127" s="576"/>
      <c r="BP127" s="576"/>
      <c r="BQ127" s="576"/>
      <c r="BR127" s="570"/>
      <c r="BS127" s="547" t="s">
        <v>188</v>
      </c>
      <c r="BT127" s="549" t="s">
        <v>188</v>
      </c>
      <c r="BU127" s="549" t="s">
        <v>188</v>
      </c>
      <c r="BV127" s="549" t="s">
        <v>188</v>
      </c>
      <c r="BW127" s="549" t="s">
        <v>188</v>
      </c>
      <c r="BX127" s="549" t="s">
        <v>188</v>
      </c>
      <c r="BY127" s="549" t="s">
        <v>188</v>
      </c>
      <c r="BZ127" s="549" t="s">
        <v>188</v>
      </c>
      <c r="CA127" s="549" t="s">
        <v>188</v>
      </c>
      <c r="CB127" s="549" t="s">
        <v>188</v>
      </c>
      <c r="CC127" s="549" t="s">
        <v>188</v>
      </c>
      <c r="CD127" s="662"/>
      <c r="CE127" s="661" t="s">
        <v>188</v>
      </c>
      <c r="CF127" s="662" t="s">
        <v>188</v>
      </c>
      <c r="CG127" s="662" t="s">
        <v>188</v>
      </c>
      <c r="CH127" s="662" t="s">
        <v>188</v>
      </c>
      <c r="CI127" s="662" t="s">
        <v>188</v>
      </c>
      <c r="CJ127" s="662" t="s">
        <v>188</v>
      </c>
      <c r="CK127" s="662" t="s">
        <v>188</v>
      </c>
      <c r="CL127" s="662" t="s">
        <v>188</v>
      </c>
      <c r="CM127" s="662" t="s">
        <v>188</v>
      </c>
      <c r="CN127" s="662" t="s">
        <v>188</v>
      </c>
      <c r="CO127" s="616"/>
      <c r="CP127" s="616"/>
      <c r="CQ127" s="616"/>
      <c r="CR127" s="616"/>
      <c r="CS127" s="616"/>
      <c r="CT127" s="616"/>
      <c r="CU127" s="616"/>
      <c r="CV127" s="616"/>
      <c r="CW127" s="616"/>
      <c r="CX127" s="616"/>
      <c r="CY127" s="616"/>
      <c r="CZ127" s="616"/>
      <c r="DA127" s="616"/>
      <c r="DB127" s="616"/>
      <c r="DC127" s="640"/>
      <c r="DD127" s="640"/>
      <c r="DE127" s="640"/>
      <c r="DF127" s="640"/>
      <c r="DG127" s="640"/>
      <c r="DH127" s="640"/>
      <c r="DI127" s="576"/>
      <c r="DJ127" s="576"/>
      <c r="DK127" s="576"/>
      <c r="DL127" s="576"/>
      <c r="DM127" s="576"/>
      <c r="DN127" s="576"/>
      <c r="DO127" s="576"/>
      <c r="DP127" s="576"/>
      <c r="DQ127" s="576"/>
      <c r="DR127" s="576"/>
      <c r="DS127" s="576"/>
      <c r="DT127" s="576"/>
      <c r="DU127" s="576"/>
      <c r="DV127" s="576"/>
      <c r="DW127" s="576"/>
      <c r="DX127" s="577"/>
      <c r="DY127" s="577"/>
      <c r="DZ127" s="577"/>
      <c r="EA127" s="577"/>
      <c r="EB127" s="577"/>
      <c r="EC127" s="577"/>
      <c r="ED127" s="577"/>
      <c r="EE127" s="577"/>
      <c r="EF127" s="577"/>
      <c r="EG127" s="577"/>
      <c r="EH127" s="8">
        <v>103</v>
      </c>
      <c r="EI127" s="360"/>
    </row>
    <row r="128" spans="1:139" s="14" customFormat="1" x14ac:dyDescent="0.25">
      <c r="A128" s="16">
        <v>124</v>
      </c>
      <c r="B128" s="526" t="s">
        <v>745</v>
      </c>
      <c r="C128" s="526"/>
      <c r="D128" s="19" t="s">
        <v>58</v>
      </c>
      <c r="E128" s="526" t="s">
        <v>75</v>
      </c>
      <c r="F128" s="19" t="s">
        <v>8</v>
      </c>
      <c r="G128" s="19" t="s">
        <v>837</v>
      </c>
      <c r="H128" s="539">
        <v>-99</v>
      </c>
      <c r="I128" s="539">
        <v>-99</v>
      </c>
      <c r="J128" s="539">
        <v>-99</v>
      </c>
      <c r="K128" s="539">
        <v>-99</v>
      </c>
      <c r="L128" s="539">
        <v>-99</v>
      </c>
      <c r="M128" s="539">
        <v>-99</v>
      </c>
      <c r="N128" s="539">
        <v>-99</v>
      </c>
      <c r="O128" s="539">
        <v>-99</v>
      </c>
      <c r="P128" s="539">
        <v>-99</v>
      </c>
      <c r="Q128" s="539">
        <v>-99</v>
      </c>
      <c r="R128" s="539">
        <v>-99</v>
      </c>
      <c r="S128" s="539">
        <v>-99</v>
      </c>
      <c r="T128" s="539">
        <v>-99</v>
      </c>
      <c r="U128" s="539">
        <v>-99</v>
      </c>
      <c r="V128" s="539">
        <v>-99</v>
      </c>
      <c r="W128" s="539">
        <v>-99</v>
      </c>
      <c r="X128" s="539">
        <v>-99</v>
      </c>
      <c r="Y128" s="539">
        <v>-99</v>
      </c>
      <c r="Z128" s="539">
        <v>-99</v>
      </c>
      <c r="AA128" s="539">
        <v>-99</v>
      </c>
      <c r="AB128" s="539">
        <v>-99</v>
      </c>
      <c r="AC128" s="539">
        <v>-99</v>
      </c>
      <c r="AD128" s="539">
        <v>-99</v>
      </c>
      <c r="AE128" s="539">
        <v>-99</v>
      </c>
      <c r="AF128" s="539">
        <v>-99</v>
      </c>
      <c r="AG128" s="539">
        <v>-99</v>
      </c>
      <c r="AH128" s="540">
        <v>-99</v>
      </c>
      <c r="AI128" s="539">
        <v>-99</v>
      </c>
      <c r="AJ128" s="540">
        <v>-99</v>
      </c>
      <c r="AK128" s="539">
        <v>-99</v>
      </c>
      <c r="AL128" s="539">
        <v>-99</v>
      </c>
      <c r="AM128" s="540">
        <v>-99</v>
      </c>
      <c r="AN128" s="539">
        <v>-99</v>
      </c>
      <c r="AO128" s="540">
        <v>-99</v>
      </c>
      <c r="AP128" s="541">
        <v>-99</v>
      </c>
      <c r="AQ128" s="539">
        <v>-99</v>
      </c>
      <c r="AR128" s="540">
        <v>-99</v>
      </c>
      <c r="AS128" s="539">
        <v>-99</v>
      </c>
      <c r="AT128" s="540">
        <v>-99</v>
      </c>
      <c r="AU128" s="539">
        <v>-99</v>
      </c>
      <c r="AV128" s="540">
        <v>-99</v>
      </c>
      <c r="AW128" s="540">
        <v>-99</v>
      </c>
      <c r="AX128" s="540">
        <v>-99</v>
      </c>
      <c r="AY128" s="540">
        <v>-99</v>
      </c>
      <c r="AZ128" s="539">
        <v>-99</v>
      </c>
      <c r="BA128" s="539">
        <v>-99</v>
      </c>
      <c r="BB128" s="540">
        <v>-99</v>
      </c>
      <c r="BC128" s="539">
        <v>-99</v>
      </c>
      <c r="BD128" s="540">
        <v>-99</v>
      </c>
      <c r="BE128" s="541">
        <v>-99</v>
      </c>
      <c r="BF128" s="612"/>
      <c r="BG128" s="612"/>
      <c r="BH128" s="612">
        <v>-99</v>
      </c>
      <c r="BI128" s="576"/>
      <c r="BJ128" s="576"/>
      <c r="BK128" s="576"/>
      <c r="BL128" s="576"/>
      <c r="BM128" s="545">
        <v>-99</v>
      </c>
      <c r="BN128" s="545">
        <v>-99</v>
      </c>
      <c r="BO128" s="576"/>
      <c r="BP128" s="576"/>
      <c r="BQ128" s="576"/>
      <c r="BR128" s="570"/>
      <c r="BS128" s="547" t="s">
        <v>188</v>
      </c>
      <c r="BT128" s="549" t="s">
        <v>188</v>
      </c>
      <c r="BU128" s="549" t="s">
        <v>188</v>
      </c>
      <c r="BV128" s="549" t="s">
        <v>188</v>
      </c>
      <c r="BW128" s="549" t="s">
        <v>188</v>
      </c>
      <c r="BX128" s="549" t="s">
        <v>188</v>
      </c>
      <c r="BY128" s="549" t="s">
        <v>188</v>
      </c>
      <c r="BZ128" s="549" t="s">
        <v>188</v>
      </c>
      <c r="CA128" s="549" t="s">
        <v>188</v>
      </c>
      <c r="CB128" s="549" t="s">
        <v>188</v>
      </c>
      <c r="CC128" s="549" t="s">
        <v>188</v>
      </c>
      <c r="CD128" s="662"/>
      <c r="CE128" s="661" t="s">
        <v>188</v>
      </c>
      <c r="CF128" s="662" t="s">
        <v>188</v>
      </c>
      <c r="CG128" s="662" t="s">
        <v>188</v>
      </c>
      <c r="CH128" s="662" t="s">
        <v>188</v>
      </c>
      <c r="CI128" s="662" t="s">
        <v>188</v>
      </c>
      <c r="CJ128" s="662" t="s">
        <v>188</v>
      </c>
      <c r="CK128" s="662" t="s">
        <v>188</v>
      </c>
      <c r="CL128" s="662" t="s">
        <v>188</v>
      </c>
      <c r="CM128" s="662" t="s">
        <v>188</v>
      </c>
      <c r="CN128" s="662" t="s">
        <v>188</v>
      </c>
      <c r="CO128" s="616"/>
      <c r="CP128" s="616"/>
      <c r="CQ128" s="616"/>
      <c r="CR128" s="616"/>
      <c r="CS128" s="616"/>
      <c r="CT128" s="616"/>
      <c r="CU128" s="616"/>
      <c r="CV128" s="616"/>
      <c r="CW128" s="616"/>
      <c r="CX128" s="616"/>
      <c r="CY128" s="616"/>
      <c r="CZ128" s="616"/>
      <c r="DA128" s="616"/>
      <c r="DB128" s="616"/>
      <c r="DC128" s="640"/>
      <c r="DD128" s="640"/>
      <c r="DE128" s="640"/>
      <c r="DF128" s="640"/>
      <c r="DG128" s="640"/>
      <c r="DH128" s="640"/>
      <c r="DI128" s="576"/>
      <c r="DJ128" s="576"/>
      <c r="DK128" s="576"/>
      <c r="DL128" s="576"/>
      <c r="DM128" s="576"/>
      <c r="DN128" s="576"/>
      <c r="DO128" s="576"/>
      <c r="DP128" s="576"/>
      <c r="DQ128" s="576"/>
      <c r="DR128" s="576"/>
      <c r="DS128" s="576"/>
      <c r="DT128" s="576"/>
      <c r="DU128" s="576"/>
      <c r="DV128" s="576"/>
      <c r="DW128" s="576"/>
      <c r="DX128" s="577"/>
      <c r="DY128" s="577"/>
      <c r="DZ128" s="577"/>
      <c r="EA128" s="577"/>
      <c r="EB128" s="577"/>
      <c r="EC128" s="577"/>
      <c r="ED128" s="577"/>
      <c r="EE128" s="577"/>
      <c r="EF128" s="577"/>
      <c r="EG128" s="577"/>
      <c r="EH128" s="8">
        <v>99</v>
      </c>
      <c r="EI128" s="360"/>
    </row>
    <row r="129" spans="1:139" s="14" customFormat="1" x14ac:dyDescent="0.25">
      <c r="A129" s="16">
        <v>125</v>
      </c>
      <c r="B129" s="526" t="s">
        <v>723</v>
      </c>
      <c r="C129" s="526"/>
      <c r="D129" s="19" t="s">
        <v>58</v>
      </c>
      <c r="E129" s="19" t="s">
        <v>75</v>
      </c>
      <c r="F129" s="19" t="s">
        <v>8</v>
      </c>
      <c r="G129" s="19" t="s">
        <v>837</v>
      </c>
      <c r="H129" s="539">
        <v>-99</v>
      </c>
      <c r="I129" s="539">
        <v>0.408969211023756</v>
      </c>
      <c r="J129" s="539">
        <v>-99</v>
      </c>
      <c r="K129" s="539">
        <v>0.48344731109113542</v>
      </c>
      <c r="L129" s="539">
        <v>-99</v>
      </c>
      <c r="M129" s="539">
        <v>-99</v>
      </c>
      <c r="N129" s="539">
        <v>0.40714513050885054</v>
      </c>
      <c r="O129" s="539">
        <v>-99</v>
      </c>
      <c r="P129" s="539">
        <v>0.48106237245313582</v>
      </c>
      <c r="Q129" s="539">
        <v>-99</v>
      </c>
      <c r="R129" s="539">
        <v>-99</v>
      </c>
      <c r="S129" s="539">
        <v>0.39347395239959015</v>
      </c>
      <c r="T129" s="539">
        <v>-99</v>
      </c>
      <c r="U129" s="539">
        <v>0.48527272294730367</v>
      </c>
      <c r="V129" s="539">
        <v>-99</v>
      </c>
      <c r="W129" s="539">
        <v>-99</v>
      </c>
      <c r="X129" s="539">
        <v>-99</v>
      </c>
      <c r="Y129" s="539">
        <v>-99</v>
      </c>
      <c r="Z129" s="539">
        <v>-99</v>
      </c>
      <c r="AA129" s="539">
        <v>-99</v>
      </c>
      <c r="AB129" s="539">
        <v>-99</v>
      </c>
      <c r="AC129" s="539">
        <v>0.46770760954223778</v>
      </c>
      <c r="AD129" s="539">
        <v>-99</v>
      </c>
      <c r="AE129" s="539">
        <v>0.4859447251868183</v>
      </c>
      <c r="AF129" s="539">
        <v>-99</v>
      </c>
      <c r="AG129" s="539">
        <v>-99</v>
      </c>
      <c r="AH129" s="540">
        <v>0.46079323750365508</v>
      </c>
      <c r="AI129" s="539">
        <v>-99</v>
      </c>
      <c r="AJ129" s="540">
        <v>0.56064717755939975</v>
      </c>
      <c r="AK129" s="539">
        <v>-99</v>
      </c>
      <c r="AL129" s="539">
        <v>-99</v>
      </c>
      <c r="AM129" s="540">
        <v>0.46360451940454817</v>
      </c>
      <c r="AN129" s="539">
        <v>-99</v>
      </c>
      <c r="AO129" s="540">
        <v>0.56996219962490946</v>
      </c>
      <c r="AP129" s="541">
        <v>-99</v>
      </c>
      <c r="AQ129" s="539">
        <v>-99</v>
      </c>
      <c r="AR129" s="540">
        <v>0.42984087492614631</v>
      </c>
      <c r="AS129" s="539">
        <v>-99</v>
      </c>
      <c r="AT129" s="540">
        <v>0.54905920373610129</v>
      </c>
      <c r="AU129" s="539">
        <v>-99</v>
      </c>
      <c r="AV129" s="540">
        <v>-99</v>
      </c>
      <c r="AW129" s="540">
        <v>-99</v>
      </c>
      <c r="AX129" s="540">
        <v>-99</v>
      </c>
      <c r="AY129" s="540">
        <v>-99</v>
      </c>
      <c r="AZ129" s="539">
        <v>-99</v>
      </c>
      <c r="BA129" s="539">
        <v>-99</v>
      </c>
      <c r="BB129" s="540">
        <v>0.55507001746760842</v>
      </c>
      <c r="BC129" s="539">
        <v>-99</v>
      </c>
      <c r="BD129" s="540">
        <v>0.56673755682594185</v>
      </c>
      <c r="BE129" s="541">
        <v>-99</v>
      </c>
      <c r="BF129" s="612"/>
      <c r="BG129" s="612"/>
      <c r="BH129" s="612">
        <v>-99</v>
      </c>
      <c r="BI129" s="576"/>
      <c r="BJ129" s="576"/>
      <c r="BK129" s="576"/>
      <c r="BL129" s="576"/>
      <c r="BM129" s="545">
        <v>-99</v>
      </c>
      <c r="BN129" s="545">
        <v>-99</v>
      </c>
      <c r="BO129" s="576"/>
      <c r="BP129" s="576"/>
      <c r="BQ129" s="576"/>
      <c r="BR129" s="570"/>
      <c r="BS129" s="547" t="s">
        <v>188</v>
      </c>
      <c r="BT129" s="549" t="s">
        <v>188</v>
      </c>
      <c r="BU129" s="549" t="s">
        <v>188</v>
      </c>
      <c r="BV129" s="549" t="s">
        <v>188</v>
      </c>
      <c r="BW129" s="549" t="s">
        <v>188</v>
      </c>
      <c r="BX129" s="549" t="s">
        <v>188</v>
      </c>
      <c r="BY129" s="549" t="s">
        <v>188</v>
      </c>
      <c r="BZ129" s="549" t="s">
        <v>188</v>
      </c>
      <c r="CA129" s="549" t="s">
        <v>188</v>
      </c>
      <c r="CB129" s="549" t="s">
        <v>188</v>
      </c>
      <c r="CC129" s="549" t="s">
        <v>188</v>
      </c>
      <c r="CD129" s="662"/>
      <c r="CE129" s="661" t="s">
        <v>188</v>
      </c>
      <c r="CF129" s="662" t="s">
        <v>188</v>
      </c>
      <c r="CG129" s="662" t="s">
        <v>188</v>
      </c>
      <c r="CH129" s="662" t="s">
        <v>188</v>
      </c>
      <c r="CI129" s="662" t="s">
        <v>188</v>
      </c>
      <c r="CJ129" s="662" t="s">
        <v>188</v>
      </c>
      <c r="CK129" s="662" t="s">
        <v>188</v>
      </c>
      <c r="CL129" s="662" t="s">
        <v>188</v>
      </c>
      <c r="CM129" s="662" t="s">
        <v>188</v>
      </c>
      <c r="CN129" s="662" t="s">
        <v>188</v>
      </c>
      <c r="CO129" s="616"/>
      <c r="CP129" s="616"/>
      <c r="CQ129" s="616"/>
      <c r="CR129" s="616"/>
      <c r="CS129" s="616"/>
      <c r="CT129" s="616"/>
      <c r="CU129" s="616"/>
      <c r="CV129" s="616"/>
      <c r="CW129" s="616"/>
      <c r="CX129" s="616"/>
      <c r="CY129" s="616"/>
      <c r="CZ129" s="616"/>
      <c r="DA129" s="616"/>
      <c r="DB129" s="616"/>
      <c r="DC129" s="640"/>
      <c r="DD129" s="640"/>
      <c r="DE129" s="640"/>
      <c r="DF129" s="640"/>
      <c r="DG129" s="640"/>
      <c r="DH129" s="640"/>
      <c r="DI129" s="576"/>
      <c r="DJ129" s="576"/>
      <c r="DK129" s="576"/>
      <c r="DL129" s="576"/>
      <c r="DM129" s="576"/>
      <c r="DN129" s="576"/>
      <c r="DO129" s="576"/>
      <c r="DP129" s="576"/>
      <c r="DQ129" s="576"/>
      <c r="DR129" s="576"/>
      <c r="DS129" s="576"/>
      <c r="DT129" s="576"/>
      <c r="DU129" s="576"/>
      <c r="DV129" s="576"/>
      <c r="DW129" s="576"/>
      <c r="DX129" s="577"/>
      <c r="DY129" s="577"/>
      <c r="DZ129" s="577"/>
      <c r="EA129" s="577"/>
      <c r="EB129" s="577"/>
      <c r="EC129" s="577"/>
      <c r="ED129" s="577"/>
      <c r="EE129" s="577"/>
      <c r="EF129" s="577"/>
      <c r="EG129" s="577"/>
      <c r="EH129" s="8">
        <v>86</v>
      </c>
      <c r="EI129" s="360"/>
    </row>
    <row r="130" spans="1:139" s="14" customFormat="1" x14ac:dyDescent="0.25">
      <c r="A130" s="16">
        <v>126</v>
      </c>
      <c r="B130" s="18" t="s">
        <v>43</v>
      </c>
      <c r="C130" s="18"/>
      <c r="D130" s="19" t="s">
        <v>58</v>
      </c>
      <c r="E130" s="19" t="s">
        <v>75</v>
      </c>
      <c r="F130" s="19" t="s">
        <v>8</v>
      </c>
      <c r="G130" s="19" t="s">
        <v>837</v>
      </c>
      <c r="H130" s="539">
        <v>-99</v>
      </c>
      <c r="I130" s="539">
        <v>-99</v>
      </c>
      <c r="J130" s="539">
        <v>-99</v>
      </c>
      <c r="K130" s="539">
        <v>-99</v>
      </c>
      <c r="L130" s="539">
        <v>-99</v>
      </c>
      <c r="M130" s="539">
        <v>-99</v>
      </c>
      <c r="N130" s="539">
        <v>-99</v>
      </c>
      <c r="O130" s="539">
        <v>-99</v>
      </c>
      <c r="P130" s="539">
        <v>-99</v>
      </c>
      <c r="Q130" s="539">
        <v>-99</v>
      </c>
      <c r="R130" s="539">
        <v>-99</v>
      </c>
      <c r="S130" s="539">
        <v>-99</v>
      </c>
      <c r="T130" s="539">
        <v>-99</v>
      </c>
      <c r="U130" s="539">
        <v>-99</v>
      </c>
      <c r="V130" s="539">
        <v>-99</v>
      </c>
      <c r="W130" s="539">
        <v>-99</v>
      </c>
      <c r="X130" s="539">
        <v>-99</v>
      </c>
      <c r="Y130" s="539">
        <v>-99</v>
      </c>
      <c r="Z130" s="539">
        <v>-99</v>
      </c>
      <c r="AA130" s="539">
        <v>-99</v>
      </c>
      <c r="AB130" s="539">
        <v>-99</v>
      </c>
      <c r="AC130" s="539">
        <v>-99</v>
      </c>
      <c r="AD130" s="539">
        <v>-99</v>
      </c>
      <c r="AE130" s="539">
        <v>-99</v>
      </c>
      <c r="AF130" s="539">
        <v>-99</v>
      </c>
      <c r="AG130" s="539">
        <v>-99</v>
      </c>
      <c r="AH130" s="540">
        <v>-99</v>
      </c>
      <c r="AI130" s="539">
        <v>-99</v>
      </c>
      <c r="AJ130" s="540">
        <v>-99</v>
      </c>
      <c r="AK130" s="539">
        <v>-99</v>
      </c>
      <c r="AL130" s="539">
        <v>-99</v>
      </c>
      <c r="AM130" s="540">
        <v>-99</v>
      </c>
      <c r="AN130" s="539">
        <v>-99</v>
      </c>
      <c r="AO130" s="540">
        <v>-99</v>
      </c>
      <c r="AP130" s="541">
        <v>-99</v>
      </c>
      <c r="AQ130" s="539">
        <v>-99</v>
      </c>
      <c r="AR130" s="540">
        <v>-99</v>
      </c>
      <c r="AS130" s="539">
        <v>-99</v>
      </c>
      <c r="AT130" s="540">
        <v>-99</v>
      </c>
      <c r="AU130" s="539">
        <v>-99</v>
      </c>
      <c r="AV130" s="540">
        <v>-99</v>
      </c>
      <c r="AW130" s="540">
        <v>-99</v>
      </c>
      <c r="AX130" s="540">
        <v>-99</v>
      </c>
      <c r="AY130" s="540">
        <v>-99</v>
      </c>
      <c r="AZ130" s="539">
        <v>-99</v>
      </c>
      <c r="BA130" s="539">
        <v>-99</v>
      </c>
      <c r="BB130" s="540">
        <v>-99</v>
      </c>
      <c r="BC130" s="539">
        <v>-99</v>
      </c>
      <c r="BD130" s="540">
        <v>-99</v>
      </c>
      <c r="BE130" s="541">
        <v>-99</v>
      </c>
      <c r="BF130" s="612"/>
      <c r="BG130" s="612"/>
      <c r="BH130" s="612">
        <v>-99</v>
      </c>
      <c r="BI130" s="576"/>
      <c r="BJ130" s="576"/>
      <c r="BK130" s="576"/>
      <c r="BL130" s="576"/>
      <c r="BM130" s="545">
        <v>-99</v>
      </c>
      <c r="BN130" s="545">
        <v>-99</v>
      </c>
      <c r="BO130" s="576"/>
      <c r="BP130" s="576"/>
      <c r="BQ130" s="576"/>
      <c r="BR130" s="570"/>
      <c r="BS130" s="547" t="s">
        <v>188</v>
      </c>
      <c r="BT130" s="549" t="s">
        <v>188</v>
      </c>
      <c r="BU130" s="549" t="s">
        <v>188</v>
      </c>
      <c r="BV130" s="549" t="s">
        <v>188</v>
      </c>
      <c r="BW130" s="549" t="s">
        <v>188</v>
      </c>
      <c r="BX130" s="549" t="s">
        <v>188</v>
      </c>
      <c r="BY130" s="549" t="s">
        <v>188</v>
      </c>
      <c r="BZ130" s="549" t="s">
        <v>188</v>
      </c>
      <c r="CA130" s="549" t="s">
        <v>188</v>
      </c>
      <c r="CB130" s="549" t="s">
        <v>188</v>
      </c>
      <c r="CC130" s="549" t="s">
        <v>188</v>
      </c>
      <c r="CD130" s="662"/>
      <c r="CE130" s="661" t="s">
        <v>188</v>
      </c>
      <c r="CF130" s="662" t="s">
        <v>188</v>
      </c>
      <c r="CG130" s="662" t="s">
        <v>188</v>
      </c>
      <c r="CH130" s="662" t="s">
        <v>188</v>
      </c>
      <c r="CI130" s="662" t="s">
        <v>188</v>
      </c>
      <c r="CJ130" s="662" t="s">
        <v>188</v>
      </c>
      <c r="CK130" s="662" t="s">
        <v>188</v>
      </c>
      <c r="CL130" s="662" t="s">
        <v>188</v>
      </c>
      <c r="CM130" s="662" t="s">
        <v>188</v>
      </c>
      <c r="CN130" s="662" t="s">
        <v>188</v>
      </c>
      <c r="CO130" s="616"/>
      <c r="CP130" s="616"/>
      <c r="CQ130" s="616"/>
      <c r="CR130" s="616"/>
      <c r="CS130" s="616"/>
      <c r="CT130" s="616"/>
      <c r="CU130" s="616"/>
      <c r="CV130" s="616"/>
      <c r="CW130" s="616"/>
      <c r="CX130" s="616"/>
      <c r="CY130" s="616"/>
      <c r="CZ130" s="616"/>
      <c r="DA130" s="616"/>
      <c r="DB130" s="616"/>
      <c r="DC130" s="640"/>
      <c r="DD130" s="640"/>
      <c r="DE130" s="640"/>
      <c r="DF130" s="640"/>
      <c r="DG130" s="640"/>
      <c r="DH130" s="640"/>
      <c r="DI130" s="576"/>
      <c r="DJ130" s="576"/>
      <c r="DK130" s="576"/>
      <c r="DL130" s="576"/>
      <c r="DM130" s="576"/>
      <c r="DN130" s="576"/>
      <c r="DO130" s="576"/>
      <c r="DP130" s="576"/>
      <c r="DQ130" s="576"/>
      <c r="DR130" s="576"/>
      <c r="DS130" s="576"/>
      <c r="DT130" s="576"/>
      <c r="DU130" s="576"/>
      <c r="DV130" s="576"/>
      <c r="DW130" s="576"/>
      <c r="DX130" s="577"/>
      <c r="DY130" s="577"/>
      <c r="DZ130" s="577"/>
      <c r="EA130" s="577"/>
      <c r="EB130" s="577"/>
      <c r="EC130" s="577"/>
      <c r="ED130" s="577"/>
      <c r="EE130" s="577"/>
      <c r="EF130" s="577"/>
      <c r="EG130" s="577"/>
      <c r="EH130" s="8">
        <v>71</v>
      </c>
      <c r="EI130" s="360"/>
    </row>
    <row r="131" spans="1:139" s="14" customFormat="1" x14ac:dyDescent="0.25">
      <c r="A131" s="16">
        <v>127</v>
      </c>
      <c r="B131" s="526" t="s">
        <v>63</v>
      </c>
      <c r="C131" s="526"/>
      <c r="D131" s="19" t="s">
        <v>58</v>
      </c>
      <c r="E131" s="19" t="s">
        <v>75</v>
      </c>
      <c r="F131" s="19" t="s">
        <v>8</v>
      </c>
      <c r="G131" s="19" t="s">
        <v>837</v>
      </c>
      <c r="H131" s="539">
        <v>-99</v>
      </c>
      <c r="I131" s="539">
        <v>0.12599829634246817</v>
      </c>
      <c r="J131" s="539">
        <v>-99</v>
      </c>
      <c r="K131" s="539">
        <v>0.13852058628509761</v>
      </c>
      <c r="L131" s="539">
        <v>-99</v>
      </c>
      <c r="M131" s="539">
        <v>-99</v>
      </c>
      <c r="N131" s="539">
        <v>0.13158554629518546</v>
      </c>
      <c r="O131" s="539">
        <v>-99</v>
      </c>
      <c r="P131" s="539">
        <v>0.13759877360823566</v>
      </c>
      <c r="Q131" s="539">
        <v>-99</v>
      </c>
      <c r="R131" s="539">
        <v>-99</v>
      </c>
      <c r="S131" s="539">
        <v>0.12386103292939214</v>
      </c>
      <c r="T131" s="539">
        <v>-99</v>
      </c>
      <c r="U131" s="539">
        <v>0.14604801838770415</v>
      </c>
      <c r="V131" s="539">
        <v>-99</v>
      </c>
      <c r="W131" s="539">
        <v>-99</v>
      </c>
      <c r="X131" s="539">
        <v>-99</v>
      </c>
      <c r="Y131" s="539">
        <v>-99</v>
      </c>
      <c r="Z131" s="539">
        <v>-99</v>
      </c>
      <c r="AA131" s="539">
        <v>-99</v>
      </c>
      <c r="AB131" s="539">
        <v>-99</v>
      </c>
      <c r="AC131" s="539">
        <v>0.11324529240365518</v>
      </c>
      <c r="AD131" s="539">
        <v>-99</v>
      </c>
      <c r="AE131" s="539">
        <v>0.11524122165206589</v>
      </c>
      <c r="AF131" s="539">
        <v>-99</v>
      </c>
      <c r="AG131" s="539">
        <v>-99</v>
      </c>
      <c r="AH131" s="540">
        <v>0.12826751231724084</v>
      </c>
      <c r="AI131" s="539">
        <v>-99</v>
      </c>
      <c r="AJ131" s="540">
        <v>0.14247251135258887</v>
      </c>
      <c r="AK131" s="539">
        <v>-99</v>
      </c>
      <c r="AL131" s="539">
        <v>-99</v>
      </c>
      <c r="AM131" s="540">
        <v>0.13434131011105388</v>
      </c>
      <c r="AN131" s="539">
        <v>-99</v>
      </c>
      <c r="AO131" s="540">
        <v>0.14072539070305617</v>
      </c>
      <c r="AP131" s="541">
        <v>-99</v>
      </c>
      <c r="AQ131" s="539">
        <v>-99</v>
      </c>
      <c r="AR131" s="540">
        <v>0.12586860651507861</v>
      </c>
      <c r="AS131" s="539">
        <v>-99</v>
      </c>
      <c r="AT131" s="540">
        <v>0.15128017847858127</v>
      </c>
      <c r="AU131" s="539">
        <v>-99</v>
      </c>
      <c r="AV131" s="540">
        <v>-99</v>
      </c>
      <c r="AW131" s="540">
        <v>-99</v>
      </c>
      <c r="AX131" s="540">
        <v>-99</v>
      </c>
      <c r="AY131" s="540">
        <v>-99</v>
      </c>
      <c r="AZ131" s="539">
        <v>-99</v>
      </c>
      <c r="BA131" s="539">
        <v>-99</v>
      </c>
      <c r="BB131" s="540">
        <v>0.11465849551841532</v>
      </c>
      <c r="BC131" s="539">
        <v>-99</v>
      </c>
      <c r="BD131" s="540">
        <v>0.11775245676675837</v>
      </c>
      <c r="BE131" s="541">
        <v>-99</v>
      </c>
      <c r="BF131" s="612"/>
      <c r="BG131" s="612"/>
      <c r="BH131" s="612">
        <v>-99</v>
      </c>
      <c r="BI131" s="576"/>
      <c r="BJ131" s="576"/>
      <c r="BK131" s="576"/>
      <c r="BL131" s="576"/>
      <c r="BM131" s="545">
        <v>-99</v>
      </c>
      <c r="BN131" s="545">
        <v>-99</v>
      </c>
      <c r="BO131" s="576"/>
      <c r="BP131" s="576"/>
      <c r="BQ131" s="576"/>
      <c r="BR131" s="570"/>
      <c r="BS131" s="547" t="s">
        <v>188</v>
      </c>
      <c r="BT131" s="549" t="s">
        <v>188</v>
      </c>
      <c r="BU131" s="549" t="s">
        <v>188</v>
      </c>
      <c r="BV131" s="549" t="s">
        <v>188</v>
      </c>
      <c r="BW131" s="549" t="s">
        <v>188</v>
      </c>
      <c r="BX131" s="549" t="s">
        <v>188</v>
      </c>
      <c r="BY131" s="549" t="s">
        <v>188</v>
      </c>
      <c r="BZ131" s="549" t="s">
        <v>188</v>
      </c>
      <c r="CA131" s="549" t="s">
        <v>188</v>
      </c>
      <c r="CB131" s="549" t="s">
        <v>188</v>
      </c>
      <c r="CC131" s="549" t="s">
        <v>188</v>
      </c>
      <c r="CD131" s="662"/>
      <c r="CE131" s="661" t="s">
        <v>188</v>
      </c>
      <c r="CF131" s="662" t="s">
        <v>188</v>
      </c>
      <c r="CG131" s="662" t="s">
        <v>188</v>
      </c>
      <c r="CH131" s="662" t="s">
        <v>188</v>
      </c>
      <c r="CI131" s="662" t="s">
        <v>188</v>
      </c>
      <c r="CJ131" s="662" t="s">
        <v>188</v>
      </c>
      <c r="CK131" s="662" t="s">
        <v>188</v>
      </c>
      <c r="CL131" s="662" t="s">
        <v>188</v>
      </c>
      <c r="CM131" s="662" t="s">
        <v>188</v>
      </c>
      <c r="CN131" s="662" t="s">
        <v>188</v>
      </c>
      <c r="CO131" s="616"/>
      <c r="CP131" s="616"/>
      <c r="CQ131" s="616"/>
      <c r="CR131" s="616"/>
      <c r="CS131" s="616"/>
      <c r="CT131" s="616"/>
      <c r="CU131" s="616"/>
      <c r="CV131" s="616"/>
      <c r="CW131" s="616"/>
      <c r="CX131" s="616"/>
      <c r="CY131" s="616"/>
      <c r="CZ131" s="616"/>
      <c r="DA131" s="616"/>
      <c r="DB131" s="616"/>
      <c r="DC131" s="640"/>
      <c r="DD131" s="640"/>
      <c r="DE131" s="640"/>
      <c r="DF131" s="640"/>
      <c r="DG131" s="640"/>
      <c r="DH131" s="640"/>
      <c r="DI131" s="576"/>
      <c r="DJ131" s="576"/>
      <c r="DK131" s="576"/>
      <c r="DL131" s="576"/>
      <c r="DM131" s="576"/>
      <c r="DN131" s="576"/>
      <c r="DO131" s="576"/>
      <c r="DP131" s="576"/>
      <c r="DQ131" s="576"/>
      <c r="DR131" s="576"/>
      <c r="DS131" s="576"/>
      <c r="DT131" s="576"/>
      <c r="DU131" s="576"/>
      <c r="DV131" s="576"/>
      <c r="DW131" s="576"/>
      <c r="DX131" s="577"/>
      <c r="DY131" s="577"/>
      <c r="DZ131" s="577"/>
      <c r="EA131" s="577"/>
      <c r="EB131" s="577"/>
      <c r="EC131" s="577"/>
      <c r="ED131" s="577"/>
      <c r="EE131" s="577"/>
      <c r="EF131" s="577"/>
      <c r="EG131" s="577"/>
      <c r="EH131" s="8">
        <v>36</v>
      </c>
      <c r="EI131" s="360"/>
    </row>
    <row r="132" spans="1:139" s="14" customFormat="1" x14ac:dyDescent="0.25">
      <c r="A132" s="16">
        <v>128</v>
      </c>
      <c r="B132" s="19" t="s">
        <v>99</v>
      </c>
      <c r="C132" s="19"/>
      <c r="D132" s="19" t="s">
        <v>58</v>
      </c>
      <c r="E132" s="19" t="s">
        <v>75</v>
      </c>
      <c r="F132" s="19" t="s">
        <v>8</v>
      </c>
      <c r="G132" s="19" t="s">
        <v>837</v>
      </c>
      <c r="H132" s="539">
        <v>-99</v>
      </c>
      <c r="I132" s="539">
        <v>-99</v>
      </c>
      <c r="J132" s="539">
        <v>-99</v>
      </c>
      <c r="K132" s="539">
        <v>-99</v>
      </c>
      <c r="L132" s="539">
        <v>-99</v>
      </c>
      <c r="M132" s="539">
        <v>-99</v>
      </c>
      <c r="N132" s="539">
        <v>-99</v>
      </c>
      <c r="O132" s="539">
        <v>-99</v>
      </c>
      <c r="P132" s="539">
        <v>-99</v>
      </c>
      <c r="Q132" s="539">
        <v>-99</v>
      </c>
      <c r="R132" s="539">
        <v>-99</v>
      </c>
      <c r="S132" s="539">
        <v>-99</v>
      </c>
      <c r="T132" s="539">
        <v>-99</v>
      </c>
      <c r="U132" s="539">
        <v>-99</v>
      </c>
      <c r="V132" s="539">
        <v>-99</v>
      </c>
      <c r="W132" s="539">
        <v>-99</v>
      </c>
      <c r="X132" s="539">
        <v>-99</v>
      </c>
      <c r="Y132" s="539">
        <v>-99</v>
      </c>
      <c r="Z132" s="539">
        <v>-99</v>
      </c>
      <c r="AA132" s="539">
        <v>-99</v>
      </c>
      <c r="AB132" s="539">
        <v>-99</v>
      </c>
      <c r="AC132" s="539">
        <v>-99</v>
      </c>
      <c r="AD132" s="539">
        <v>-99</v>
      </c>
      <c r="AE132" s="539">
        <v>-99</v>
      </c>
      <c r="AF132" s="539">
        <v>-99</v>
      </c>
      <c r="AG132" s="539">
        <v>-99</v>
      </c>
      <c r="AH132" s="540">
        <v>-99</v>
      </c>
      <c r="AI132" s="539">
        <v>-99</v>
      </c>
      <c r="AJ132" s="540">
        <v>-99</v>
      </c>
      <c r="AK132" s="539">
        <v>-99</v>
      </c>
      <c r="AL132" s="539">
        <v>-99</v>
      </c>
      <c r="AM132" s="540">
        <v>-99</v>
      </c>
      <c r="AN132" s="539">
        <v>-99</v>
      </c>
      <c r="AO132" s="540">
        <v>-99</v>
      </c>
      <c r="AP132" s="541">
        <v>-99</v>
      </c>
      <c r="AQ132" s="539">
        <v>-99</v>
      </c>
      <c r="AR132" s="540">
        <v>-99</v>
      </c>
      <c r="AS132" s="539">
        <v>-99</v>
      </c>
      <c r="AT132" s="540">
        <v>-99</v>
      </c>
      <c r="AU132" s="539">
        <v>-99</v>
      </c>
      <c r="AV132" s="540">
        <v>-99</v>
      </c>
      <c r="AW132" s="540">
        <v>-99</v>
      </c>
      <c r="AX132" s="540">
        <v>-99</v>
      </c>
      <c r="AY132" s="540">
        <v>-99</v>
      </c>
      <c r="AZ132" s="539">
        <v>-99</v>
      </c>
      <c r="BA132" s="539">
        <v>-99</v>
      </c>
      <c r="BB132" s="540">
        <v>-99</v>
      </c>
      <c r="BC132" s="539">
        <v>-99</v>
      </c>
      <c r="BD132" s="540">
        <v>-99</v>
      </c>
      <c r="BE132" s="541">
        <v>-99</v>
      </c>
      <c r="BF132" s="612"/>
      <c r="BG132" s="612"/>
      <c r="BH132" s="612">
        <v>-99</v>
      </c>
      <c r="BI132" s="576"/>
      <c r="BJ132" s="576"/>
      <c r="BK132" s="576"/>
      <c r="BL132" s="576"/>
      <c r="BM132" s="545">
        <v>-99</v>
      </c>
      <c r="BN132" s="545">
        <v>-99</v>
      </c>
      <c r="BO132" s="576"/>
      <c r="BP132" s="576"/>
      <c r="BQ132" s="576"/>
      <c r="BR132" s="570"/>
      <c r="BS132" s="547" t="s">
        <v>188</v>
      </c>
      <c r="BT132" s="549" t="s">
        <v>188</v>
      </c>
      <c r="BU132" s="549" t="s">
        <v>188</v>
      </c>
      <c r="BV132" s="549" t="s">
        <v>188</v>
      </c>
      <c r="BW132" s="549" t="s">
        <v>188</v>
      </c>
      <c r="BX132" s="549" t="s">
        <v>188</v>
      </c>
      <c r="BY132" s="549" t="s">
        <v>188</v>
      </c>
      <c r="BZ132" s="549" t="s">
        <v>188</v>
      </c>
      <c r="CA132" s="549" t="s">
        <v>188</v>
      </c>
      <c r="CB132" s="549" t="s">
        <v>188</v>
      </c>
      <c r="CC132" s="549" t="s">
        <v>188</v>
      </c>
      <c r="CD132" s="662"/>
      <c r="CE132" s="661" t="s">
        <v>188</v>
      </c>
      <c r="CF132" s="662" t="s">
        <v>188</v>
      </c>
      <c r="CG132" s="662" t="s">
        <v>188</v>
      </c>
      <c r="CH132" s="662" t="s">
        <v>188</v>
      </c>
      <c r="CI132" s="662" t="s">
        <v>188</v>
      </c>
      <c r="CJ132" s="662" t="s">
        <v>188</v>
      </c>
      <c r="CK132" s="662" t="s">
        <v>188</v>
      </c>
      <c r="CL132" s="662" t="s">
        <v>188</v>
      </c>
      <c r="CM132" s="662" t="s">
        <v>188</v>
      </c>
      <c r="CN132" s="662" t="s">
        <v>188</v>
      </c>
      <c r="CO132" s="616"/>
      <c r="CP132" s="616"/>
      <c r="CQ132" s="616"/>
      <c r="CR132" s="616"/>
      <c r="CS132" s="616"/>
      <c r="CT132" s="616"/>
      <c r="CU132" s="616"/>
      <c r="CV132" s="616"/>
      <c r="CW132" s="616"/>
      <c r="CX132" s="616"/>
      <c r="CY132" s="616"/>
      <c r="CZ132" s="616"/>
      <c r="DA132" s="616"/>
      <c r="DB132" s="616"/>
      <c r="DC132" s="640"/>
      <c r="DD132" s="640"/>
      <c r="DE132" s="640"/>
      <c r="DF132" s="640"/>
      <c r="DG132" s="640"/>
      <c r="DH132" s="640"/>
      <c r="DI132" s="576"/>
      <c r="DJ132" s="576"/>
      <c r="DK132" s="576"/>
      <c r="DL132" s="576"/>
      <c r="DM132" s="576"/>
      <c r="DN132" s="576"/>
      <c r="DO132" s="576"/>
      <c r="DP132" s="576"/>
      <c r="DQ132" s="576"/>
      <c r="DR132" s="576"/>
      <c r="DS132" s="576"/>
      <c r="DT132" s="576"/>
      <c r="DU132" s="576"/>
      <c r="DV132" s="576"/>
      <c r="DW132" s="576"/>
      <c r="DX132" s="577"/>
      <c r="DY132" s="577"/>
      <c r="DZ132" s="577"/>
      <c r="EA132" s="577"/>
      <c r="EB132" s="577"/>
      <c r="EC132" s="577"/>
      <c r="ED132" s="577"/>
      <c r="EE132" s="577"/>
      <c r="EF132" s="577"/>
      <c r="EG132" s="577"/>
      <c r="EH132" s="8">
        <v>30</v>
      </c>
      <c r="EI132" s="360"/>
    </row>
    <row r="133" spans="1:139" s="14" customFormat="1" x14ac:dyDescent="0.25">
      <c r="A133" s="16">
        <v>129</v>
      </c>
      <c r="B133" s="19" t="s">
        <v>722</v>
      </c>
      <c r="C133" s="19" t="s">
        <v>639</v>
      </c>
      <c r="D133" s="19" t="s">
        <v>53</v>
      </c>
      <c r="E133" s="19" t="s">
        <v>74</v>
      </c>
      <c r="F133" s="19"/>
      <c r="G133" s="19" t="s">
        <v>6</v>
      </c>
      <c r="H133" s="539">
        <v>-99</v>
      </c>
      <c r="I133" s="539">
        <v>3.8092559156652391E-2</v>
      </c>
      <c r="J133" s="539">
        <v>2.6432000000000001E-2</v>
      </c>
      <c r="K133" s="539">
        <v>5.6093078432982793E-2</v>
      </c>
      <c r="L133" s="539">
        <v>3.7036999999999994E-2</v>
      </c>
      <c r="M133" s="539">
        <v>-99</v>
      </c>
      <c r="N133" s="539">
        <v>2.3E-2</v>
      </c>
      <c r="O133" s="539">
        <v>2.5677000000000002E-2</v>
      </c>
      <c r="P133" s="539">
        <v>3.6999999999999998E-2</v>
      </c>
      <c r="Q133" s="539">
        <v>2.5987999999999997E-2</v>
      </c>
      <c r="R133" s="539">
        <v>-99</v>
      </c>
      <c r="S133" s="539">
        <v>-99</v>
      </c>
      <c r="T133" s="539">
        <v>-99</v>
      </c>
      <c r="U133" s="539">
        <v>-99</v>
      </c>
      <c r="V133" s="539">
        <v>-99</v>
      </c>
      <c r="W133" s="539">
        <v>-99</v>
      </c>
      <c r="X133" s="539">
        <v>4.7E-2</v>
      </c>
      <c r="Y133" s="539">
        <v>-99</v>
      </c>
      <c r="Z133" s="539">
        <v>7.0999999999999994E-2</v>
      </c>
      <c r="AA133" s="539">
        <v>5.9695999999999992E-2</v>
      </c>
      <c r="AB133" s="539">
        <v>-99</v>
      </c>
      <c r="AC133" s="539">
        <v>5.1999999999999998E-2</v>
      </c>
      <c r="AD133" s="539">
        <v>5.1250000000000004E-2</v>
      </c>
      <c r="AE133" s="539">
        <v>6.0999999999999999E-2</v>
      </c>
      <c r="AF133" s="539">
        <v>6.4635999999999999E-2</v>
      </c>
      <c r="AG133" s="539">
        <v>-99</v>
      </c>
      <c r="AH133" s="540">
        <v>-99</v>
      </c>
      <c r="AI133" s="539">
        <v>-99</v>
      </c>
      <c r="AJ133" s="540">
        <v>-99</v>
      </c>
      <c r="AK133" s="539">
        <v>-99</v>
      </c>
      <c r="AL133" s="539">
        <v>-99</v>
      </c>
      <c r="AM133" s="540">
        <v>-99</v>
      </c>
      <c r="AN133" s="539">
        <v>-99</v>
      </c>
      <c r="AO133" s="540">
        <v>-99</v>
      </c>
      <c r="AP133" s="541">
        <v>-99</v>
      </c>
      <c r="AQ133" s="539">
        <v>-99</v>
      </c>
      <c r="AR133" s="540">
        <v>-99</v>
      </c>
      <c r="AS133" s="539">
        <v>-99</v>
      </c>
      <c r="AT133" s="540">
        <v>-99</v>
      </c>
      <c r="AU133" s="539">
        <v>-99</v>
      </c>
      <c r="AV133" s="540">
        <v>-99</v>
      </c>
      <c r="AW133" s="540">
        <v>-99</v>
      </c>
      <c r="AX133" s="540">
        <v>-99</v>
      </c>
      <c r="AY133" s="540">
        <v>-99</v>
      </c>
      <c r="AZ133" s="539">
        <v>-99</v>
      </c>
      <c r="BA133" s="539">
        <v>-99</v>
      </c>
      <c r="BB133" s="540">
        <v>-99</v>
      </c>
      <c r="BC133" s="539">
        <v>-99</v>
      </c>
      <c r="BD133" s="540">
        <v>-99</v>
      </c>
      <c r="BE133" s="541">
        <v>-99</v>
      </c>
      <c r="BF133" s="612"/>
      <c r="BG133" s="612"/>
      <c r="BH133" s="612">
        <v>-99</v>
      </c>
      <c r="BI133" s="576"/>
      <c r="BJ133" s="576"/>
      <c r="BK133" s="576"/>
      <c r="BL133" s="576"/>
      <c r="BM133" s="545">
        <v>-99</v>
      </c>
      <c r="BN133" s="545">
        <v>-99</v>
      </c>
      <c r="BO133" s="576"/>
      <c r="BP133" s="576"/>
      <c r="BQ133" s="576"/>
      <c r="BR133" s="570"/>
      <c r="BS133" s="547" t="s">
        <v>188</v>
      </c>
      <c r="BT133" s="549" t="s">
        <v>188</v>
      </c>
      <c r="BU133" s="549" t="s">
        <v>188</v>
      </c>
      <c r="BV133" s="549" t="s">
        <v>188</v>
      </c>
      <c r="BW133" s="549" t="s">
        <v>188</v>
      </c>
      <c r="BX133" s="549" t="s">
        <v>188</v>
      </c>
      <c r="BY133" s="549" t="s">
        <v>188</v>
      </c>
      <c r="BZ133" s="549" t="s">
        <v>188</v>
      </c>
      <c r="CA133" s="549" t="s">
        <v>188</v>
      </c>
      <c r="CB133" s="549" t="s">
        <v>188</v>
      </c>
      <c r="CC133" s="549" t="s">
        <v>188</v>
      </c>
      <c r="CD133" s="662"/>
      <c r="CE133" s="661" t="s">
        <v>188</v>
      </c>
      <c r="CF133" s="662" t="s">
        <v>188</v>
      </c>
      <c r="CG133" s="662" t="s">
        <v>188</v>
      </c>
      <c r="CH133" s="662" t="s">
        <v>188</v>
      </c>
      <c r="CI133" s="662" t="s">
        <v>188</v>
      </c>
      <c r="CJ133" s="662" t="s">
        <v>188</v>
      </c>
      <c r="CK133" s="662" t="s">
        <v>188</v>
      </c>
      <c r="CL133" s="662" t="s">
        <v>188</v>
      </c>
      <c r="CM133" s="662" t="s">
        <v>188</v>
      </c>
      <c r="CN133" s="662" t="s">
        <v>188</v>
      </c>
      <c r="CO133" s="616"/>
      <c r="CP133" s="616"/>
      <c r="CQ133" s="616"/>
      <c r="CR133" s="616"/>
      <c r="CS133" s="616"/>
      <c r="CT133" s="616"/>
      <c r="CU133" s="616"/>
      <c r="CV133" s="616"/>
      <c r="CW133" s="616"/>
      <c r="CX133" s="616"/>
      <c r="CY133" s="616"/>
      <c r="CZ133" s="616"/>
      <c r="DA133" s="616"/>
      <c r="DB133" s="616"/>
      <c r="DC133" s="640"/>
      <c r="DD133" s="640"/>
      <c r="DE133" s="640"/>
      <c r="DF133" s="640"/>
      <c r="DG133" s="640"/>
      <c r="DH133" s="640"/>
      <c r="DI133" s="576"/>
      <c r="DJ133" s="576"/>
      <c r="DK133" s="576"/>
      <c r="DL133" s="576"/>
      <c r="DM133" s="576"/>
      <c r="DN133" s="576"/>
      <c r="DO133" s="576"/>
      <c r="DP133" s="576"/>
      <c r="DQ133" s="576"/>
      <c r="DR133" s="576"/>
      <c r="DS133" s="576"/>
      <c r="DT133" s="576"/>
      <c r="DU133" s="576"/>
      <c r="DV133" s="576"/>
      <c r="DW133" s="576"/>
      <c r="DX133" s="577"/>
      <c r="DY133" s="577"/>
      <c r="DZ133" s="577"/>
      <c r="EA133" s="577"/>
      <c r="EB133" s="577"/>
      <c r="EC133" s="577"/>
      <c r="ED133" s="577"/>
      <c r="EE133" s="577"/>
      <c r="EF133" s="577"/>
      <c r="EG133" s="577"/>
      <c r="EH133" s="8">
        <v>77</v>
      </c>
      <c r="EI133" s="360"/>
    </row>
    <row r="134" spans="1:139" s="14" customFormat="1" x14ac:dyDescent="0.25">
      <c r="A134" s="16">
        <v>130</v>
      </c>
      <c r="B134" s="526" t="s">
        <v>67</v>
      </c>
      <c r="C134" s="526"/>
      <c r="D134" s="19" t="s">
        <v>53</v>
      </c>
      <c r="E134" s="19" t="s">
        <v>75</v>
      </c>
      <c r="F134" s="19" t="s">
        <v>8</v>
      </c>
      <c r="G134" s="19" t="s">
        <v>837</v>
      </c>
      <c r="H134" s="539">
        <v>-99</v>
      </c>
      <c r="I134" s="539">
        <v>-99</v>
      </c>
      <c r="J134" s="539">
        <v>-99</v>
      </c>
      <c r="K134" s="539">
        <v>-99</v>
      </c>
      <c r="L134" s="539">
        <v>-99</v>
      </c>
      <c r="M134" s="539">
        <v>-99</v>
      </c>
      <c r="N134" s="539">
        <v>-99</v>
      </c>
      <c r="O134" s="539">
        <v>-99</v>
      </c>
      <c r="P134" s="539">
        <v>-99</v>
      </c>
      <c r="Q134" s="539">
        <v>-99</v>
      </c>
      <c r="R134" s="539">
        <v>-99</v>
      </c>
      <c r="S134" s="539">
        <v>-99</v>
      </c>
      <c r="T134" s="539">
        <v>-99</v>
      </c>
      <c r="U134" s="539">
        <v>-99</v>
      </c>
      <c r="V134" s="539">
        <v>-99</v>
      </c>
      <c r="W134" s="539">
        <v>-99</v>
      </c>
      <c r="X134" s="539">
        <v>-99</v>
      </c>
      <c r="Y134" s="539">
        <v>-99</v>
      </c>
      <c r="Z134" s="539">
        <v>-99</v>
      </c>
      <c r="AA134" s="539">
        <v>-99</v>
      </c>
      <c r="AB134" s="539">
        <v>-99</v>
      </c>
      <c r="AC134" s="539">
        <v>-99</v>
      </c>
      <c r="AD134" s="539">
        <v>-99</v>
      </c>
      <c r="AE134" s="539">
        <v>-99</v>
      </c>
      <c r="AF134" s="539">
        <v>-99</v>
      </c>
      <c r="AG134" s="539">
        <v>-99</v>
      </c>
      <c r="AH134" s="540">
        <v>-99</v>
      </c>
      <c r="AI134" s="539">
        <v>-99</v>
      </c>
      <c r="AJ134" s="540">
        <v>-99</v>
      </c>
      <c r="AK134" s="539">
        <v>-99</v>
      </c>
      <c r="AL134" s="539">
        <v>-99</v>
      </c>
      <c r="AM134" s="540">
        <v>-99</v>
      </c>
      <c r="AN134" s="539">
        <v>-99</v>
      </c>
      <c r="AO134" s="540">
        <v>-99</v>
      </c>
      <c r="AP134" s="541">
        <v>-99</v>
      </c>
      <c r="AQ134" s="539">
        <v>-99</v>
      </c>
      <c r="AR134" s="540">
        <v>-99</v>
      </c>
      <c r="AS134" s="539">
        <v>-99</v>
      </c>
      <c r="AT134" s="540">
        <v>-99</v>
      </c>
      <c r="AU134" s="539">
        <v>-99</v>
      </c>
      <c r="AV134" s="540">
        <v>-99</v>
      </c>
      <c r="AW134" s="540">
        <v>-99</v>
      </c>
      <c r="AX134" s="540">
        <v>-99</v>
      </c>
      <c r="AY134" s="540">
        <v>-99</v>
      </c>
      <c r="AZ134" s="539">
        <v>-99</v>
      </c>
      <c r="BA134" s="539">
        <v>-99</v>
      </c>
      <c r="BB134" s="540">
        <v>-99</v>
      </c>
      <c r="BC134" s="539">
        <v>-99</v>
      </c>
      <c r="BD134" s="540">
        <v>-99</v>
      </c>
      <c r="BE134" s="541">
        <v>-99</v>
      </c>
      <c r="BF134" s="612"/>
      <c r="BG134" s="612"/>
      <c r="BH134" s="612">
        <v>-99</v>
      </c>
      <c r="BI134" s="576"/>
      <c r="BJ134" s="576"/>
      <c r="BK134" s="576"/>
      <c r="BL134" s="576"/>
      <c r="BM134" s="545">
        <v>-99</v>
      </c>
      <c r="BN134" s="545">
        <v>-99</v>
      </c>
      <c r="BO134" s="576"/>
      <c r="BP134" s="576"/>
      <c r="BQ134" s="576"/>
      <c r="BR134" s="570"/>
      <c r="BS134" s="547" t="s">
        <v>188</v>
      </c>
      <c r="BT134" s="549" t="s">
        <v>188</v>
      </c>
      <c r="BU134" s="549" t="s">
        <v>188</v>
      </c>
      <c r="BV134" s="549" t="s">
        <v>188</v>
      </c>
      <c r="BW134" s="549" t="s">
        <v>188</v>
      </c>
      <c r="BX134" s="549" t="s">
        <v>188</v>
      </c>
      <c r="BY134" s="549" t="s">
        <v>188</v>
      </c>
      <c r="BZ134" s="549" t="s">
        <v>188</v>
      </c>
      <c r="CA134" s="549" t="s">
        <v>188</v>
      </c>
      <c r="CB134" s="549" t="s">
        <v>188</v>
      </c>
      <c r="CC134" s="549" t="s">
        <v>188</v>
      </c>
      <c r="CD134" s="662"/>
      <c r="CE134" s="661" t="s">
        <v>188</v>
      </c>
      <c r="CF134" s="662" t="s">
        <v>188</v>
      </c>
      <c r="CG134" s="662" t="s">
        <v>188</v>
      </c>
      <c r="CH134" s="662" t="s">
        <v>188</v>
      </c>
      <c r="CI134" s="662" t="s">
        <v>188</v>
      </c>
      <c r="CJ134" s="662" t="s">
        <v>188</v>
      </c>
      <c r="CK134" s="662" t="s">
        <v>188</v>
      </c>
      <c r="CL134" s="662" t="s">
        <v>188</v>
      </c>
      <c r="CM134" s="662" t="s">
        <v>188</v>
      </c>
      <c r="CN134" s="662" t="s">
        <v>188</v>
      </c>
      <c r="CO134" s="616"/>
      <c r="CP134" s="616"/>
      <c r="CQ134" s="616"/>
      <c r="CR134" s="616"/>
      <c r="CS134" s="616"/>
      <c r="CT134" s="616"/>
      <c r="CU134" s="616"/>
      <c r="CV134" s="616"/>
      <c r="CW134" s="616"/>
      <c r="CX134" s="616"/>
      <c r="CY134" s="616"/>
      <c r="CZ134" s="616"/>
      <c r="DA134" s="616"/>
      <c r="DB134" s="616"/>
      <c r="DC134" s="640"/>
      <c r="DD134" s="640"/>
      <c r="DE134" s="640"/>
      <c r="DF134" s="640"/>
      <c r="DG134" s="640"/>
      <c r="DH134" s="640"/>
      <c r="DI134" s="576"/>
      <c r="DJ134" s="576"/>
      <c r="DK134" s="576"/>
      <c r="DL134" s="576"/>
      <c r="DM134" s="576"/>
      <c r="DN134" s="576"/>
      <c r="DO134" s="576"/>
      <c r="DP134" s="576"/>
      <c r="DQ134" s="576"/>
      <c r="DR134" s="576"/>
      <c r="DS134" s="576"/>
      <c r="DT134" s="576"/>
      <c r="DU134" s="576"/>
      <c r="DV134" s="576"/>
      <c r="DW134" s="576"/>
      <c r="DX134" s="577"/>
      <c r="DY134" s="577"/>
      <c r="DZ134" s="577"/>
      <c r="EA134" s="577"/>
      <c r="EB134" s="577"/>
      <c r="EC134" s="577"/>
      <c r="ED134" s="577"/>
      <c r="EE134" s="577"/>
      <c r="EF134" s="577"/>
      <c r="EG134" s="577"/>
      <c r="EH134" s="8">
        <v>74</v>
      </c>
      <c r="EI134" s="360"/>
    </row>
    <row r="135" spans="1:139" s="14" customFormat="1" x14ac:dyDescent="0.25">
      <c r="A135" s="16">
        <v>131</v>
      </c>
      <c r="B135" s="19" t="s">
        <v>45</v>
      </c>
      <c r="C135" s="19"/>
      <c r="D135" s="19" t="s">
        <v>53</v>
      </c>
      <c r="E135" s="19" t="s">
        <v>75</v>
      </c>
      <c r="F135" s="19" t="s">
        <v>8</v>
      </c>
      <c r="G135" s="19" t="s">
        <v>837</v>
      </c>
      <c r="H135" s="539">
        <v>-99</v>
      </c>
      <c r="I135" s="539">
        <v>-99</v>
      </c>
      <c r="J135" s="539">
        <v>-99</v>
      </c>
      <c r="K135" s="539">
        <v>-99</v>
      </c>
      <c r="L135" s="539">
        <v>-99</v>
      </c>
      <c r="M135" s="539">
        <v>-99</v>
      </c>
      <c r="N135" s="539">
        <v>-99</v>
      </c>
      <c r="O135" s="539">
        <v>-99</v>
      </c>
      <c r="P135" s="539">
        <v>-99</v>
      </c>
      <c r="Q135" s="539">
        <v>-99</v>
      </c>
      <c r="R135" s="539">
        <v>-99</v>
      </c>
      <c r="S135" s="539">
        <v>-99</v>
      </c>
      <c r="T135" s="539">
        <v>-99</v>
      </c>
      <c r="U135" s="539">
        <v>-99</v>
      </c>
      <c r="V135" s="539">
        <v>-99</v>
      </c>
      <c r="W135" s="539">
        <v>-99</v>
      </c>
      <c r="X135" s="539">
        <v>-99</v>
      </c>
      <c r="Y135" s="539">
        <v>-99</v>
      </c>
      <c r="Z135" s="539">
        <v>-99</v>
      </c>
      <c r="AA135" s="539">
        <v>-99</v>
      </c>
      <c r="AB135" s="539">
        <v>-99</v>
      </c>
      <c r="AC135" s="539">
        <v>-99</v>
      </c>
      <c r="AD135" s="539">
        <v>-99</v>
      </c>
      <c r="AE135" s="539">
        <v>-99</v>
      </c>
      <c r="AF135" s="539">
        <v>-99</v>
      </c>
      <c r="AG135" s="539">
        <v>-99</v>
      </c>
      <c r="AH135" s="540">
        <v>-99</v>
      </c>
      <c r="AI135" s="539">
        <v>-99</v>
      </c>
      <c r="AJ135" s="540">
        <v>-99</v>
      </c>
      <c r="AK135" s="539">
        <v>-99</v>
      </c>
      <c r="AL135" s="539">
        <v>-99</v>
      </c>
      <c r="AM135" s="540">
        <v>-99</v>
      </c>
      <c r="AN135" s="539">
        <v>-99</v>
      </c>
      <c r="AO135" s="540">
        <v>-99</v>
      </c>
      <c r="AP135" s="541">
        <v>-99</v>
      </c>
      <c r="AQ135" s="539">
        <v>-99</v>
      </c>
      <c r="AR135" s="540">
        <v>-99</v>
      </c>
      <c r="AS135" s="539">
        <v>-99</v>
      </c>
      <c r="AT135" s="540">
        <v>-99</v>
      </c>
      <c r="AU135" s="539">
        <v>-99</v>
      </c>
      <c r="AV135" s="540">
        <v>-99</v>
      </c>
      <c r="AW135" s="540">
        <v>-99</v>
      </c>
      <c r="AX135" s="540">
        <v>-99</v>
      </c>
      <c r="AY135" s="540">
        <v>-99</v>
      </c>
      <c r="AZ135" s="539">
        <v>-99</v>
      </c>
      <c r="BA135" s="539">
        <v>-99</v>
      </c>
      <c r="BB135" s="540">
        <v>-99</v>
      </c>
      <c r="BC135" s="539">
        <v>-99</v>
      </c>
      <c r="BD135" s="540">
        <v>-99</v>
      </c>
      <c r="BE135" s="541">
        <v>-99</v>
      </c>
      <c r="BF135" s="612"/>
      <c r="BG135" s="612"/>
      <c r="BH135" s="612">
        <v>-99</v>
      </c>
      <c r="BI135" s="576"/>
      <c r="BJ135" s="576"/>
      <c r="BK135" s="576"/>
      <c r="BL135" s="576"/>
      <c r="BM135" s="545">
        <v>-99</v>
      </c>
      <c r="BN135" s="545">
        <v>-99</v>
      </c>
      <c r="BO135" s="576"/>
      <c r="BP135" s="576"/>
      <c r="BQ135" s="576"/>
      <c r="BR135" s="570"/>
      <c r="BS135" s="547" t="s">
        <v>188</v>
      </c>
      <c r="BT135" s="549" t="s">
        <v>188</v>
      </c>
      <c r="BU135" s="549" t="s">
        <v>188</v>
      </c>
      <c r="BV135" s="549" t="s">
        <v>188</v>
      </c>
      <c r="BW135" s="549" t="s">
        <v>188</v>
      </c>
      <c r="BX135" s="549" t="s">
        <v>188</v>
      </c>
      <c r="BY135" s="549" t="s">
        <v>188</v>
      </c>
      <c r="BZ135" s="549" t="s">
        <v>188</v>
      </c>
      <c r="CA135" s="549" t="s">
        <v>188</v>
      </c>
      <c r="CB135" s="549" t="s">
        <v>188</v>
      </c>
      <c r="CC135" s="549" t="s">
        <v>188</v>
      </c>
      <c r="CD135" s="662"/>
      <c r="CE135" s="661" t="s">
        <v>188</v>
      </c>
      <c r="CF135" s="662" t="s">
        <v>188</v>
      </c>
      <c r="CG135" s="662" t="s">
        <v>188</v>
      </c>
      <c r="CH135" s="662" t="s">
        <v>188</v>
      </c>
      <c r="CI135" s="662" t="s">
        <v>188</v>
      </c>
      <c r="CJ135" s="662" t="s">
        <v>188</v>
      </c>
      <c r="CK135" s="662" t="s">
        <v>188</v>
      </c>
      <c r="CL135" s="662" t="s">
        <v>188</v>
      </c>
      <c r="CM135" s="662" t="s">
        <v>188</v>
      </c>
      <c r="CN135" s="662" t="s">
        <v>188</v>
      </c>
      <c r="CO135" s="616"/>
      <c r="CP135" s="616"/>
      <c r="CQ135" s="616"/>
      <c r="CR135" s="616"/>
      <c r="CS135" s="616"/>
      <c r="CT135" s="616"/>
      <c r="CU135" s="616"/>
      <c r="CV135" s="616"/>
      <c r="CW135" s="616"/>
      <c r="CX135" s="616"/>
      <c r="CY135" s="616"/>
      <c r="CZ135" s="616"/>
      <c r="DA135" s="616"/>
      <c r="DB135" s="616"/>
      <c r="DC135" s="640"/>
      <c r="DD135" s="640"/>
      <c r="DE135" s="640"/>
      <c r="DF135" s="640"/>
      <c r="DG135" s="640"/>
      <c r="DH135" s="640"/>
      <c r="DI135" s="576"/>
      <c r="DJ135" s="576"/>
      <c r="DK135" s="576"/>
      <c r="DL135" s="576"/>
      <c r="DM135" s="576"/>
      <c r="DN135" s="576"/>
      <c r="DO135" s="576"/>
      <c r="DP135" s="576"/>
      <c r="DQ135" s="576"/>
      <c r="DR135" s="576"/>
      <c r="DS135" s="576"/>
      <c r="DT135" s="576"/>
      <c r="DU135" s="576"/>
      <c r="DV135" s="576"/>
      <c r="DW135" s="576"/>
      <c r="DX135" s="577"/>
      <c r="DY135" s="577"/>
      <c r="DZ135" s="577"/>
      <c r="EA135" s="577"/>
      <c r="EB135" s="577"/>
      <c r="EC135" s="577"/>
      <c r="ED135" s="577"/>
      <c r="EE135" s="577"/>
      <c r="EF135" s="577"/>
      <c r="EG135" s="577"/>
      <c r="EH135" s="8">
        <v>69</v>
      </c>
      <c r="EI135" s="360"/>
    </row>
    <row r="136" spans="1:139" s="14" customFormat="1" x14ac:dyDescent="0.25">
      <c r="A136" s="16">
        <v>132</v>
      </c>
      <c r="B136" s="19" t="s">
        <v>66</v>
      </c>
      <c r="C136" s="19"/>
      <c r="D136" s="19" t="s">
        <v>53</v>
      </c>
      <c r="E136" s="19" t="s">
        <v>75</v>
      </c>
      <c r="F136" s="19" t="s">
        <v>8</v>
      </c>
      <c r="G136" s="19" t="s">
        <v>837</v>
      </c>
      <c r="H136" s="539">
        <v>-99</v>
      </c>
      <c r="I136" s="539">
        <v>6.7916924928752453E-2</v>
      </c>
      <c r="J136" s="539">
        <v>-99</v>
      </c>
      <c r="K136" s="539">
        <v>8.9089064933867201E-2</v>
      </c>
      <c r="L136" s="539">
        <v>-99</v>
      </c>
      <c r="M136" s="539">
        <v>-99</v>
      </c>
      <c r="N136" s="539">
        <v>7.8387406903310239E-2</v>
      </c>
      <c r="O136" s="539">
        <v>-99</v>
      </c>
      <c r="P136" s="539">
        <v>9.1255418280345127E-2</v>
      </c>
      <c r="Q136" s="539">
        <v>-99</v>
      </c>
      <c r="R136" s="539">
        <v>-99</v>
      </c>
      <c r="S136" s="539">
        <v>5.1692812725611971E-2</v>
      </c>
      <c r="T136" s="539">
        <v>-99</v>
      </c>
      <c r="U136" s="539">
        <v>8.4483632597190605E-2</v>
      </c>
      <c r="V136" s="539">
        <v>-99</v>
      </c>
      <c r="W136" s="539">
        <v>-99</v>
      </c>
      <c r="X136" s="539">
        <v>-99</v>
      </c>
      <c r="Y136" s="539">
        <v>-99</v>
      </c>
      <c r="Z136" s="539">
        <v>-99</v>
      </c>
      <c r="AA136" s="539">
        <v>-99</v>
      </c>
      <c r="AB136" s="539">
        <v>-99</v>
      </c>
      <c r="AC136" s="539">
        <v>8.519883986274622E-2</v>
      </c>
      <c r="AD136" s="539">
        <v>-99</v>
      </c>
      <c r="AE136" s="539">
        <v>9.7295196781324006E-2</v>
      </c>
      <c r="AF136" s="539">
        <v>-99</v>
      </c>
      <c r="AG136" s="539">
        <v>-99</v>
      </c>
      <c r="AH136" s="540">
        <v>7.7998270741605993E-2</v>
      </c>
      <c r="AI136" s="539">
        <v>-99</v>
      </c>
      <c r="AJ136" s="540">
        <v>0.10189298936826235</v>
      </c>
      <c r="AK136" s="539">
        <v>-99</v>
      </c>
      <c r="AL136" s="539">
        <v>-99</v>
      </c>
      <c r="AM136" s="540">
        <v>9.0708714539397065E-2</v>
      </c>
      <c r="AN136" s="539">
        <v>-99</v>
      </c>
      <c r="AO136" s="540">
        <v>0.10260739939591043</v>
      </c>
      <c r="AP136" s="541">
        <v>-99</v>
      </c>
      <c r="AQ136" s="539">
        <v>-99</v>
      </c>
      <c r="AR136" s="540">
        <v>5.7018501677256715E-2</v>
      </c>
      <c r="AS136" s="539">
        <v>-99</v>
      </c>
      <c r="AT136" s="540">
        <v>9.8592831575325918E-2</v>
      </c>
      <c r="AU136" s="539">
        <v>-99</v>
      </c>
      <c r="AV136" s="540">
        <v>-99</v>
      </c>
      <c r="AW136" s="540">
        <v>-99</v>
      </c>
      <c r="AX136" s="540">
        <v>-99</v>
      </c>
      <c r="AY136" s="540">
        <v>-99</v>
      </c>
      <c r="AZ136" s="539">
        <v>-99</v>
      </c>
      <c r="BA136" s="539">
        <v>-99</v>
      </c>
      <c r="BB136" s="540">
        <v>0.10330750022685187</v>
      </c>
      <c r="BC136" s="539">
        <v>-99</v>
      </c>
      <c r="BD136" s="540">
        <v>0.11093018207892065</v>
      </c>
      <c r="BE136" s="541">
        <v>-99</v>
      </c>
      <c r="BF136" s="612"/>
      <c r="BG136" s="612"/>
      <c r="BH136" s="612">
        <v>-99</v>
      </c>
      <c r="BI136" s="576"/>
      <c r="BJ136" s="576"/>
      <c r="BK136" s="576"/>
      <c r="BL136" s="576"/>
      <c r="BM136" s="545">
        <v>-99</v>
      </c>
      <c r="BN136" s="545">
        <v>-99</v>
      </c>
      <c r="BO136" s="576"/>
      <c r="BP136" s="576"/>
      <c r="BQ136" s="576"/>
      <c r="BR136" s="570"/>
      <c r="BS136" s="547" t="s">
        <v>188</v>
      </c>
      <c r="BT136" s="549" t="s">
        <v>188</v>
      </c>
      <c r="BU136" s="549" t="s">
        <v>188</v>
      </c>
      <c r="BV136" s="549" t="s">
        <v>188</v>
      </c>
      <c r="BW136" s="549" t="s">
        <v>188</v>
      </c>
      <c r="BX136" s="549" t="s">
        <v>188</v>
      </c>
      <c r="BY136" s="549" t="s">
        <v>188</v>
      </c>
      <c r="BZ136" s="549" t="s">
        <v>188</v>
      </c>
      <c r="CA136" s="549" t="s">
        <v>188</v>
      </c>
      <c r="CB136" s="549" t="s">
        <v>188</v>
      </c>
      <c r="CC136" s="549" t="s">
        <v>188</v>
      </c>
      <c r="CD136" s="662"/>
      <c r="CE136" s="661" t="s">
        <v>188</v>
      </c>
      <c r="CF136" s="662" t="s">
        <v>188</v>
      </c>
      <c r="CG136" s="662" t="s">
        <v>188</v>
      </c>
      <c r="CH136" s="662" t="s">
        <v>188</v>
      </c>
      <c r="CI136" s="662" t="s">
        <v>188</v>
      </c>
      <c r="CJ136" s="662" t="s">
        <v>188</v>
      </c>
      <c r="CK136" s="662" t="s">
        <v>188</v>
      </c>
      <c r="CL136" s="662" t="s">
        <v>188</v>
      </c>
      <c r="CM136" s="662" t="s">
        <v>188</v>
      </c>
      <c r="CN136" s="662" t="s">
        <v>188</v>
      </c>
      <c r="CO136" s="616"/>
      <c r="CP136" s="616"/>
      <c r="CQ136" s="616"/>
      <c r="CR136" s="616"/>
      <c r="CS136" s="616"/>
      <c r="CT136" s="616"/>
      <c r="CU136" s="616"/>
      <c r="CV136" s="616"/>
      <c r="CW136" s="616"/>
      <c r="CX136" s="616"/>
      <c r="CY136" s="616"/>
      <c r="CZ136" s="616"/>
      <c r="DA136" s="616"/>
      <c r="DB136" s="616"/>
      <c r="DC136" s="640"/>
      <c r="DD136" s="640"/>
      <c r="DE136" s="640"/>
      <c r="DF136" s="640"/>
      <c r="DG136" s="640"/>
      <c r="DH136" s="640"/>
      <c r="DI136" s="576"/>
      <c r="DJ136" s="576"/>
      <c r="DK136" s="576"/>
      <c r="DL136" s="576"/>
      <c r="DM136" s="576"/>
      <c r="DN136" s="576"/>
      <c r="DO136" s="576"/>
      <c r="DP136" s="576"/>
      <c r="DQ136" s="576"/>
      <c r="DR136" s="576"/>
      <c r="DS136" s="576"/>
      <c r="DT136" s="576"/>
      <c r="DU136" s="576"/>
      <c r="DV136" s="576"/>
      <c r="DW136" s="576"/>
      <c r="DX136" s="577"/>
      <c r="DY136" s="577"/>
      <c r="DZ136" s="577"/>
      <c r="EA136" s="577"/>
      <c r="EB136" s="577"/>
      <c r="EC136" s="577"/>
      <c r="ED136" s="577"/>
      <c r="EE136" s="577"/>
      <c r="EF136" s="577"/>
      <c r="EG136" s="577"/>
      <c r="EH136" s="8">
        <v>56</v>
      </c>
      <c r="EI136" s="360"/>
    </row>
    <row r="137" spans="1:139" s="14" customFormat="1" x14ac:dyDescent="0.25">
      <c r="A137" s="16">
        <v>133</v>
      </c>
      <c r="B137" s="19" t="s">
        <v>7</v>
      </c>
      <c r="C137" s="19"/>
      <c r="D137" s="19" t="s">
        <v>53</v>
      </c>
      <c r="E137" s="19" t="s">
        <v>74</v>
      </c>
      <c r="F137" s="19"/>
      <c r="G137" s="19" t="s">
        <v>6</v>
      </c>
      <c r="H137" s="539">
        <v>-99</v>
      </c>
      <c r="I137" s="539">
        <v>1.9586019642481838E-2</v>
      </c>
      <c r="J137" s="539">
        <v>2.2941176470588236E-2</v>
      </c>
      <c r="K137" s="539">
        <v>4.4981381422331032E-2</v>
      </c>
      <c r="L137" s="539">
        <v>2.7636000000000004E-2</v>
      </c>
      <c r="M137" s="539">
        <v>-99</v>
      </c>
      <c r="N137" s="539">
        <v>1.4999999999999999E-2</v>
      </c>
      <c r="O137" s="539">
        <v>1.3734177215189873E-2</v>
      </c>
      <c r="P137" s="539">
        <v>0.03</v>
      </c>
      <c r="Q137" s="539">
        <v>1.4534999999999999E-2</v>
      </c>
      <c r="R137" s="539">
        <v>-99</v>
      </c>
      <c r="S137" s="539">
        <v>-99</v>
      </c>
      <c r="T137" s="539">
        <v>-99</v>
      </c>
      <c r="U137" s="539">
        <v>-99</v>
      </c>
      <c r="V137" s="539">
        <v>-99</v>
      </c>
      <c r="W137" s="539">
        <v>-99</v>
      </c>
      <c r="X137" s="539">
        <v>2.1000000000000001E-2</v>
      </c>
      <c r="Y137" s="539">
        <v>-99</v>
      </c>
      <c r="Z137" s="539">
        <v>5.8999999999999997E-2</v>
      </c>
      <c r="AA137" s="539">
        <v>4.8691999999999999E-2</v>
      </c>
      <c r="AB137" s="539">
        <v>-99</v>
      </c>
      <c r="AC137" s="539">
        <v>0.03</v>
      </c>
      <c r="AD137" s="539">
        <v>5.9639999999999999E-2</v>
      </c>
      <c r="AE137" s="539">
        <v>3.7999999999999999E-2</v>
      </c>
      <c r="AF137" s="539">
        <v>4.8500000000000001E-2</v>
      </c>
      <c r="AG137" s="539">
        <v>-99</v>
      </c>
      <c r="AH137" s="540">
        <v>-99</v>
      </c>
      <c r="AI137" s="539">
        <v>-99</v>
      </c>
      <c r="AJ137" s="540">
        <v>-99</v>
      </c>
      <c r="AK137" s="539">
        <v>-99</v>
      </c>
      <c r="AL137" s="539">
        <v>-99</v>
      </c>
      <c r="AM137" s="540">
        <v>-99</v>
      </c>
      <c r="AN137" s="539">
        <v>-99</v>
      </c>
      <c r="AO137" s="540">
        <v>-99</v>
      </c>
      <c r="AP137" s="541">
        <v>-99</v>
      </c>
      <c r="AQ137" s="539">
        <v>-99</v>
      </c>
      <c r="AR137" s="540">
        <v>-99</v>
      </c>
      <c r="AS137" s="539">
        <v>-99</v>
      </c>
      <c r="AT137" s="540">
        <v>-99</v>
      </c>
      <c r="AU137" s="539">
        <v>-99</v>
      </c>
      <c r="AV137" s="540">
        <v>-99</v>
      </c>
      <c r="AW137" s="540">
        <v>-99</v>
      </c>
      <c r="AX137" s="540">
        <v>-99</v>
      </c>
      <c r="AY137" s="540">
        <v>-99</v>
      </c>
      <c r="AZ137" s="539">
        <v>-99</v>
      </c>
      <c r="BA137" s="539">
        <v>-99</v>
      </c>
      <c r="BB137" s="540">
        <v>-99</v>
      </c>
      <c r="BC137" s="539">
        <v>-99</v>
      </c>
      <c r="BD137" s="540">
        <v>-99</v>
      </c>
      <c r="BE137" s="541">
        <v>-99</v>
      </c>
      <c r="BF137" s="612"/>
      <c r="BG137" s="612"/>
      <c r="BH137" s="612">
        <v>-99</v>
      </c>
      <c r="BI137" s="576"/>
      <c r="BJ137" s="576"/>
      <c r="BK137" s="576"/>
      <c r="BL137" s="576"/>
      <c r="BM137" s="545">
        <v>-99</v>
      </c>
      <c r="BN137" s="545">
        <v>-99</v>
      </c>
      <c r="BO137" s="576"/>
      <c r="BP137" s="576"/>
      <c r="BQ137" s="576"/>
      <c r="BR137" s="570"/>
      <c r="BS137" s="547" t="s">
        <v>188</v>
      </c>
      <c r="BT137" s="549" t="s">
        <v>188</v>
      </c>
      <c r="BU137" s="549" t="s">
        <v>188</v>
      </c>
      <c r="BV137" s="549" t="s">
        <v>188</v>
      </c>
      <c r="BW137" s="549" t="s">
        <v>188</v>
      </c>
      <c r="BX137" s="549" t="s">
        <v>188</v>
      </c>
      <c r="BY137" s="549" t="s">
        <v>188</v>
      </c>
      <c r="BZ137" s="549" t="s">
        <v>188</v>
      </c>
      <c r="CA137" s="549" t="s">
        <v>188</v>
      </c>
      <c r="CB137" s="549" t="s">
        <v>188</v>
      </c>
      <c r="CC137" s="549" t="s">
        <v>188</v>
      </c>
      <c r="CD137" s="662"/>
      <c r="CE137" s="661" t="s">
        <v>188</v>
      </c>
      <c r="CF137" s="662" t="s">
        <v>188</v>
      </c>
      <c r="CG137" s="662" t="s">
        <v>188</v>
      </c>
      <c r="CH137" s="662" t="s">
        <v>188</v>
      </c>
      <c r="CI137" s="662" t="s">
        <v>188</v>
      </c>
      <c r="CJ137" s="662" t="s">
        <v>188</v>
      </c>
      <c r="CK137" s="662" t="s">
        <v>188</v>
      </c>
      <c r="CL137" s="662" t="s">
        <v>188</v>
      </c>
      <c r="CM137" s="662" t="s">
        <v>188</v>
      </c>
      <c r="CN137" s="662" t="s">
        <v>188</v>
      </c>
      <c r="CO137" s="616"/>
      <c r="CP137" s="616"/>
      <c r="CQ137" s="616"/>
      <c r="CR137" s="616"/>
      <c r="CS137" s="616"/>
      <c r="CT137" s="616"/>
      <c r="CU137" s="616"/>
      <c r="CV137" s="616"/>
      <c r="CW137" s="616"/>
      <c r="CX137" s="616"/>
      <c r="CY137" s="616"/>
      <c r="CZ137" s="616"/>
      <c r="DA137" s="616"/>
      <c r="DB137" s="616"/>
      <c r="DC137" s="640"/>
      <c r="DD137" s="640"/>
      <c r="DE137" s="640"/>
      <c r="DF137" s="640"/>
      <c r="DG137" s="640"/>
      <c r="DH137" s="640"/>
      <c r="DI137" s="576"/>
      <c r="DJ137" s="576"/>
      <c r="DK137" s="576"/>
      <c r="DL137" s="576"/>
      <c r="DM137" s="576"/>
      <c r="DN137" s="576"/>
      <c r="DO137" s="576"/>
      <c r="DP137" s="576"/>
      <c r="DQ137" s="576"/>
      <c r="DR137" s="576"/>
      <c r="DS137" s="576"/>
      <c r="DT137" s="576"/>
      <c r="DU137" s="576"/>
      <c r="DV137" s="576"/>
      <c r="DW137" s="576"/>
      <c r="DX137" s="577"/>
      <c r="DY137" s="577"/>
      <c r="DZ137" s="577"/>
      <c r="EA137" s="577"/>
      <c r="EB137" s="577"/>
      <c r="EC137" s="577"/>
      <c r="ED137" s="577"/>
      <c r="EE137" s="577"/>
      <c r="EF137" s="577"/>
      <c r="EG137" s="577"/>
      <c r="EH137" s="8">
        <v>55</v>
      </c>
      <c r="EI137" s="360"/>
    </row>
    <row r="138" spans="1:139" s="14" customFormat="1" x14ac:dyDescent="0.25">
      <c r="A138" s="16">
        <v>134</v>
      </c>
      <c r="B138" s="19" t="s">
        <v>46</v>
      </c>
      <c r="C138" s="19"/>
      <c r="D138" s="19" t="s">
        <v>53</v>
      </c>
      <c r="E138" s="19" t="s">
        <v>75</v>
      </c>
      <c r="F138" s="19" t="s">
        <v>8</v>
      </c>
      <c r="G138" s="19" t="s">
        <v>837</v>
      </c>
      <c r="H138" s="539">
        <v>-99</v>
      </c>
      <c r="I138" s="539">
        <v>2.7347908079528544E-2</v>
      </c>
      <c r="J138" s="539">
        <v>-99</v>
      </c>
      <c r="K138" s="539">
        <v>3.5212495005260962E-2</v>
      </c>
      <c r="L138" s="539">
        <v>-99</v>
      </c>
      <c r="M138" s="539">
        <v>-99</v>
      </c>
      <c r="N138" s="539">
        <v>3.6999999999999998E-2</v>
      </c>
      <c r="O138" s="539">
        <v>-99</v>
      </c>
      <c r="P138" s="539">
        <v>4.1000000000000002E-2</v>
      </c>
      <c r="Q138" s="539">
        <v>-99</v>
      </c>
      <c r="R138" s="539">
        <v>-99</v>
      </c>
      <c r="S138" s="539">
        <v>0.02</v>
      </c>
      <c r="T138" s="539">
        <v>-99</v>
      </c>
      <c r="U138" s="539">
        <v>3.4000000000000002E-2</v>
      </c>
      <c r="V138" s="539">
        <v>-99</v>
      </c>
      <c r="W138" s="539">
        <v>-99</v>
      </c>
      <c r="X138" s="539">
        <v>-99</v>
      </c>
      <c r="Y138" s="539">
        <v>-99</v>
      </c>
      <c r="Z138" s="539">
        <v>-99</v>
      </c>
      <c r="AA138" s="539">
        <v>-99</v>
      </c>
      <c r="AB138" s="539">
        <v>-99</v>
      </c>
      <c r="AC138" s="539">
        <v>1.7999999999999999E-2</v>
      </c>
      <c r="AD138" s="539">
        <v>-99</v>
      </c>
      <c r="AE138" s="539">
        <v>1.9E-2</v>
      </c>
      <c r="AF138" s="539">
        <v>-99</v>
      </c>
      <c r="AG138" s="539">
        <v>-99</v>
      </c>
      <c r="AH138" s="540">
        <v>-99</v>
      </c>
      <c r="AI138" s="539">
        <v>-99</v>
      </c>
      <c r="AJ138" s="540">
        <v>-99</v>
      </c>
      <c r="AK138" s="539">
        <v>-99</v>
      </c>
      <c r="AL138" s="539">
        <v>-99</v>
      </c>
      <c r="AM138" s="540">
        <v>-99</v>
      </c>
      <c r="AN138" s="539">
        <v>-99</v>
      </c>
      <c r="AO138" s="540">
        <v>-99</v>
      </c>
      <c r="AP138" s="541">
        <v>-99</v>
      </c>
      <c r="AQ138" s="539">
        <v>-99</v>
      </c>
      <c r="AR138" s="540">
        <v>-99</v>
      </c>
      <c r="AS138" s="539">
        <v>-99</v>
      </c>
      <c r="AT138" s="540">
        <v>-99</v>
      </c>
      <c r="AU138" s="539">
        <v>-99</v>
      </c>
      <c r="AV138" s="540">
        <v>-99</v>
      </c>
      <c r="AW138" s="540">
        <v>-99</v>
      </c>
      <c r="AX138" s="540">
        <v>-99</v>
      </c>
      <c r="AY138" s="540">
        <v>-99</v>
      </c>
      <c r="AZ138" s="539">
        <v>-99</v>
      </c>
      <c r="BA138" s="539">
        <v>-99</v>
      </c>
      <c r="BB138" s="540">
        <v>-99</v>
      </c>
      <c r="BC138" s="539">
        <v>-99</v>
      </c>
      <c r="BD138" s="540">
        <v>-99</v>
      </c>
      <c r="BE138" s="541">
        <v>-99</v>
      </c>
      <c r="BF138" s="612"/>
      <c r="BG138" s="612"/>
      <c r="BH138" s="612">
        <v>-99</v>
      </c>
      <c r="BI138" s="576"/>
      <c r="BJ138" s="576"/>
      <c r="BK138" s="576"/>
      <c r="BL138" s="576"/>
      <c r="BM138" s="545">
        <v>-99</v>
      </c>
      <c r="BN138" s="545">
        <v>-99</v>
      </c>
      <c r="BO138" s="576"/>
      <c r="BP138" s="576"/>
      <c r="BQ138" s="576"/>
      <c r="BR138" s="570"/>
      <c r="BS138" s="547" t="s">
        <v>188</v>
      </c>
      <c r="BT138" s="549" t="s">
        <v>188</v>
      </c>
      <c r="BU138" s="549" t="s">
        <v>188</v>
      </c>
      <c r="BV138" s="549" t="s">
        <v>188</v>
      </c>
      <c r="BW138" s="549" t="s">
        <v>188</v>
      </c>
      <c r="BX138" s="549" t="s">
        <v>188</v>
      </c>
      <c r="BY138" s="549" t="s">
        <v>188</v>
      </c>
      <c r="BZ138" s="549" t="s">
        <v>188</v>
      </c>
      <c r="CA138" s="549" t="s">
        <v>188</v>
      </c>
      <c r="CB138" s="549" t="s">
        <v>188</v>
      </c>
      <c r="CC138" s="549" t="s">
        <v>188</v>
      </c>
      <c r="CD138" s="662"/>
      <c r="CE138" s="661" t="s">
        <v>188</v>
      </c>
      <c r="CF138" s="662" t="s">
        <v>188</v>
      </c>
      <c r="CG138" s="662" t="s">
        <v>188</v>
      </c>
      <c r="CH138" s="662" t="s">
        <v>188</v>
      </c>
      <c r="CI138" s="662" t="s">
        <v>188</v>
      </c>
      <c r="CJ138" s="662" t="s">
        <v>188</v>
      </c>
      <c r="CK138" s="662" t="s">
        <v>188</v>
      </c>
      <c r="CL138" s="662" t="s">
        <v>188</v>
      </c>
      <c r="CM138" s="662" t="s">
        <v>188</v>
      </c>
      <c r="CN138" s="662" t="s">
        <v>188</v>
      </c>
      <c r="CO138" s="616"/>
      <c r="CP138" s="616"/>
      <c r="CQ138" s="616"/>
      <c r="CR138" s="616"/>
      <c r="CS138" s="616"/>
      <c r="CT138" s="616"/>
      <c r="CU138" s="616"/>
      <c r="CV138" s="616"/>
      <c r="CW138" s="616"/>
      <c r="CX138" s="616"/>
      <c r="CY138" s="616"/>
      <c r="CZ138" s="616"/>
      <c r="DA138" s="616"/>
      <c r="DB138" s="616"/>
      <c r="DC138" s="640"/>
      <c r="DD138" s="640"/>
      <c r="DE138" s="640"/>
      <c r="DF138" s="640"/>
      <c r="DG138" s="640"/>
      <c r="DH138" s="640"/>
      <c r="DI138" s="576"/>
      <c r="DJ138" s="576"/>
      <c r="DK138" s="576"/>
      <c r="DL138" s="576"/>
      <c r="DM138" s="576"/>
      <c r="DN138" s="576"/>
      <c r="DO138" s="576"/>
      <c r="DP138" s="576"/>
      <c r="DQ138" s="576"/>
      <c r="DR138" s="576"/>
      <c r="DS138" s="576"/>
      <c r="DT138" s="576"/>
      <c r="DU138" s="576"/>
      <c r="DV138" s="576"/>
      <c r="DW138" s="576"/>
      <c r="DX138" s="577"/>
      <c r="DY138" s="577"/>
      <c r="DZ138" s="577"/>
      <c r="EA138" s="577"/>
      <c r="EB138" s="577"/>
      <c r="EC138" s="577"/>
      <c r="ED138" s="577"/>
      <c r="EE138" s="577"/>
      <c r="EF138" s="577"/>
      <c r="EG138" s="577"/>
      <c r="EH138" s="8">
        <v>25</v>
      </c>
      <c r="EI138" s="360"/>
    </row>
    <row r="139" spans="1:139" x14ac:dyDescent="0.25">
      <c r="A139" s="16">
        <v>135</v>
      </c>
      <c r="B139" s="19" t="s">
        <v>64</v>
      </c>
      <c r="C139" s="19"/>
      <c r="D139" s="19" t="s">
        <v>53</v>
      </c>
      <c r="E139" s="19" t="s">
        <v>75</v>
      </c>
      <c r="F139" s="19" t="s">
        <v>8</v>
      </c>
      <c r="G139" s="19" t="s">
        <v>837</v>
      </c>
      <c r="H139" s="539">
        <v>-99</v>
      </c>
      <c r="I139" s="539">
        <v>0.12553651882592351</v>
      </c>
      <c r="J139" s="539">
        <v>-99</v>
      </c>
      <c r="K139" s="539">
        <v>0.11920247516332187</v>
      </c>
      <c r="L139" s="539">
        <v>-99</v>
      </c>
      <c r="M139" s="539">
        <v>-99</v>
      </c>
      <c r="N139" s="539">
        <v>0.12072383301133756</v>
      </c>
      <c r="O139" s="539">
        <v>-99</v>
      </c>
      <c r="P139" s="539">
        <v>0.11643495225914265</v>
      </c>
      <c r="Q139" s="539">
        <v>-99</v>
      </c>
      <c r="R139" s="539">
        <v>-99</v>
      </c>
      <c r="S139" s="539">
        <v>0.12286883835953841</v>
      </c>
      <c r="T139" s="539">
        <v>-99</v>
      </c>
      <c r="U139" s="539">
        <v>0.12156031087817411</v>
      </c>
      <c r="V139" s="539">
        <v>-99</v>
      </c>
      <c r="W139" s="539">
        <v>-99</v>
      </c>
      <c r="X139" s="539">
        <v>-99</v>
      </c>
      <c r="Y139" s="539">
        <v>-99</v>
      </c>
      <c r="Z139" s="539">
        <v>-99</v>
      </c>
      <c r="AA139" s="539">
        <v>-99</v>
      </c>
      <c r="AB139" s="539">
        <v>-99</v>
      </c>
      <c r="AC139" s="539">
        <v>0.15171697601165515</v>
      </c>
      <c r="AD139" s="539">
        <v>-99</v>
      </c>
      <c r="AE139" s="539">
        <v>0.12124900005853316</v>
      </c>
      <c r="AF139" s="539">
        <v>-99</v>
      </c>
      <c r="AG139" s="539">
        <v>-99</v>
      </c>
      <c r="AH139" s="540">
        <v>0.13013292421855396</v>
      </c>
      <c r="AI139" s="539">
        <v>-99</v>
      </c>
      <c r="AJ139" s="540">
        <v>0.12462942452101058</v>
      </c>
      <c r="AK139" s="539">
        <v>-99</v>
      </c>
      <c r="AL139" s="539">
        <v>-99</v>
      </c>
      <c r="AM139" s="540">
        <v>0.12527560572097846</v>
      </c>
      <c r="AN139" s="539">
        <v>-99</v>
      </c>
      <c r="AO139" s="540">
        <v>0.12164677311423776</v>
      </c>
      <c r="AP139" s="541">
        <v>-99</v>
      </c>
      <c r="AQ139" s="539">
        <v>-99</v>
      </c>
      <c r="AR139" s="540">
        <v>0.12685157716556436</v>
      </c>
      <c r="AS139" s="539">
        <v>-99</v>
      </c>
      <c r="AT139" s="540">
        <v>0.12805516312503201</v>
      </c>
      <c r="AU139" s="539">
        <v>-99</v>
      </c>
      <c r="AV139" s="540">
        <v>-99</v>
      </c>
      <c r="AW139" s="540">
        <v>-99</v>
      </c>
      <c r="AX139" s="540">
        <v>-99</v>
      </c>
      <c r="AY139" s="540">
        <v>-99</v>
      </c>
      <c r="AZ139" s="539">
        <v>-99</v>
      </c>
      <c r="BA139" s="539">
        <v>-99</v>
      </c>
      <c r="BB139" s="540">
        <v>0.15854102199372713</v>
      </c>
      <c r="BC139" s="539">
        <v>-99</v>
      </c>
      <c r="BD139" s="540">
        <v>0.12369113352714313</v>
      </c>
      <c r="BE139" s="541">
        <v>-99</v>
      </c>
      <c r="BF139" s="612"/>
      <c r="BG139" s="612"/>
      <c r="BH139" s="612">
        <v>-99</v>
      </c>
      <c r="BI139" s="576"/>
      <c r="BJ139" s="576"/>
      <c r="BK139" s="576"/>
      <c r="BL139" s="576"/>
      <c r="BM139" s="545">
        <v>-99</v>
      </c>
      <c r="BN139" s="545">
        <v>-99</v>
      </c>
      <c r="BO139" s="576"/>
      <c r="BP139" s="576"/>
      <c r="BQ139" s="576"/>
      <c r="BR139" s="570"/>
      <c r="BS139" s="547" t="s">
        <v>188</v>
      </c>
      <c r="BT139" s="549" t="s">
        <v>188</v>
      </c>
      <c r="BU139" s="549" t="s">
        <v>188</v>
      </c>
      <c r="BV139" s="549" t="s">
        <v>188</v>
      </c>
      <c r="BW139" s="549" t="s">
        <v>188</v>
      </c>
      <c r="BX139" s="549" t="s">
        <v>188</v>
      </c>
      <c r="BY139" s="549" t="s">
        <v>188</v>
      </c>
      <c r="BZ139" s="549" t="s">
        <v>188</v>
      </c>
      <c r="CA139" s="549" t="s">
        <v>188</v>
      </c>
      <c r="CB139" s="549" t="s">
        <v>188</v>
      </c>
      <c r="CC139" s="549" t="s">
        <v>188</v>
      </c>
      <c r="CD139" s="662"/>
      <c r="CE139" s="661" t="s">
        <v>188</v>
      </c>
      <c r="CF139" s="662" t="s">
        <v>188</v>
      </c>
      <c r="CG139" s="662" t="s">
        <v>188</v>
      </c>
      <c r="CH139" s="662" t="s">
        <v>188</v>
      </c>
      <c r="CI139" s="662" t="s">
        <v>188</v>
      </c>
      <c r="CJ139" s="662" t="s">
        <v>188</v>
      </c>
      <c r="CK139" s="662" t="s">
        <v>188</v>
      </c>
      <c r="CL139" s="662" t="s">
        <v>188</v>
      </c>
      <c r="CM139" s="662" t="s">
        <v>188</v>
      </c>
      <c r="CN139" s="662" t="s">
        <v>188</v>
      </c>
      <c r="CO139" s="616"/>
      <c r="CP139" s="616"/>
      <c r="CQ139" s="616"/>
      <c r="CR139" s="616"/>
      <c r="CS139" s="616"/>
      <c r="CT139" s="616"/>
      <c r="CU139" s="616"/>
      <c r="CV139" s="616"/>
      <c r="CW139" s="616"/>
      <c r="CX139" s="616"/>
      <c r="CY139" s="616"/>
      <c r="CZ139" s="616"/>
      <c r="DA139" s="616"/>
      <c r="DB139" s="616"/>
      <c r="DC139" s="640"/>
      <c r="DD139" s="640"/>
      <c r="DE139" s="640"/>
      <c r="DF139" s="640"/>
      <c r="DG139" s="640"/>
      <c r="DH139" s="640"/>
      <c r="DI139" s="576"/>
      <c r="DJ139" s="576"/>
      <c r="DK139" s="576"/>
      <c r="DL139" s="576"/>
      <c r="DM139" s="576"/>
      <c r="DN139" s="576"/>
      <c r="DO139" s="576"/>
      <c r="DP139" s="576"/>
      <c r="DQ139" s="576"/>
      <c r="DR139" s="576"/>
      <c r="DS139" s="576"/>
      <c r="DT139" s="576"/>
      <c r="DU139" s="576"/>
      <c r="DV139" s="576"/>
      <c r="DW139" s="576"/>
      <c r="DX139" s="577"/>
      <c r="DY139" s="577"/>
      <c r="DZ139" s="577"/>
      <c r="EA139" s="577"/>
      <c r="EB139" s="577"/>
      <c r="EC139" s="577"/>
      <c r="ED139" s="577"/>
      <c r="EE139" s="577"/>
      <c r="EF139" s="577"/>
      <c r="EG139" s="577"/>
      <c r="EH139" s="8">
        <v>5</v>
      </c>
    </row>
    <row r="140" spans="1:139" x14ac:dyDescent="0.25">
      <c r="A140" s="16">
        <v>136</v>
      </c>
      <c r="B140" s="19" t="s">
        <v>100</v>
      </c>
      <c r="C140" s="19"/>
      <c r="D140" s="19" t="s">
        <v>53</v>
      </c>
      <c r="E140" s="19" t="s">
        <v>75</v>
      </c>
      <c r="F140" s="19" t="s">
        <v>8</v>
      </c>
      <c r="G140" s="19" t="s">
        <v>837</v>
      </c>
      <c r="H140" s="539">
        <v>-99</v>
      </c>
      <c r="I140" s="539">
        <v>-99</v>
      </c>
      <c r="J140" s="539">
        <v>-99</v>
      </c>
      <c r="K140" s="539">
        <v>-99</v>
      </c>
      <c r="L140" s="539">
        <v>-99</v>
      </c>
      <c r="M140" s="539">
        <v>-99</v>
      </c>
      <c r="N140" s="539">
        <v>-99</v>
      </c>
      <c r="O140" s="539">
        <v>-99</v>
      </c>
      <c r="P140" s="539">
        <v>-99</v>
      </c>
      <c r="Q140" s="539">
        <v>-99</v>
      </c>
      <c r="R140" s="539">
        <v>-99</v>
      </c>
      <c r="S140" s="539">
        <v>-99</v>
      </c>
      <c r="T140" s="539">
        <v>-99</v>
      </c>
      <c r="U140" s="539">
        <v>-99</v>
      </c>
      <c r="V140" s="539">
        <v>-99</v>
      </c>
      <c r="W140" s="539">
        <v>-99</v>
      </c>
      <c r="X140" s="539">
        <v>-99</v>
      </c>
      <c r="Y140" s="539">
        <v>-99</v>
      </c>
      <c r="Z140" s="539">
        <v>-99</v>
      </c>
      <c r="AA140" s="539">
        <v>-99</v>
      </c>
      <c r="AB140" s="539">
        <v>-99</v>
      </c>
      <c r="AC140" s="539">
        <v>-99</v>
      </c>
      <c r="AD140" s="539">
        <v>-99</v>
      </c>
      <c r="AE140" s="539">
        <v>-99</v>
      </c>
      <c r="AF140" s="539">
        <v>-99</v>
      </c>
      <c r="AG140" s="539">
        <v>-99</v>
      </c>
      <c r="AH140" s="540">
        <v>-99</v>
      </c>
      <c r="AI140" s="539">
        <v>-99</v>
      </c>
      <c r="AJ140" s="540">
        <v>-99</v>
      </c>
      <c r="AK140" s="539">
        <v>-99</v>
      </c>
      <c r="AL140" s="539">
        <v>-99</v>
      </c>
      <c r="AM140" s="540">
        <v>-99</v>
      </c>
      <c r="AN140" s="539">
        <v>-99</v>
      </c>
      <c r="AO140" s="540">
        <v>-99</v>
      </c>
      <c r="AP140" s="541">
        <v>-99</v>
      </c>
      <c r="AQ140" s="539">
        <v>-99</v>
      </c>
      <c r="AR140" s="540">
        <v>-99</v>
      </c>
      <c r="AS140" s="539">
        <v>-99</v>
      </c>
      <c r="AT140" s="540">
        <v>-99</v>
      </c>
      <c r="AU140" s="539">
        <v>-99</v>
      </c>
      <c r="AV140" s="540">
        <v>-99</v>
      </c>
      <c r="AW140" s="540">
        <v>-99</v>
      </c>
      <c r="AX140" s="540">
        <v>-99</v>
      </c>
      <c r="AY140" s="540">
        <v>-99</v>
      </c>
      <c r="AZ140" s="539">
        <v>-99</v>
      </c>
      <c r="BA140" s="539">
        <v>-99</v>
      </c>
      <c r="BB140" s="540">
        <v>-99</v>
      </c>
      <c r="BC140" s="539">
        <v>-99</v>
      </c>
      <c r="BD140" s="540">
        <v>-99</v>
      </c>
      <c r="BE140" s="541">
        <v>-99</v>
      </c>
      <c r="BF140" s="612"/>
      <c r="BG140" s="612"/>
      <c r="BH140" s="612">
        <v>-99</v>
      </c>
      <c r="BI140" s="576"/>
      <c r="BJ140" s="576"/>
      <c r="BK140" s="576"/>
      <c r="BL140" s="576"/>
      <c r="BM140" s="545">
        <v>-99</v>
      </c>
      <c r="BN140" s="545">
        <v>-99</v>
      </c>
      <c r="BO140" s="576"/>
      <c r="BP140" s="576"/>
      <c r="BQ140" s="576"/>
      <c r="BR140" s="570"/>
      <c r="BS140" s="547" t="s">
        <v>188</v>
      </c>
      <c r="BT140" s="549" t="s">
        <v>188</v>
      </c>
      <c r="BU140" s="549" t="s">
        <v>188</v>
      </c>
      <c r="BV140" s="549" t="s">
        <v>188</v>
      </c>
      <c r="BW140" s="549" t="s">
        <v>188</v>
      </c>
      <c r="BX140" s="549" t="s">
        <v>188</v>
      </c>
      <c r="BY140" s="549" t="s">
        <v>188</v>
      </c>
      <c r="BZ140" s="549" t="s">
        <v>188</v>
      </c>
      <c r="CA140" s="549" t="s">
        <v>188</v>
      </c>
      <c r="CB140" s="549" t="s">
        <v>188</v>
      </c>
      <c r="CC140" s="549" t="s">
        <v>188</v>
      </c>
      <c r="CD140" s="662"/>
      <c r="CE140" s="661" t="s">
        <v>188</v>
      </c>
      <c r="CF140" s="662" t="s">
        <v>188</v>
      </c>
      <c r="CG140" s="662" t="s">
        <v>188</v>
      </c>
      <c r="CH140" s="662" t="s">
        <v>188</v>
      </c>
      <c r="CI140" s="662" t="s">
        <v>188</v>
      </c>
      <c r="CJ140" s="662" t="s">
        <v>188</v>
      </c>
      <c r="CK140" s="662" t="s">
        <v>188</v>
      </c>
      <c r="CL140" s="662" t="s">
        <v>188</v>
      </c>
      <c r="CM140" s="662" t="s">
        <v>188</v>
      </c>
      <c r="CN140" s="662" t="s">
        <v>188</v>
      </c>
      <c r="CO140" s="616"/>
      <c r="CP140" s="616"/>
      <c r="CQ140" s="616"/>
      <c r="CR140" s="616"/>
      <c r="CS140" s="616"/>
      <c r="CT140" s="616"/>
      <c r="CU140" s="616"/>
      <c r="CV140" s="616"/>
      <c r="CW140" s="616"/>
      <c r="CX140" s="616"/>
      <c r="CY140" s="616"/>
      <c r="CZ140" s="616"/>
      <c r="DA140" s="616"/>
      <c r="DB140" s="616"/>
      <c r="DC140" s="640"/>
      <c r="DD140" s="640"/>
      <c r="DE140" s="640"/>
      <c r="DF140" s="640"/>
      <c r="DG140" s="640"/>
      <c r="DH140" s="640"/>
      <c r="DI140" s="576"/>
      <c r="DJ140" s="576"/>
      <c r="DK140" s="576"/>
      <c r="DL140" s="576"/>
      <c r="DM140" s="576"/>
      <c r="DN140" s="576"/>
      <c r="DO140" s="576"/>
      <c r="DP140" s="576"/>
      <c r="DQ140" s="576"/>
      <c r="DR140" s="576"/>
      <c r="DS140" s="576"/>
      <c r="DT140" s="576"/>
      <c r="DU140" s="576"/>
      <c r="DV140" s="576"/>
      <c r="DW140" s="576"/>
      <c r="DX140" s="577"/>
      <c r="DY140" s="577"/>
      <c r="DZ140" s="577"/>
      <c r="EA140" s="577"/>
      <c r="EB140" s="577"/>
      <c r="EC140" s="577"/>
      <c r="ED140" s="577"/>
      <c r="EE140" s="577"/>
      <c r="EF140" s="577"/>
      <c r="EG140" s="577"/>
      <c r="EH140" s="8">
        <v>4</v>
      </c>
    </row>
    <row r="141" spans="1:139" x14ac:dyDescent="0.25">
      <c r="A141" s="16">
        <v>137</v>
      </c>
      <c r="B141" s="19" t="s">
        <v>47</v>
      </c>
      <c r="C141" s="19"/>
      <c r="D141" s="19" t="s">
        <v>53</v>
      </c>
      <c r="E141" s="19" t="s">
        <v>75</v>
      </c>
      <c r="F141" s="19" t="s">
        <v>8</v>
      </c>
      <c r="G141" s="19" t="s">
        <v>837</v>
      </c>
      <c r="H141" s="539">
        <v>-99</v>
      </c>
      <c r="I141" s="539">
        <v>4.2697321490251315E-2</v>
      </c>
      <c r="J141" s="539">
        <v>-99</v>
      </c>
      <c r="K141" s="539">
        <v>4.8249721149431955E-2</v>
      </c>
      <c r="L141" s="539">
        <v>-99</v>
      </c>
      <c r="M141" s="539">
        <v>-99</v>
      </c>
      <c r="N141" s="539">
        <v>7.5999999999999998E-2</v>
      </c>
      <c r="O141" s="539">
        <v>-99</v>
      </c>
      <c r="P141" s="539">
        <v>8.3000000000000004E-2</v>
      </c>
      <c r="Q141" s="539">
        <v>-99</v>
      </c>
      <c r="R141" s="539">
        <v>-99</v>
      </c>
      <c r="S141" s="539">
        <v>1.6E-2</v>
      </c>
      <c r="T141" s="539">
        <v>-99</v>
      </c>
      <c r="U141" s="539">
        <v>2.1000000000000001E-2</v>
      </c>
      <c r="V141" s="539">
        <v>-99</v>
      </c>
      <c r="W141" s="539">
        <v>-99</v>
      </c>
      <c r="X141" s="539">
        <v>-99</v>
      </c>
      <c r="Y141" s="539">
        <v>-99</v>
      </c>
      <c r="Z141" s="539">
        <v>-99</v>
      </c>
      <c r="AA141" s="539">
        <v>-99</v>
      </c>
      <c r="AB141" s="539">
        <v>-99</v>
      </c>
      <c r="AC141" s="539">
        <v>1.4E-2</v>
      </c>
      <c r="AD141" s="539">
        <v>-99</v>
      </c>
      <c r="AE141" s="539">
        <v>1.2999999999999999E-2</v>
      </c>
      <c r="AF141" s="539">
        <v>-99</v>
      </c>
      <c r="AG141" s="539">
        <v>-99</v>
      </c>
      <c r="AH141" s="540">
        <v>-99</v>
      </c>
      <c r="AI141" s="539">
        <v>-99</v>
      </c>
      <c r="AJ141" s="540">
        <v>-99</v>
      </c>
      <c r="AK141" s="539">
        <v>-99</v>
      </c>
      <c r="AL141" s="539">
        <v>-99</v>
      </c>
      <c r="AM141" s="540">
        <v>-99</v>
      </c>
      <c r="AN141" s="539">
        <v>-99</v>
      </c>
      <c r="AO141" s="540">
        <v>-99</v>
      </c>
      <c r="AP141" s="541">
        <v>-99</v>
      </c>
      <c r="AQ141" s="539">
        <v>-99</v>
      </c>
      <c r="AR141" s="540">
        <v>-99</v>
      </c>
      <c r="AS141" s="539">
        <v>-99</v>
      </c>
      <c r="AT141" s="540">
        <v>-99</v>
      </c>
      <c r="AU141" s="539">
        <v>-99</v>
      </c>
      <c r="AV141" s="540">
        <v>-99</v>
      </c>
      <c r="AW141" s="540">
        <v>-99</v>
      </c>
      <c r="AX141" s="540">
        <v>-99</v>
      </c>
      <c r="AY141" s="540">
        <v>-99</v>
      </c>
      <c r="AZ141" s="539">
        <v>-99</v>
      </c>
      <c r="BA141" s="539">
        <v>-99</v>
      </c>
      <c r="BB141" s="540">
        <v>-99</v>
      </c>
      <c r="BC141" s="539">
        <v>-99</v>
      </c>
      <c r="BD141" s="540">
        <v>-99</v>
      </c>
      <c r="BE141" s="541">
        <v>-99</v>
      </c>
      <c r="BF141" s="636"/>
      <c r="BG141" s="612"/>
      <c r="BH141" s="636">
        <v>-99</v>
      </c>
      <c r="BI141" s="576"/>
      <c r="BJ141" s="576"/>
      <c r="BK141" s="576"/>
      <c r="BL141" s="576"/>
      <c r="BM141" s="545">
        <v>-99</v>
      </c>
      <c r="BN141" s="545">
        <v>-99</v>
      </c>
      <c r="BO141" s="576"/>
      <c r="BP141" s="576"/>
      <c r="BQ141" s="576"/>
      <c r="BR141" s="570"/>
      <c r="BS141" s="585" t="s">
        <v>188</v>
      </c>
      <c r="BT141" s="586" t="s">
        <v>188</v>
      </c>
      <c r="BU141" s="586" t="s">
        <v>188</v>
      </c>
      <c r="BV141" s="586" t="s">
        <v>188</v>
      </c>
      <c r="BW141" s="586" t="s">
        <v>188</v>
      </c>
      <c r="BX141" s="586" t="s">
        <v>188</v>
      </c>
      <c r="BY141" s="586" t="s">
        <v>188</v>
      </c>
      <c r="BZ141" s="586" t="s">
        <v>188</v>
      </c>
      <c r="CA141" s="549" t="s">
        <v>188</v>
      </c>
      <c r="CB141" s="549" t="s">
        <v>188</v>
      </c>
      <c r="CC141" s="549" t="s">
        <v>188</v>
      </c>
      <c r="CD141" s="662"/>
      <c r="CE141" s="706" t="s">
        <v>188</v>
      </c>
      <c r="CF141" s="707" t="s">
        <v>188</v>
      </c>
      <c r="CG141" s="707" t="s">
        <v>188</v>
      </c>
      <c r="CH141" s="707" t="s">
        <v>188</v>
      </c>
      <c r="CI141" s="707" t="s">
        <v>188</v>
      </c>
      <c r="CJ141" s="707" t="s">
        <v>188</v>
      </c>
      <c r="CK141" s="707" t="s">
        <v>188</v>
      </c>
      <c r="CL141" s="707" t="s">
        <v>188</v>
      </c>
      <c r="CM141" s="662" t="s">
        <v>188</v>
      </c>
      <c r="CN141" s="662" t="s">
        <v>188</v>
      </c>
      <c r="CO141" s="616"/>
      <c r="CP141" s="616"/>
      <c r="CQ141" s="616"/>
      <c r="CR141" s="616"/>
      <c r="CS141" s="616"/>
      <c r="CT141" s="616"/>
      <c r="CU141" s="616"/>
      <c r="CV141" s="616"/>
      <c r="CW141" s="616"/>
      <c r="CX141" s="616"/>
      <c r="CY141" s="616"/>
      <c r="CZ141" s="616"/>
      <c r="DA141" s="616"/>
      <c r="DB141" s="616"/>
      <c r="DC141" s="640"/>
      <c r="DD141" s="640"/>
      <c r="DE141" s="640"/>
      <c r="DF141" s="640"/>
      <c r="DG141" s="640"/>
      <c r="DH141" s="640"/>
      <c r="DI141" s="576"/>
      <c r="DJ141" s="576"/>
      <c r="DK141" s="576"/>
      <c r="DL141" s="576"/>
      <c r="DM141" s="576"/>
      <c r="DN141" s="576"/>
      <c r="DO141" s="576"/>
      <c r="DP141" s="576"/>
      <c r="DQ141" s="576"/>
      <c r="DR141" s="576"/>
      <c r="DS141" s="576"/>
      <c r="DT141" s="576"/>
      <c r="DU141" s="576"/>
      <c r="DV141" s="576"/>
      <c r="DW141" s="576"/>
      <c r="DX141" s="577"/>
      <c r="DY141" s="577"/>
      <c r="DZ141" s="577"/>
      <c r="EA141" s="577"/>
      <c r="EB141" s="577"/>
      <c r="EC141" s="577"/>
      <c r="ED141" s="577"/>
      <c r="EE141" s="577"/>
      <c r="EF141" s="577"/>
      <c r="EG141" s="577"/>
      <c r="EH141" s="8">
        <v>2</v>
      </c>
    </row>
    <row r="144" spans="1:139" s="360" customFormat="1" x14ac:dyDescent="0.25">
      <c r="B144" s="361"/>
      <c r="C144" s="362"/>
      <c r="D144" s="23"/>
      <c r="E144" s="362"/>
      <c r="F144" s="362"/>
      <c r="G144" s="362"/>
      <c r="H144" s="359"/>
      <c r="I144" s="359"/>
      <c r="J144" s="359"/>
      <c r="K144" s="359"/>
      <c r="L144" s="359"/>
      <c r="M144" s="359"/>
      <c r="N144" s="359"/>
      <c r="O144" s="359"/>
      <c r="P144" s="359"/>
      <c r="Q144" s="359"/>
      <c r="R144" s="359"/>
      <c r="S144" s="359"/>
      <c r="T144" s="359"/>
      <c r="U144" s="359"/>
      <c r="V144" s="359"/>
      <c r="W144" s="359"/>
      <c r="X144" s="359"/>
      <c r="Y144" s="359"/>
      <c r="Z144" s="359"/>
      <c r="AA144" s="359"/>
      <c r="AB144" s="359"/>
      <c r="AC144" s="359"/>
      <c r="AD144" s="359"/>
      <c r="AE144" s="359"/>
      <c r="AF144" s="359"/>
      <c r="AG144" s="359"/>
      <c r="AH144" s="359"/>
      <c r="AI144" s="359"/>
      <c r="AJ144" s="359"/>
      <c r="AK144" s="359"/>
      <c r="AL144" s="359"/>
      <c r="AM144" s="359"/>
      <c r="AN144" s="359"/>
      <c r="AO144" s="359"/>
      <c r="AP144" s="517"/>
      <c r="AQ144" s="359"/>
      <c r="AR144" s="359"/>
      <c r="AS144" s="359"/>
      <c r="AT144" s="359"/>
      <c r="AU144" s="359"/>
      <c r="AV144" s="359"/>
      <c r="AW144" s="359"/>
      <c r="AX144" s="359"/>
      <c r="AY144" s="359"/>
      <c r="AZ144" s="359"/>
      <c r="BA144" s="359"/>
      <c r="BB144" s="359"/>
      <c r="BC144" s="359"/>
      <c r="BD144" s="359"/>
      <c r="BE144" s="517"/>
      <c r="BF144" s="635"/>
      <c r="BG144" s="635"/>
      <c r="BH144" s="635"/>
      <c r="BS144" s="635"/>
      <c r="BT144" s="635"/>
      <c r="BU144" s="257"/>
      <c r="BV144" s="257"/>
      <c r="BW144" s="257"/>
      <c r="BX144" s="257"/>
      <c r="BY144" s="257"/>
      <c r="BZ144" s="257"/>
      <c r="CA144" s="257"/>
      <c r="CB144" s="257"/>
      <c r="CC144" s="257"/>
      <c r="CD144" s="635"/>
      <c r="CG144" s="257"/>
      <c r="CH144" s="257"/>
      <c r="CI144" s="257"/>
      <c r="CJ144" s="257"/>
      <c r="CK144" s="257"/>
      <c r="CL144" s="257"/>
      <c r="CM144" s="257"/>
      <c r="CN144" s="257"/>
      <c r="DC144" s="635"/>
      <c r="DD144" s="635"/>
      <c r="DE144" s="635"/>
      <c r="DF144" s="635"/>
      <c r="DG144" s="635"/>
      <c r="DH144" s="635"/>
    </row>
    <row r="145" spans="2:112" s="360" customFormat="1" x14ac:dyDescent="0.25">
      <c r="B145" s="361"/>
      <c r="C145" s="362"/>
      <c r="D145" s="23"/>
      <c r="E145" s="362"/>
      <c r="F145" s="362"/>
      <c r="G145" s="362"/>
      <c r="H145" s="359"/>
      <c r="I145" s="359"/>
      <c r="J145" s="359"/>
      <c r="K145" s="359"/>
      <c r="L145" s="359"/>
      <c r="M145" s="359"/>
      <c r="N145" s="359"/>
      <c r="O145" s="359"/>
      <c r="P145" s="359"/>
      <c r="Q145" s="359"/>
      <c r="R145" s="359"/>
      <c r="S145" s="359"/>
      <c r="T145" s="359"/>
      <c r="U145" s="359"/>
      <c r="V145" s="359"/>
      <c r="W145" s="359"/>
      <c r="X145" s="359"/>
      <c r="Y145" s="359"/>
      <c r="Z145" s="359"/>
      <c r="AA145" s="359"/>
      <c r="AB145" s="359"/>
      <c r="AC145" s="359"/>
      <c r="AD145" s="359"/>
      <c r="AE145" s="359"/>
      <c r="AF145" s="359"/>
      <c r="AG145" s="359"/>
      <c r="AH145" s="359"/>
      <c r="AI145" s="359"/>
      <c r="AJ145" s="359"/>
      <c r="AK145" s="359"/>
      <c r="AL145" s="359"/>
      <c r="AM145" s="359"/>
      <c r="AN145" s="359"/>
      <c r="AO145" s="359"/>
      <c r="AP145" s="517"/>
      <c r="AQ145" s="359"/>
      <c r="AR145" s="359"/>
      <c r="AS145" s="359"/>
      <c r="AT145" s="359"/>
      <c r="AU145" s="359"/>
      <c r="AV145" s="359"/>
      <c r="AW145" s="359"/>
      <c r="AX145" s="359"/>
      <c r="AY145" s="359"/>
      <c r="AZ145" s="359"/>
      <c r="BA145" s="359"/>
      <c r="BB145" s="359"/>
      <c r="BC145" s="359"/>
      <c r="BD145" s="359"/>
      <c r="BE145" s="517"/>
      <c r="BF145" s="635"/>
      <c r="BG145" s="635"/>
      <c r="BH145" s="635"/>
      <c r="BS145" s="635"/>
      <c r="BT145" s="635"/>
      <c r="BU145" s="257"/>
      <c r="BV145" s="257"/>
      <c r="BW145" s="257"/>
      <c r="BX145" s="257"/>
      <c r="BY145" s="257"/>
      <c r="BZ145" s="257"/>
      <c r="CA145" s="257"/>
      <c r="CB145" s="257"/>
      <c r="CC145" s="257"/>
      <c r="CD145" s="635"/>
      <c r="CG145" s="257"/>
      <c r="CH145" s="257"/>
      <c r="CI145" s="257"/>
      <c r="CJ145" s="257"/>
      <c r="CK145" s="257"/>
      <c r="CL145" s="257"/>
      <c r="CM145" s="257"/>
      <c r="CN145" s="257"/>
      <c r="DC145" s="635"/>
      <c r="DD145" s="635"/>
      <c r="DE145" s="635"/>
      <c r="DF145" s="635"/>
      <c r="DG145" s="635"/>
      <c r="DH145" s="635"/>
    </row>
    <row r="146" spans="2:112" s="360" customFormat="1" x14ac:dyDescent="0.25">
      <c r="B146" s="361"/>
      <c r="C146" s="362"/>
      <c r="D146" s="23"/>
      <c r="E146" s="362"/>
      <c r="F146" s="362"/>
      <c r="G146" s="362"/>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59"/>
      <c r="AG146" s="359"/>
      <c r="AH146" s="359"/>
      <c r="AI146" s="359"/>
      <c r="AJ146" s="359"/>
      <c r="AK146" s="359"/>
      <c r="AL146" s="359"/>
      <c r="AM146" s="359"/>
      <c r="AN146" s="359"/>
      <c r="AO146" s="359"/>
      <c r="AP146" s="517"/>
      <c r="AQ146" s="359"/>
      <c r="AR146" s="359"/>
      <c r="AS146" s="359"/>
      <c r="AT146" s="359"/>
      <c r="AU146" s="359"/>
      <c r="AV146" s="359"/>
      <c r="AW146" s="359"/>
      <c r="AX146" s="359"/>
      <c r="AY146" s="359"/>
      <c r="AZ146" s="359"/>
      <c r="BA146" s="359"/>
      <c r="BB146" s="359"/>
      <c r="BC146" s="359"/>
      <c r="BD146" s="359"/>
      <c r="BE146" s="517"/>
      <c r="BF146" s="635"/>
      <c r="BG146" s="635"/>
      <c r="BH146" s="635"/>
      <c r="BS146" s="635"/>
      <c r="BT146" s="635"/>
      <c r="BU146" s="257"/>
      <c r="BV146" s="257"/>
      <c r="BW146" s="257"/>
      <c r="BX146" s="257"/>
      <c r="BY146" s="257"/>
      <c r="BZ146" s="257"/>
      <c r="CA146" s="257"/>
      <c r="CB146" s="257"/>
      <c r="CC146" s="257"/>
      <c r="CD146" s="635"/>
      <c r="CG146" s="257"/>
      <c r="CH146" s="257"/>
      <c r="CI146" s="257"/>
      <c r="CJ146" s="257"/>
      <c r="CK146" s="257"/>
      <c r="CL146" s="257"/>
      <c r="CM146" s="257"/>
      <c r="CN146" s="257"/>
      <c r="DC146" s="635"/>
      <c r="DD146" s="635"/>
      <c r="DE146" s="635"/>
      <c r="DF146" s="635"/>
      <c r="DG146" s="635"/>
      <c r="DH146" s="635"/>
    </row>
    <row r="147" spans="2:112" s="360" customFormat="1" ht="15" customHeight="1" x14ac:dyDescent="0.25">
      <c r="B147" s="361"/>
      <c r="C147" s="362"/>
      <c r="D147" s="23"/>
      <c r="E147" s="362"/>
      <c r="F147" s="362"/>
      <c r="G147" s="362"/>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59"/>
      <c r="AG147" s="359"/>
      <c r="AH147" s="359"/>
      <c r="AI147" s="359"/>
      <c r="AJ147" s="359"/>
      <c r="AK147" s="359"/>
      <c r="AL147" s="359"/>
      <c r="AM147" s="359"/>
      <c r="AN147" s="359"/>
      <c r="AO147" s="359"/>
      <c r="AP147" s="517"/>
      <c r="AQ147" s="359"/>
      <c r="AR147" s="359"/>
      <c r="AS147" s="359"/>
      <c r="AT147" s="359"/>
      <c r="AU147" s="359"/>
      <c r="AV147" s="359"/>
      <c r="AW147" s="359"/>
      <c r="AX147" s="359"/>
      <c r="AY147" s="359"/>
      <c r="AZ147" s="359"/>
      <c r="BA147" s="359"/>
      <c r="BB147" s="359"/>
      <c r="BC147" s="359"/>
      <c r="BD147" s="359"/>
      <c r="BE147" s="517"/>
      <c r="BF147" s="635"/>
      <c r="BG147" s="635"/>
      <c r="BH147" s="635"/>
      <c r="BS147" s="635"/>
      <c r="BT147" s="635"/>
      <c r="BU147" s="257"/>
      <c r="BV147" s="257"/>
      <c r="BW147" s="257"/>
      <c r="BX147" s="257"/>
      <c r="BY147" s="257"/>
      <c r="BZ147" s="257"/>
      <c r="CA147" s="257"/>
      <c r="CB147" s="257"/>
      <c r="CC147" s="257"/>
      <c r="CD147" s="635"/>
      <c r="CG147" s="257"/>
      <c r="CH147" s="257"/>
      <c r="CI147" s="257"/>
      <c r="CJ147" s="257"/>
      <c r="CK147" s="257"/>
      <c r="CL147" s="257"/>
      <c r="CM147" s="257"/>
      <c r="CN147" s="257"/>
      <c r="DC147" s="635"/>
      <c r="DD147" s="635"/>
      <c r="DE147" s="635"/>
      <c r="DF147" s="635"/>
      <c r="DG147" s="635"/>
      <c r="DH147" s="635"/>
    </row>
    <row r="148" spans="2:112" s="360" customFormat="1" ht="15" customHeight="1" x14ac:dyDescent="0.25">
      <c r="B148" s="361"/>
      <c r="C148" s="362"/>
      <c r="D148" s="23"/>
      <c r="E148" s="362"/>
      <c r="F148" s="362"/>
      <c r="G148" s="362"/>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9"/>
      <c r="AL148" s="359"/>
      <c r="AM148" s="359"/>
      <c r="AN148" s="359"/>
      <c r="AO148" s="359"/>
      <c r="AP148" s="517"/>
      <c r="AQ148" s="359"/>
      <c r="AR148" s="359"/>
      <c r="AS148" s="359"/>
      <c r="AT148" s="359"/>
      <c r="AU148" s="359"/>
      <c r="AV148" s="359"/>
      <c r="AW148" s="359"/>
      <c r="AX148" s="359"/>
      <c r="AY148" s="359"/>
      <c r="AZ148" s="359"/>
      <c r="BA148" s="359"/>
      <c r="BB148" s="359"/>
      <c r="BC148" s="359"/>
      <c r="BD148" s="359"/>
      <c r="BE148" s="517"/>
      <c r="BF148" s="635"/>
      <c r="BG148" s="635"/>
      <c r="BH148" s="635"/>
      <c r="BS148" s="635"/>
      <c r="BT148" s="635"/>
      <c r="BU148" s="257"/>
      <c r="BV148" s="257"/>
      <c r="BW148" s="257"/>
      <c r="BX148" s="257"/>
      <c r="BY148" s="257"/>
      <c r="BZ148" s="257"/>
      <c r="CA148" s="257"/>
      <c r="CB148" s="257"/>
      <c r="CC148" s="257"/>
      <c r="CD148" s="635"/>
      <c r="CG148" s="257"/>
      <c r="CH148" s="257"/>
      <c r="CI148" s="257"/>
      <c r="CJ148" s="257"/>
      <c r="CK148" s="257"/>
      <c r="CL148" s="257"/>
      <c r="CM148" s="257"/>
      <c r="CN148" s="257"/>
      <c r="DC148" s="635"/>
      <c r="DD148" s="635"/>
      <c r="DE148" s="635"/>
      <c r="DF148" s="635"/>
      <c r="DG148" s="635"/>
      <c r="DH148" s="635"/>
    </row>
    <row r="149" spans="2:112" s="360" customFormat="1" ht="15" customHeight="1" x14ac:dyDescent="0.25">
      <c r="B149" s="361"/>
      <c r="C149" s="362"/>
      <c r="D149" s="23"/>
      <c r="E149" s="362"/>
      <c r="F149" s="362"/>
      <c r="G149" s="362"/>
      <c r="H149" s="359"/>
      <c r="I149" s="359"/>
      <c r="J149" s="359"/>
      <c r="K149" s="359"/>
      <c r="L149" s="359"/>
      <c r="M149" s="359"/>
      <c r="N149" s="359"/>
      <c r="O149" s="359"/>
      <c r="P149" s="359"/>
      <c r="Q149" s="359"/>
      <c r="R149" s="359"/>
      <c r="S149" s="359"/>
      <c r="T149" s="359"/>
      <c r="U149" s="359"/>
      <c r="V149" s="359"/>
      <c r="W149" s="359"/>
      <c r="X149" s="359"/>
      <c r="Y149" s="359"/>
      <c r="Z149" s="359"/>
      <c r="AA149" s="359"/>
      <c r="AB149" s="359"/>
      <c r="AC149" s="359"/>
      <c r="AD149" s="359"/>
      <c r="AE149" s="359"/>
      <c r="AF149" s="359"/>
      <c r="AG149" s="359"/>
      <c r="AH149" s="359"/>
      <c r="AI149" s="359"/>
      <c r="AJ149" s="359"/>
      <c r="AK149" s="359"/>
      <c r="AL149" s="359"/>
      <c r="AM149" s="359"/>
      <c r="AN149" s="359"/>
      <c r="AO149" s="359"/>
      <c r="AP149" s="517"/>
      <c r="AQ149" s="359"/>
      <c r="AR149" s="359"/>
      <c r="AS149" s="359"/>
      <c r="AT149" s="359"/>
      <c r="AU149" s="359"/>
      <c r="AV149" s="359"/>
      <c r="AW149" s="359"/>
      <c r="AX149" s="359"/>
      <c r="AY149" s="359"/>
      <c r="AZ149" s="359"/>
      <c r="BA149" s="359"/>
      <c r="BB149" s="359"/>
      <c r="BC149" s="359"/>
      <c r="BD149" s="359"/>
      <c r="BE149" s="517"/>
      <c r="BF149" s="635"/>
      <c r="BG149" s="635"/>
      <c r="BH149" s="635"/>
      <c r="BS149" s="635"/>
      <c r="BT149" s="635"/>
      <c r="BU149" s="257"/>
      <c r="BV149" s="257"/>
      <c r="BW149" s="257"/>
      <c r="BX149" s="257"/>
      <c r="BY149" s="257"/>
      <c r="BZ149" s="257"/>
      <c r="CA149" s="257"/>
      <c r="CB149" s="257"/>
      <c r="CC149" s="257"/>
      <c r="CD149" s="635"/>
      <c r="CG149" s="257"/>
      <c r="CH149" s="257"/>
      <c r="CI149" s="257"/>
      <c r="CJ149" s="257"/>
      <c r="CK149" s="257"/>
      <c r="CL149" s="257"/>
      <c r="CM149" s="257"/>
      <c r="CN149" s="257"/>
      <c r="DC149" s="635"/>
      <c r="DD149" s="635"/>
      <c r="DE149" s="635"/>
      <c r="DF149" s="635"/>
      <c r="DG149" s="635"/>
      <c r="DH149" s="635"/>
    </row>
    <row r="150" spans="2:112" s="360" customFormat="1" ht="15" customHeight="1" x14ac:dyDescent="0.25">
      <c r="B150" s="361"/>
      <c r="C150" s="362"/>
      <c r="D150" s="23"/>
      <c r="E150" s="362"/>
      <c r="F150" s="362"/>
      <c r="G150" s="362"/>
      <c r="H150" s="359"/>
      <c r="I150" s="359"/>
      <c r="J150" s="359"/>
      <c r="K150" s="359"/>
      <c r="L150" s="359"/>
      <c r="M150" s="359"/>
      <c r="N150" s="359"/>
      <c r="O150" s="359"/>
      <c r="P150" s="359"/>
      <c r="Q150" s="359"/>
      <c r="R150" s="359"/>
      <c r="S150" s="359"/>
      <c r="T150" s="359"/>
      <c r="U150" s="359"/>
      <c r="V150" s="359"/>
      <c r="W150" s="359"/>
      <c r="X150" s="359"/>
      <c r="Y150" s="359"/>
      <c r="Z150" s="359"/>
      <c r="AA150" s="359"/>
      <c r="AB150" s="359"/>
      <c r="AC150" s="359"/>
      <c r="AD150" s="359"/>
      <c r="AE150" s="359"/>
      <c r="AF150" s="359"/>
      <c r="AG150" s="359"/>
      <c r="AH150" s="359"/>
      <c r="AI150" s="359"/>
      <c r="AJ150" s="359"/>
      <c r="AK150" s="359"/>
      <c r="AL150" s="359"/>
      <c r="AM150" s="359"/>
      <c r="AN150" s="359"/>
      <c r="AO150" s="359"/>
      <c r="AP150" s="517"/>
      <c r="AQ150" s="359"/>
      <c r="AR150" s="359"/>
      <c r="AS150" s="359"/>
      <c r="AT150" s="359"/>
      <c r="AU150" s="359"/>
      <c r="AV150" s="359"/>
      <c r="AW150" s="359"/>
      <c r="AX150" s="359"/>
      <c r="AY150" s="359"/>
      <c r="AZ150" s="359"/>
      <c r="BA150" s="359"/>
      <c r="BB150" s="359"/>
      <c r="BC150" s="359"/>
      <c r="BD150" s="359"/>
      <c r="BE150" s="517"/>
      <c r="BF150" s="635"/>
      <c r="BG150" s="635"/>
      <c r="BH150" s="635"/>
      <c r="BS150" s="635"/>
      <c r="BT150" s="635"/>
      <c r="BU150" s="257"/>
      <c r="BV150" s="257"/>
      <c r="BW150" s="257"/>
      <c r="BX150" s="257"/>
      <c r="BY150" s="257"/>
      <c r="BZ150" s="257"/>
      <c r="CA150" s="257"/>
      <c r="CB150" s="257"/>
      <c r="CC150" s="257"/>
      <c r="CD150" s="635"/>
      <c r="CG150" s="257"/>
      <c r="CH150" s="257"/>
      <c r="CI150" s="257"/>
      <c r="CJ150" s="257"/>
      <c r="CK150" s="257"/>
      <c r="CL150" s="257"/>
      <c r="CM150" s="257"/>
      <c r="CN150" s="257"/>
      <c r="DC150" s="635"/>
      <c r="DD150" s="635"/>
      <c r="DE150" s="635"/>
      <c r="DF150" s="635"/>
      <c r="DG150" s="635"/>
      <c r="DH150" s="635"/>
    </row>
    <row r="151" spans="2:112" s="360" customFormat="1" ht="15" customHeight="1" x14ac:dyDescent="0.25">
      <c r="B151" s="361"/>
      <c r="C151" s="362"/>
      <c r="D151" s="23"/>
      <c r="E151" s="362"/>
      <c r="F151" s="362"/>
      <c r="G151" s="362"/>
      <c r="H151" s="359"/>
      <c r="I151" s="359"/>
      <c r="J151" s="359"/>
      <c r="K151" s="359"/>
      <c r="L151" s="359"/>
      <c r="M151" s="359"/>
      <c r="N151" s="359"/>
      <c r="O151" s="359"/>
      <c r="P151" s="359"/>
      <c r="Q151" s="359"/>
      <c r="R151" s="359"/>
      <c r="S151" s="359"/>
      <c r="T151" s="359"/>
      <c r="U151" s="359"/>
      <c r="V151" s="359"/>
      <c r="W151" s="359"/>
      <c r="X151" s="359"/>
      <c r="Y151" s="359"/>
      <c r="Z151" s="359"/>
      <c r="AA151" s="359"/>
      <c r="AB151" s="359"/>
      <c r="AC151" s="359"/>
      <c r="AD151" s="359"/>
      <c r="AE151" s="359"/>
      <c r="AF151" s="359"/>
      <c r="AG151" s="359"/>
      <c r="AH151" s="359"/>
      <c r="AI151" s="359"/>
      <c r="AJ151" s="359"/>
      <c r="AK151" s="359"/>
      <c r="AL151" s="359"/>
      <c r="AM151" s="359"/>
      <c r="AN151" s="359"/>
      <c r="AO151" s="359"/>
      <c r="AP151" s="517"/>
      <c r="AQ151" s="359"/>
      <c r="AR151" s="359"/>
      <c r="AS151" s="359"/>
      <c r="AT151" s="359"/>
      <c r="AU151" s="359"/>
      <c r="AV151" s="359"/>
      <c r="AW151" s="359"/>
      <c r="AX151" s="359"/>
      <c r="AY151" s="359"/>
      <c r="AZ151" s="359"/>
      <c r="BA151" s="359"/>
      <c r="BB151" s="359"/>
      <c r="BC151" s="359"/>
      <c r="BD151" s="359"/>
      <c r="BE151" s="517"/>
      <c r="BF151" s="635"/>
      <c r="BG151" s="635"/>
      <c r="BH151" s="635"/>
      <c r="BS151" s="635"/>
      <c r="BT151" s="635"/>
      <c r="BU151" s="257"/>
      <c r="BV151" s="257"/>
      <c r="BW151" s="257"/>
      <c r="BX151" s="257"/>
      <c r="BY151" s="257"/>
      <c r="BZ151" s="257"/>
      <c r="CA151" s="257"/>
      <c r="CB151" s="257"/>
      <c r="CC151" s="257"/>
      <c r="CD151" s="635"/>
      <c r="CG151" s="257"/>
      <c r="CH151" s="257"/>
      <c r="CI151" s="257"/>
      <c r="CJ151" s="257"/>
      <c r="CK151" s="257"/>
      <c r="CL151" s="257"/>
      <c r="CM151" s="257"/>
      <c r="CN151" s="257"/>
      <c r="DC151" s="635"/>
      <c r="DD151" s="635"/>
      <c r="DE151" s="635"/>
      <c r="DF151" s="635"/>
      <c r="DG151" s="635"/>
      <c r="DH151" s="635"/>
    </row>
    <row r="152" spans="2:112" s="360" customFormat="1" ht="15" customHeight="1" x14ac:dyDescent="0.25">
      <c r="B152" s="361"/>
      <c r="C152" s="362"/>
      <c r="D152" s="23"/>
      <c r="E152" s="362"/>
      <c r="F152" s="362"/>
      <c r="G152" s="362"/>
      <c r="H152" s="359"/>
      <c r="I152" s="359"/>
      <c r="J152" s="359"/>
      <c r="K152" s="359"/>
      <c r="L152" s="359"/>
      <c r="M152" s="359"/>
      <c r="N152" s="359"/>
      <c r="O152" s="359"/>
      <c r="P152" s="359"/>
      <c r="Q152" s="359"/>
      <c r="R152" s="359"/>
      <c r="S152" s="359"/>
      <c r="T152" s="359"/>
      <c r="U152" s="359"/>
      <c r="V152" s="359"/>
      <c r="W152" s="359"/>
      <c r="X152" s="359"/>
      <c r="Y152" s="359"/>
      <c r="Z152" s="359"/>
      <c r="AA152" s="359"/>
      <c r="AB152" s="359"/>
      <c r="AC152" s="359"/>
      <c r="AD152" s="359"/>
      <c r="AE152" s="359"/>
      <c r="AF152" s="359"/>
      <c r="AG152" s="359"/>
      <c r="AH152" s="359"/>
      <c r="AI152" s="359"/>
      <c r="AJ152" s="359"/>
      <c r="AK152" s="359"/>
      <c r="AL152" s="359"/>
      <c r="AM152" s="359"/>
      <c r="AN152" s="359"/>
      <c r="AO152" s="359"/>
      <c r="AP152" s="517"/>
      <c r="AQ152" s="359"/>
      <c r="AR152" s="359"/>
      <c r="AS152" s="359"/>
      <c r="AT152" s="359"/>
      <c r="AU152" s="359"/>
      <c r="AV152" s="359"/>
      <c r="AW152" s="359"/>
      <c r="AX152" s="359"/>
      <c r="AY152" s="359"/>
      <c r="AZ152" s="359"/>
      <c r="BA152" s="359"/>
      <c r="BB152" s="359"/>
      <c r="BC152" s="359"/>
      <c r="BD152" s="359"/>
      <c r="BE152" s="517"/>
      <c r="BF152" s="635"/>
      <c r="BG152" s="635"/>
      <c r="BH152" s="635"/>
      <c r="BS152" s="635"/>
      <c r="BT152" s="635"/>
      <c r="BU152" s="257"/>
      <c r="BV152" s="257"/>
      <c r="BW152" s="257"/>
      <c r="BX152" s="257"/>
      <c r="BY152" s="257"/>
      <c r="BZ152" s="257"/>
      <c r="CA152" s="257"/>
      <c r="CB152" s="257"/>
      <c r="CC152" s="257"/>
      <c r="CD152" s="635"/>
      <c r="CG152" s="257"/>
      <c r="CH152" s="257"/>
      <c r="CI152" s="257"/>
      <c r="CJ152" s="257"/>
      <c r="CK152" s="257"/>
      <c r="CL152" s="257"/>
      <c r="CM152" s="257"/>
      <c r="CN152" s="257"/>
      <c r="DC152" s="635"/>
      <c r="DD152" s="635"/>
      <c r="DE152" s="635"/>
      <c r="DF152" s="635"/>
      <c r="DG152" s="635"/>
      <c r="DH152" s="635"/>
    </row>
    <row r="153" spans="2:112" s="360" customFormat="1" ht="15" customHeight="1" x14ac:dyDescent="0.25">
      <c r="B153" s="361"/>
      <c r="C153" s="362"/>
      <c r="D153" s="23"/>
      <c r="E153" s="362"/>
      <c r="F153" s="362"/>
      <c r="G153" s="362"/>
      <c r="H153" s="359"/>
      <c r="I153" s="359"/>
      <c r="J153" s="359"/>
      <c r="K153" s="359"/>
      <c r="L153" s="359"/>
      <c r="M153" s="359"/>
      <c r="N153" s="359"/>
      <c r="O153" s="359"/>
      <c r="P153" s="359"/>
      <c r="Q153" s="359"/>
      <c r="R153" s="359"/>
      <c r="S153" s="359"/>
      <c r="T153" s="359"/>
      <c r="U153" s="359"/>
      <c r="V153" s="359"/>
      <c r="W153" s="359"/>
      <c r="X153" s="359"/>
      <c r="Y153" s="359"/>
      <c r="Z153" s="359"/>
      <c r="AA153" s="359"/>
      <c r="AB153" s="359"/>
      <c r="AC153" s="359"/>
      <c r="AD153" s="359"/>
      <c r="AE153" s="359"/>
      <c r="AF153" s="359"/>
      <c r="AG153" s="359"/>
      <c r="AH153" s="359"/>
      <c r="AI153" s="359"/>
      <c r="AJ153" s="359"/>
      <c r="AK153" s="359"/>
      <c r="AL153" s="359"/>
      <c r="AM153" s="359"/>
      <c r="AN153" s="359"/>
      <c r="AO153" s="359"/>
      <c r="AP153" s="517"/>
      <c r="AQ153" s="359"/>
      <c r="AR153" s="359"/>
      <c r="AS153" s="359"/>
      <c r="AT153" s="359"/>
      <c r="AU153" s="359"/>
      <c r="AV153" s="359"/>
      <c r="AW153" s="359"/>
      <c r="AX153" s="359"/>
      <c r="AY153" s="359"/>
      <c r="AZ153" s="359"/>
      <c r="BA153" s="359"/>
      <c r="BB153" s="359"/>
      <c r="BC153" s="359"/>
      <c r="BD153" s="359"/>
      <c r="BE153" s="517"/>
      <c r="BF153" s="635"/>
      <c r="BG153" s="635"/>
      <c r="BH153" s="635"/>
      <c r="BS153" s="635"/>
      <c r="BT153" s="635"/>
      <c r="BU153" s="257"/>
      <c r="BV153" s="257"/>
      <c r="BW153" s="257"/>
      <c r="BX153" s="257"/>
      <c r="BY153" s="257"/>
      <c r="BZ153" s="257"/>
      <c r="CA153" s="257"/>
      <c r="CB153" s="257"/>
      <c r="CC153" s="257"/>
      <c r="CD153" s="635"/>
      <c r="CG153" s="257"/>
      <c r="CH153" s="257"/>
      <c r="CI153" s="257"/>
      <c r="CJ153" s="257"/>
      <c r="CK153" s="257"/>
      <c r="CL153" s="257"/>
      <c r="CM153" s="257"/>
      <c r="CN153" s="257"/>
      <c r="DC153" s="635"/>
      <c r="DD153" s="635"/>
      <c r="DE153" s="635"/>
      <c r="DF153" s="635"/>
      <c r="DG153" s="635"/>
      <c r="DH153" s="635"/>
    </row>
  </sheetData>
  <sheetProtection algorithmName="SHA-512" hashValue="SYmTqosApFuA3tVZz5u4+TwEWyXJVFd+iaFpjEHNwivhC13vrFOM4Mt7OYFSkf4/1KHehn/GR/ox2Cbd8o7mxg==" saltValue="we1e6d7/Xyq7QzVFOKf9+A==" spinCount="100000" sheet="1" objects="1" scenarios="1" autoFilter="0"/>
  <autoFilter ref="A4:EH141">
    <sortState ref="A5:EW141">
      <sortCondition ref="A4:A141"/>
    </sortState>
  </autoFilter>
  <sortState ref="A26:CY141">
    <sortCondition ref="D26:D141"/>
    <sortCondition ref="B26:B141"/>
  </sortState>
  <customSheetViews>
    <customSheetView guid="{60F78483-39BF-4220-A916-CF2EC8650828}" scale="120" showAutoFilter="1" hiddenRows="1" hiddenColumns="1">
      <pane ySplit="6" topLeftCell="A129" activePane="bottomLeft" state="frozen"/>
      <selection pane="bottomLeft" activeCell="AC6" sqref="A6:AC140"/>
      <pageMargins left="0.7" right="0.7" top="0.75" bottom="0.75" header="0.3" footer="0.3"/>
      <pageSetup orientation="portrait" r:id="rId1"/>
      <autoFilter ref="B6:AD140">
        <sortState ref="B7:AC140">
          <sortCondition ref="P6:P140"/>
        </sortState>
      </autoFilter>
    </customSheetView>
    <customSheetView guid="{A81EEAD5-0F54-487C-916C-C0011EA5EA13}" scale="120" showAutoFilter="1" hiddenRows="1" hiddenColumns="1" topLeftCell="C1">
      <pane ySplit="6" topLeftCell="A7" activePane="bottomLeft" state="frozen"/>
      <selection pane="bottomLeft" activeCell="F18" sqref="F18"/>
      <pageMargins left="0.7" right="0.7" top="0.75" bottom="0.75" header="0.3" footer="0.3"/>
      <pageSetup orientation="portrait" r:id="rId2"/>
      <autoFilter ref="B6:AD140">
        <sortState ref="B7:AC140">
          <sortCondition ref="P6:P140"/>
        </sortState>
      </autoFilter>
    </customSheetView>
    <customSheetView guid="{4A33A914-5DEA-45EA-961C-669673132E6E}" scale="90" showAutoFilter="1" hiddenRows="1" hiddenColumns="1" topLeftCell="F1">
      <pane ySplit="6" topLeftCell="A7" activePane="bottomLeft" state="frozen"/>
      <selection pane="bottomLeft" activeCell="E15" sqref="E15"/>
      <pageMargins left="0.7" right="0.7" top="0.75" bottom="0.75" header="0.3" footer="0.3"/>
      <pageSetup orientation="portrait" r:id="rId3"/>
      <autoFilter ref="A6:W140">
        <sortState ref="A7:W140">
          <sortCondition ref="O6:O140"/>
        </sortState>
      </autoFilter>
    </customSheetView>
  </customSheetViews>
  <mergeCells count="29">
    <mergeCell ref="CZ3:DA3"/>
    <mergeCell ref="CO3:CP3"/>
    <mergeCell ref="CS3:CT3"/>
    <mergeCell ref="CQ3:CR3"/>
    <mergeCell ref="BS1:CN1"/>
    <mergeCell ref="B1:F1"/>
    <mergeCell ref="DI1:DR1"/>
    <mergeCell ref="DS1:EG1"/>
    <mergeCell ref="BI1:BJ1"/>
    <mergeCell ref="H1:BE1"/>
    <mergeCell ref="BK1:BR1"/>
    <mergeCell ref="BF1:BH1"/>
    <mergeCell ref="CO1:DH1"/>
    <mergeCell ref="EC3:EG3"/>
    <mergeCell ref="BK2:BR2"/>
    <mergeCell ref="DI2:DR2"/>
    <mergeCell ref="DS2:DW2"/>
    <mergeCell ref="DX2:EB2"/>
    <mergeCell ref="EC2:EG2"/>
    <mergeCell ref="DC2:DF2"/>
    <mergeCell ref="CO2:CU2"/>
    <mergeCell ref="CV2:DB2"/>
    <mergeCell ref="DC3:DD3"/>
    <mergeCell ref="DE3:DF3"/>
    <mergeCell ref="CE2:CN2"/>
    <mergeCell ref="BS2:CD2"/>
    <mergeCell ref="DG2:DH2"/>
    <mergeCell ref="CV3:CW3"/>
    <mergeCell ref="CX3:CY3"/>
  </mergeCells>
  <conditionalFormatting sqref="H5:BE141 BG27:BG36 BG5:BG25">
    <cfRule type="cellIs" dxfId="0" priority="2" operator="lessThan">
      <formula>-97</formula>
    </cfRule>
  </conditionalFormatting>
  <pageMargins left="0.7" right="0.7" top="0.75" bottom="0.75" header="0.3" footer="0.3"/>
  <pageSetup orientation="portrait"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44"/>
  <sheetViews>
    <sheetView workbookViewId="0">
      <selection activeCell="E9" sqref="E9"/>
    </sheetView>
  </sheetViews>
  <sheetFormatPr defaultColWidth="0" defaultRowHeight="12.75" zeroHeight="1" x14ac:dyDescent="0.2"/>
  <cols>
    <col min="1" max="1" width="17.140625" style="67" customWidth="1"/>
    <col min="2" max="4" width="12.42578125" style="67" customWidth="1"/>
    <col min="5" max="5" width="15.5703125" style="67" customWidth="1"/>
    <col min="6" max="7" width="12.42578125" style="67" customWidth="1"/>
    <col min="8" max="8" width="1.28515625" style="67" customWidth="1"/>
    <col min="9" max="9" width="17.5703125" style="67" customWidth="1"/>
    <col min="10" max="12" width="12.42578125" style="67" customWidth="1"/>
    <col min="13" max="13" width="15.85546875" style="67" customWidth="1"/>
    <col min="14" max="15" width="12.42578125" style="67" customWidth="1"/>
    <col min="16" max="16" width="9.140625" style="67" customWidth="1"/>
    <col min="17" max="18" width="9.140625" style="67" hidden="1" customWidth="1"/>
    <col min="19" max="19" width="4.28515625" style="67" hidden="1" customWidth="1"/>
    <col min="20" max="21" width="0" style="67" hidden="1" customWidth="1"/>
    <col min="22" max="16384" width="9.140625" style="67" hidden="1"/>
  </cols>
  <sheetData>
    <row r="1" spans="1:21" x14ac:dyDescent="0.2">
      <c r="A1" s="1024" t="s">
        <v>8</v>
      </c>
      <c r="B1" s="1024"/>
      <c r="C1" s="1024"/>
      <c r="D1" s="1024"/>
      <c r="E1" s="1024"/>
      <c r="F1" s="1024"/>
      <c r="G1" s="1024"/>
      <c r="H1" s="128"/>
      <c r="I1" s="1025" t="s">
        <v>216</v>
      </c>
      <c r="J1" s="1025"/>
      <c r="K1" s="1025"/>
      <c r="L1" s="1025"/>
      <c r="M1" s="1025"/>
      <c r="N1" s="1025"/>
      <c r="O1" s="1025"/>
      <c r="P1" s="128"/>
      <c r="Q1" s="128"/>
      <c r="R1" s="128"/>
      <c r="S1" s="128"/>
      <c r="T1" s="128"/>
      <c r="U1" s="128"/>
    </row>
    <row r="2" spans="1:21" x14ac:dyDescent="0.2">
      <c r="A2" s="74" t="s">
        <v>217</v>
      </c>
      <c r="B2" s="1026">
        <v>2009</v>
      </c>
      <c r="C2" s="1026"/>
      <c r="D2" s="1026">
        <v>2005</v>
      </c>
      <c r="E2" s="1026"/>
      <c r="F2" s="1026">
        <v>2001</v>
      </c>
      <c r="G2" s="1026"/>
      <c r="H2" s="128"/>
      <c r="I2" s="74" t="s">
        <v>217</v>
      </c>
      <c r="J2" s="1026">
        <v>2009</v>
      </c>
      <c r="K2" s="1026"/>
      <c r="L2" s="1026">
        <v>2005</v>
      </c>
      <c r="M2" s="1026"/>
      <c r="N2" s="1026">
        <v>2001</v>
      </c>
      <c r="O2" s="1026"/>
      <c r="P2" s="128"/>
      <c r="Q2" s="128"/>
      <c r="R2" s="128"/>
      <c r="S2" s="128"/>
      <c r="T2" s="128"/>
      <c r="U2" s="128"/>
    </row>
    <row r="3" spans="1:21" x14ac:dyDescent="0.2">
      <c r="A3" s="74"/>
      <c r="B3" s="105" t="s">
        <v>218</v>
      </c>
      <c r="C3" s="105" t="s">
        <v>2</v>
      </c>
      <c r="D3" s="105" t="s">
        <v>218</v>
      </c>
      <c r="E3" s="105" t="s">
        <v>2</v>
      </c>
      <c r="F3" s="105" t="s">
        <v>218</v>
      </c>
      <c r="G3" s="105" t="s">
        <v>2</v>
      </c>
      <c r="H3" s="128"/>
      <c r="I3" s="74"/>
      <c r="J3" s="105" t="s">
        <v>218</v>
      </c>
      <c r="K3" s="105" t="s">
        <v>2</v>
      </c>
      <c r="L3" s="105" t="s">
        <v>218</v>
      </c>
      <c r="M3" s="105" t="s">
        <v>2</v>
      </c>
      <c r="N3" s="105" t="s">
        <v>218</v>
      </c>
      <c r="O3" s="105" t="s">
        <v>2</v>
      </c>
      <c r="P3" s="128"/>
      <c r="Q3" s="128"/>
      <c r="R3" s="128"/>
      <c r="S3" s="128"/>
      <c r="T3" s="128"/>
      <c r="U3" s="128"/>
    </row>
    <row r="4" spans="1:21" x14ac:dyDescent="0.2">
      <c r="A4" s="74"/>
      <c r="B4" s="68">
        <v>2009</v>
      </c>
      <c r="C4" s="68">
        <v>2009</v>
      </c>
      <c r="D4" s="68">
        <v>2005</v>
      </c>
      <c r="E4" s="68">
        <v>2005</v>
      </c>
      <c r="F4" s="68">
        <v>2001</v>
      </c>
      <c r="G4" s="68">
        <v>2001</v>
      </c>
      <c r="H4" s="128"/>
      <c r="I4" s="74"/>
      <c r="J4" s="123">
        <v>2009</v>
      </c>
      <c r="K4" s="123">
        <v>2009</v>
      </c>
      <c r="L4" s="123">
        <v>2005</v>
      </c>
      <c r="M4" s="123">
        <v>2005</v>
      </c>
      <c r="N4" s="123">
        <v>2001</v>
      </c>
      <c r="O4" s="123">
        <v>2001</v>
      </c>
      <c r="P4" s="128"/>
      <c r="Q4" s="128"/>
      <c r="R4" s="128"/>
      <c r="S4" s="128"/>
      <c r="T4" s="128"/>
      <c r="U4" s="128"/>
    </row>
    <row r="5" spans="1:21" x14ac:dyDescent="0.2">
      <c r="A5" s="69" t="s">
        <v>220</v>
      </c>
      <c r="B5" s="70">
        <v>8.9999999999999993E-3</v>
      </c>
      <c r="C5" s="73">
        <v>3.1358885017421602E-2</v>
      </c>
      <c r="D5" s="67">
        <v>0.01</v>
      </c>
      <c r="E5" s="73">
        <v>3.5714285714285712E-2</v>
      </c>
      <c r="F5" s="67">
        <v>0.01</v>
      </c>
      <c r="G5" s="73">
        <v>0.04</v>
      </c>
      <c r="H5" s="128"/>
      <c r="I5" s="69" t="s">
        <v>220</v>
      </c>
      <c r="J5" s="70">
        <v>0.17299999999999999</v>
      </c>
      <c r="K5" s="73">
        <v>0.39407744874715261</v>
      </c>
      <c r="L5" s="70">
        <v>0.25</v>
      </c>
      <c r="M5" s="73">
        <v>0.51020408163265307</v>
      </c>
      <c r="N5" s="67">
        <v>0.18</v>
      </c>
      <c r="O5" s="73">
        <v>0.36734693877551017</v>
      </c>
      <c r="P5" s="128"/>
      <c r="Q5" s="128"/>
      <c r="R5" s="128"/>
      <c r="S5" s="128"/>
      <c r="T5" s="128"/>
      <c r="U5" s="128"/>
    </row>
    <row r="6" spans="1:21" x14ac:dyDescent="0.2">
      <c r="A6" s="69" t="s">
        <v>219</v>
      </c>
      <c r="B6" s="70">
        <v>1.7000000000000001E-2</v>
      </c>
      <c r="C6" s="73">
        <v>5.9233449477351922E-2</v>
      </c>
      <c r="D6" s="67">
        <v>0.01</v>
      </c>
      <c r="E6" s="73">
        <v>3.5714285714285712E-2</v>
      </c>
      <c r="F6" s="70">
        <v>0.02</v>
      </c>
      <c r="G6" s="73">
        <v>0.08</v>
      </c>
      <c r="H6" s="128"/>
      <c r="I6" s="69" t="s">
        <v>219</v>
      </c>
      <c r="J6" s="70">
        <v>0.17</v>
      </c>
      <c r="K6" s="73">
        <v>0.38724373576309795</v>
      </c>
      <c r="L6" s="70">
        <v>0.14000000000000001</v>
      </c>
      <c r="M6" s="73">
        <v>0.28571428571428575</v>
      </c>
      <c r="N6" s="67">
        <v>0.23</v>
      </c>
      <c r="O6" s="73">
        <v>0.46938775510204078</v>
      </c>
      <c r="P6" s="128"/>
      <c r="Q6" s="128"/>
      <c r="R6" s="128"/>
      <c r="S6" s="128"/>
      <c r="T6" s="128"/>
      <c r="U6" s="128"/>
    </row>
    <row r="7" spans="1:21" x14ac:dyDescent="0.2">
      <c r="A7" s="71" t="s">
        <v>221</v>
      </c>
      <c r="B7" s="70">
        <v>0.03</v>
      </c>
      <c r="C7" s="73">
        <v>0.10452961672473868</v>
      </c>
      <c r="D7" s="67">
        <v>0.03</v>
      </c>
      <c r="E7" s="73">
        <v>0.10714285714285712</v>
      </c>
      <c r="F7" s="67">
        <v>0.02</v>
      </c>
      <c r="G7" s="73">
        <v>0.08</v>
      </c>
      <c r="H7" s="128"/>
      <c r="I7" s="71" t="s">
        <v>221</v>
      </c>
      <c r="P7" s="128"/>
      <c r="Q7" s="128"/>
      <c r="R7" s="128"/>
      <c r="S7" s="128"/>
      <c r="T7" s="128"/>
      <c r="U7" s="128"/>
    </row>
    <row r="8" spans="1:21" x14ac:dyDescent="0.2">
      <c r="A8" s="69" t="s">
        <v>81</v>
      </c>
      <c r="B8" s="70">
        <v>4.3999999999999997E-2</v>
      </c>
      <c r="C8" s="73">
        <v>0.15331010452961671</v>
      </c>
      <c r="D8" s="67">
        <v>0.04</v>
      </c>
      <c r="E8" s="73">
        <v>0.14285714285714285</v>
      </c>
      <c r="F8" s="67">
        <v>0.04</v>
      </c>
      <c r="G8" s="73">
        <v>0.16</v>
      </c>
      <c r="H8" s="128"/>
      <c r="I8" s="69" t="s">
        <v>81</v>
      </c>
      <c r="P8" s="128"/>
      <c r="Q8" s="128"/>
      <c r="R8" s="128"/>
      <c r="S8" s="128"/>
      <c r="T8" s="128"/>
      <c r="U8" s="128"/>
    </row>
    <row r="9" spans="1:21" x14ac:dyDescent="0.2">
      <c r="A9" s="69" t="s">
        <v>1</v>
      </c>
      <c r="B9" s="70">
        <v>0.187</v>
      </c>
      <c r="C9" s="73">
        <v>0.65156794425087117</v>
      </c>
      <c r="D9" s="67">
        <v>0.19</v>
      </c>
      <c r="E9" s="73">
        <v>0.67857142857142849</v>
      </c>
      <c r="F9" s="67">
        <v>0.16</v>
      </c>
      <c r="G9" s="73">
        <v>0.64</v>
      </c>
      <c r="H9" s="128"/>
      <c r="I9" s="69" t="s">
        <v>1</v>
      </c>
      <c r="J9" s="70">
        <v>9.6000000000000002E-2</v>
      </c>
      <c r="K9" s="73">
        <v>0.21867881548974943</v>
      </c>
      <c r="L9" s="70">
        <v>0.1</v>
      </c>
      <c r="M9" s="73">
        <v>0.20408163265306123</v>
      </c>
      <c r="N9" s="67">
        <v>0.08</v>
      </c>
      <c r="O9" s="73">
        <v>0.16326530612244897</v>
      </c>
      <c r="P9" s="128"/>
      <c r="Q9" s="128"/>
      <c r="R9" s="128"/>
      <c r="S9" s="128"/>
      <c r="T9" s="128"/>
      <c r="U9" s="128"/>
    </row>
    <row r="10" spans="1:21" x14ac:dyDescent="0.2">
      <c r="A10" s="351" t="s">
        <v>222</v>
      </c>
      <c r="B10" s="354">
        <v>0.28699999999999998</v>
      </c>
      <c r="C10" s="355">
        <v>1</v>
      </c>
      <c r="D10" s="351">
        <v>0.28000000000000003</v>
      </c>
      <c r="E10" s="355">
        <v>0.99999999999999989</v>
      </c>
      <c r="F10" s="351">
        <v>0.25</v>
      </c>
      <c r="G10" s="355">
        <v>1</v>
      </c>
      <c r="H10" s="350"/>
      <c r="I10" s="351" t="s">
        <v>222</v>
      </c>
      <c r="J10" s="354">
        <v>0.439</v>
      </c>
      <c r="K10" s="355">
        <v>1</v>
      </c>
      <c r="L10" s="354">
        <v>0.49</v>
      </c>
      <c r="M10" s="355">
        <v>1</v>
      </c>
      <c r="N10" s="354">
        <v>0.49000000000000005</v>
      </c>
      <c r="O10" s="355">
        <v>0.99999999999999989</v>
      </c>
      <c r="P10" s="128"/>
      <c r="Q10" s="128"/>
      <c r="R10" s="128"/>
      <c r="S10" s="128"/>
      <c r="T10" s="128"/>
      <c r="U10" s="128"/>
    </row>
    <row r="11" spans="1:21" x14ac:dyDescent="0.2">
      <c r="A11" s="352"/>
      <c r="B11" s="352"/>
      <c r="C11" s="352"/>
      <c r="D11" s="352"/>
      <c r="E11" s="352"/>
      <c r="F11" s="352"/>
      <c r="G11" s="353"/>
      <c r="H11" s="352"/>
      <c r="I11" s="352"/>
      <c r="J11" s="352"/>
      <c r="K11" s="352"/>
      <c r="L11" s="352"/>
      <c r="M11" s="353"/>
      <c r="N11" s="352"/>
      <c r="O11" s="353"/>
      <c r="P11" s="352"/>
      <c r="Q11" s="128"/>
      <c r="R11" s="128"/>
      <c r="S11" s="128"/>
      <c r="T11" s="128"/>
      <c r="U11" s="128"/>
    </row>
    <row r="12" spans="1:21" x14ac:dyDescent="0.2">
      <c r="A12" s="352"/>
      <c r="B12" s="352"/>
      <c r="C12" s="352"/>
      <c r="D12" s="352"/>
      <c r="E12" s="352"/>
      <c r="F12" s="352"/>
      <c r="G12" s="352"/>
      <c r="H12" s="352"/>
      <c r="I12" s="352"/>
      <c r="J12" s="352"/>
      <c r="K12" s="352"/>
      <c r="L12" s="352"/>
      <c r="M12" s="352"/>
      <c r="N12" s="352"/>
      <c r="O12" s="352"/>
      <c r="P12" s="352"/>
      <c r="Q12" s="128"/>
      <c r="R12" s="128"/>
      <c r="S12" s="128"/>
      <c r="T12" s="128"/>
      <c r="U12" s="128"/>
    </row>
    <row r="13" spans="1:21" x14ac:dyDescent="0.2">
      <c r="A13" s="128"/>
      <c r="B13" s="128"/>
      <c r="C13" s="128"/>
      <c r="D13" s="128"/>
      <c r="E13" s="128"/>
      <c r="F13" s="128"/>
      <c r="G13" s="128"/>
      <c r="H13" s="128"/>
      <c r="I13" s="128"/>
      <c r="J13" s="128"/>
      <c r="K13" s="128"/>
      <c r="L13" s="128"/>
      <c r="M13" s="128"/>
      <c r="N13" s="128"/>
      <c r="O13" s="128"/>
      <c r="P13" s="128"/>
      <c r="Q13" s="128"/>
      <c r="R13" s="128"/>
      <c r="S13" s="128"/>
      <c r="T13" s="128"/>
      <c r="U13" s="128"/>
    </row>
    <row r="14" spans="1:21" x14ac:dyDescent="0.2">
      <c r="A14" s="128"/>
      <c r="B14" s="128"/>
      <c r="C14" s="128"/>
      <c r="D14" s="128"/>
      <c r="E14" s="128"/>
      <c r="F14" s="128"/>
      <c r="G14" s="128"/>
      <c r="H14" s="128"/>
      <c r="I14" s="128"/>
      <c r="J14" s="128"/>
      <c r="K14" s="128"/>
      <c r="L14" s="128"/>
      <c r="M14" s="128"/>
      <c r="N14" s="128"/>
      <c r="O14" s="128"/>
      <c r="P14" s="128"/>
      <c r="Q14" s="128"/>
      <c r="R14" s="128"/>
      <c r="S14" s="128"/>
      <c r="T14" s="128"/>
      <c r="U14" s="128"/>
    </row>
    <row r="15" spans="1:21" x14ac:dyDescent="0.2">
      <c r="A15" s="128"/>
      <c r="B15" s="128"/>
      <c r="C15" s="128"/>
      <c r="D15" s="128"/>
      <c r="E15" s="128"/>
      <c r="F15" s="128"/>
      <c r="G15" s="128"/>
      <c r="H15" s="128"/>
      <c r="I15" s="128"/>
      <c r="J15" s="128"/>
      <c r="K15" s="128"/>
      <c r="L15" s="128"/>
      <c r="M15" s="128"/>
      <c r="N15" s="128"/>
      <c r="O15" s="128"/>
      <c r="P15" s="128"/>
      <c r="Q15" s="128"/>
      <c r="R15" s="128"/>
      <c r="S15" s="128"/>
      <c r="T15" s="128"/>
      <c r="U15" s="128"/>
    </row>
    <row r="16" spans="1:21" ht="12.75" customHeight="1" x14ac:dyDescent="0.25">
      <c r="A16" s="23"/>
      <c r="B16" s="23"/>
      <c r="C16" s="23"/>
      <c r="D16" s="23"/>
      <c r="E16" s="23"/>
      <c r="F16" s="23"/>
      <c r="G16" s="23"/>
      <c r="H16" s="23"/>
      <c r="I16" s="23"/>
      <c r="J16" s="23"/>
      <c r="K16" s="23"/>
      <c r="L16" s="23"/>
      <c r="M16" s="128"/>
      <c r="N16" s="128"/>
      <c r="O16" s="128"/>
      <c r="P16" s="128"/>
      <c r="Q16" s="128"/>
      <c r="R16" s="128"/>
      <c r="S16" s="128"/>
      <c r="T16" s="128"/>
      <c r="U16" s="128"/>
    </row>
    <row r="17" spans="1:21" s="72" customFormat="1" ht="25.5" customHeight="1" x14ac:dyDescent="0.25">
      <c r="A17" s="23"/>
      <c r="B17" s="23"/>
      <c r="C17" s="23"/>
      <c r="D17" s="23"/>
      <c r="E17" s="23"/>
      <c r="F17" s="23"/>
      <c r="G17" s="23"/>
      <c r="H17" s="23"/>
      <c r="I17" s="23"/>
      <c r="J17" s="23"/>
      <c r="K17" s="23"/>
      <c r="L17" s="23"/>
      <c r="M17" s="129"/>
      <c r="N17" s="129"/>
      <c r="O17" s="129"/>
      <c r="P17" s="129"/>
      <c r="Q17" s="129"/>
      <c r="R17" s="129"/>
      <c r="S17" s="129"/>
      <c r="T17" s="129"/>
      <c r="U17" s="129"/>
    </row>
    <row r="18" spans="1:21" ht="12.75" customHeight="1" x14ac:dyDescent="0.25">
      <c r="A18" s="23"/>
      <c r="B18" s="23"/>
      <c r="C18" s="23"/>
      <c r="D18" s="23"/>
      <c r="E18" s="23"/>
      <c r="F18" s="23"/>
      <c r="G18" s="23"/>
      <c r="H18" s="23"/>
      <c r="I18" s="23"/>
      <c r="J18" s="23"/>
      <c r="K18" s="23"/>
      <c r="L18" s="23"/>
      <c r="M18" s="128"/>
      <c r="N18" s="128"/>
      <c r="O18" s="128"/>
      <c r="P18" s="128"/>
      <c r="Q18" s="128"/>
      <c r="R18" s="128"/>
      <c r="S18" s="128"/>
      <c r="T18" s="128"/>
      <c r="U18" s="128"/>
    </row>
    <row r="19" spans="1:21" ht="15" x14ac:dyDescent="0.25">
      <c r="A19" s="23"/>
      <c r="B19" s="23"/>
      <c r="C19" s="23"/>
      <c r="D19" s="23"/>
      <c r="E19" s="23"/>
      <c r="F19" s="23"/>
      <c r="G19" s="23"/>
      <c r="H19" s="23"/>
      <c r="I19" s="23"/>
      <c r="J19" s="23"/>
      <c r="K19" s="23"/>
      <c r="L19" s="23"/>
      <c r="M19" s="128"/>
      <c r="N19" s="128"/>
      <c r="O19" s="128"/>
      <c r="P19" s="128"/>
      <c r="Q19" s="128"/>
      <c r="R19" s="128"/>
      <c r="S19" s="128"/>
      <c r="T19" s="128"/>
      <c r="U19" s="128"/>
    </row>
    <row r="20" spans="1:21" ht="15" x14ac:dyDescent="0.25">
      <c r="A20" s="23"/>
      <c r="B20" s="23"/>
      <c r="C20" s="23"/>
      <c r="D20" s="23"/>
      <c r="E20" s="23"/>
      <c r="F20" s="23"/>
      <c r="G20" s="23"/>
      <c r="H20" s="23"/>
      <c r="I20" s="23"/>
      <c r="J20" s="23"/>
      <c r="K20" s="23"/>
      <c r="L20" s="23"/>
      <c r="M20" s="128"/>
      <c r="N20" s="128"/>
      <c r="O20" s="128"/>
      <c r="P20" s="128"/>
      <c r="Q20" s="128"/>
      <c r="R20" s="128"/>
      <c r="S20" s="128"/>
      <c r="T20" s="128"/>
    </row>
    <row r="21" spans="1:21" ht="15" x14ac:dyDescent="0.25">
      <c r="A21" s="23"/>
      <c r="B21" s="23"/>
      <c r="C21" s="23"/>
      <c r="D21" s="23"/>
      <c r="E21" s="23"/>
      <c r="F21" s="23"/>
      <c r="G21" s="23"/>
      <c r="H21" s="23"/>
      <c r="I21" s="23"/>
      <c r="J21" s="23"/>
      <c r="K21" s="23"/>
      <c r="L21" s="23"/>
      <c r="M21" s="128"/>
      <c r="N21" s="128"/>
      <c r="O21" s="128"/>
      <c r="P21" s="128"/>
      <c r="Q21" s="128"/>
      <c r="R21" s="128"/>
      <c r="S21" s="128"/>
      <c r="T21" s="128"/>
    </row>
    <row r="22" spans="1:21" ht="15" x14ac:dyDescent="0.25">
      <c r="A22" s="23"/>
      <c r="B22" s="23"/>
      <c r="C22" s="23"/>
      <c r="D22" s="23"/>
      <c r="E22" s="23"/>
      <c r="F22" s="23"/>
      <c r="G22" s="23"/>
      <c r="H22" s="23"/>
      <c r="I22" s="23"/>
      <c r="J22" s="23"/>
      <c r="K22" s="23"/>
      <c r="L22" s="23"/>
      <c r="M22" s="128"/>
      <c r="N22" s="128"/>
      <c r="O22" s="128"/>
      <c r="P22" s="128"/>
      <c r="Q22" s="128"/>
      <c r="R22" s="128"/>
      <c r="S22" s="128"/>
      <c r="T22" s="128"/>
    </row>
    <row r="23" spans="1:21" ht="15" x14ac:dyDescent="0.25">
      <c r="A23" s="23"/>
      <c r="B23" s="23"/>
      <c r="C23" s="23"/>
      <c r="D23" s="23"/>
      <c r="E23" s="23"/>
      <c r="F23" s="23"/>
      <c r="G23" s="23"/>
      <c r="H23" s="23"/>
      <c r="I23" s="23"/>
      <c r="J23" s="23"/>
      <c r="K23" s="23"/>
      <c r="L23" s="23"/>
      <c r="M23" s="128"/>
      <c r="N23" s="128"/>
      <c r="O23" s="128"/>
      <c r="P23" s="128"/>
      <c r="Q23" s="128"/>
      <c r="R23" s="128"/>
      <c r="S23" s="128"/>
      <c r="T23" s="128"/>
    </row>
    <row r="24" spans="1:21" ht="15" x14ac:dyDescent="0.25">
      <c r="A24" s="23"/>
      <c r="B24" s="23"/>
      <c r="C24" s="23"/>
      <c r="D24" s="23"/>
      <c r="E24" s="23"/>
      <c r="F24" s="23"/>
      <c r="G24" s="23"/>
      <c r="H24" s="23"/>
      <c r="I24" s="23"/>
      <c r="J24" s="23"/>
      <c r="K24" s="23"/>
      <c r="L24" s="23"/>
      <c r="M24" s="128"/>
      <c r="N24" s="128"/>
      <c r="O24" s="128"/>
      <c r="P24" s="128"/>
      <c r="Q24" s="128"/>
      <c r="R24" s="128"/>
      <c r="S24" s="128"/>
      <c r="T24" s="128"/>
    </row>
    <row r="25" spans="1:21" ht="15" x14ac:dyDescent="0.25">
      <c r="A25" s="23"/>
      <c r="B25" s="23"/>
      <c r="C25" s="23"/>
      <c r="D25" s="23"/>
      <c r="E25" s="23"/>
      <c r="F25" s="23"/>
      <c r="G25" s="23"/>
      <c r="H25" s="23"/>
      <c r="I25" s="23"/>
      <c r="J25" s="23"/>
      <c r="K25" s="23"/>
      <c r="L25" s="23"/>
      <c r="M25" s="128"/>
      <c r="N25" s="128"/>
      <c r="O25" s="128"/>
      <c r="P25" s="128"/>
      <c r="Q25" s="128"/>
      <c r="R25" s="128"/>
      <c r="S25" s="128"/>
      <c r="T25" s="128"/>
    </row>
    <row r="26" spans="1:21" ht="15" x14ac:dyDescent="0.25">
      <c r="A26" s="23"/>
      <c r="B26" s="23"/>
      <c r="C26" s="23"/>
      <c r="D26" s="23"/>
      <c r="E26" s="23"/>
      <c r="F26" s="23"/>
      <c r="G26" s="23"/>
      <c r="H26" s="23"/>
      <c r="I26" s="23"/>
      <c r="J26" s="23"/>
      <c r="K26" s="23"/>
      <c r="L26" s="23"/>
      <c r="M26" s="128"/>
      <c r="N26" s="128"/>
      <c r="O26" s="128"/>
      <c r="P26" s="128"/>
      <c r="Q26" s="128"/>
      <c r="R26" s="128"/>
      <c r="S26" s="128"/>
      <c r="T26" s="128"/>
    </row>
    <row r="27" spans="1:21" ht="15" x14ac:dyDescent="0.25">
      <c r="A27" s="23"/>
      <c r="B27" s="23"/>
      <c r="C27" s="23"/>
      <c r="D27" s="23"/>
      <c r="E27" s="23"/>
      <c r="F27" s="23"/>
      <c r="G27" s="23"/>
      <c r="H27" s="23"/>
      <c r="I27" s="23"/>
      <c r="J27" s="23"/>
      <c r="K27" s="23"/>
      <c r="L27" s="23"/>
      <c r="M27" s="128"/>
      <c r="N27" s="128"/>
      <c r="O27" s="128"/>
      <c r="P27" s="128"/>
      <c r="Q27" s="128"/>
      <c r="R27" s="128"/>
      <c r="S27" s="128"/>
      <c r="T27" s="128"/>
    </row>
    <row r="28" spans="1:21" ht="15" hidden="1" x14ac:dyDescent="0.25">
      <c r="A28" s="23"/>
      <c r="B28" s="23"/>
      <c r="C28" s="23"/>
      <c r="D28" s="23"/>
      <c r="E28" s="23"/>
      <c r="F28" s="23"/>
      <c r="G28" s="23"/>
      <c r="H28" s="23"/>
      <c r="I28" s="23"/>
      <c r="J28" s="23"/>
      <c r="K28" s="23"/>
      <c r="L28" s="23"/>
      <c r="M28" s="128"/>
      <c r="N28" s="128"/>
      <c r="O28" s="128"/>
      <c r="P28" s="128"/>
      <c r="Q28" s="128"/>
      <c r="R28" s="128"/>
      <c r="S28" s="128"/>
      <c r="T28" s="128"/>
    </row>
    <row r="29" spans="1:21" ht="15" hidden="1" x14ac:dyDescent="0.25">
      <c r="A29" s="23"/>
      <c r="B29" s="23"/>
      <c r="C29" s="23"/>
      <c r="D29" s="23"/>
      <c r="E29" s="23"/>
      <c r="F29" s="23"/>
      <c r="G29" s="23"/>
      <c r="H29" s="23"/>
      <c r="I29" s="23"/>
      <c r="J29" s="23"/>
      <c r="K29" s="23"/>
      <c r="L29" s="23"/>
      <c r="M29" s="128"/>
      <c r="N29" s="128"/>
      <c r="O29" s="128"/>
      <c r="P29" s="128"/>
      <c r="Q29" s="128"/>
      <c r="R29" s="128"/>
      <c r="S29" s="128"/>
      <c r="T29" s="128"/>
    </row>
    <row r="30" spans="1:21" ht="15" hidden="1" x14ac:dyDescent="0.25">
      <c r="A30" s="23"/>
      <c r="B30" s="23"/>
      <c r="C30" s="23"/>
      <c r="D30" s="23"/>
      <c r="E30" s="23"/>
      <c r="F30" s="23"/>
      <c r="G30" s="23"/>
      <c r="H30" s="23"/>
      <c r="I30" s="23"/>
      <c r="J30" s="23"/>
      <c r="K30" s="23"/>
      <c r="L30" s="23"/>
      <c r="M30" s="128"/>
      <c r="N30" s="128"/>
      <c r="O30" s="128"/>
      <c r="P30" s="128"/>
      <c r="Q30" s="128"/>
      <c r="R30" s="128"/>
      <c r="S30" s="128"/>
      <c r="T30" s="128"/>
    </row>
    <row r="31" spans="1:21" hidden="1" x14ac:dyDescent="0.2">
      <c r="A31" s="128"/>
      <c r="B31" s="128"/>
      <c r="C31" s="128"/>
      <c r="D31" s="128"/>
      <c r="E31" s="128"/>
      <c r="F31" s="128"/>
      <c r="G31" s="128"/>
      <c r="H31" s="128"/>
      <c r="I31" s="128"/>
      <c r="J31" s="128"/>
      <c r="K31" s="128"/>
      <c r="L31" s="128"/>
      <c r="M31" s="128"/>
      <c r="N31" s="128"/>
      <c r="O31" s="128"/>
      <c r="P31" s="128"/>
      <c r="Q31" s="128"/>
      <c r="R31" s="128"/>
      <c r="S31" s="128"/>
      <c r="T31" s="128"/>
    </row>
    <row r="32" spans="1:21" hidden="1" x14ac:dyDescent="0.2">
      <c r="A32" s="128"/>
      <c r="B32" s="128"/>
      <c r="C32" s="128"/>
      <c r="D32" s="128"/>
      <c r="E32" s="128"/>
      <c r="F32" s="128"/>
      <c r="G32" s="128"/>
      <c r="H32" s="128"/>
      <c r="I32" s="128"/>
      <c r="J32" s="128"/>
      <c r="K32" s="128"/>
      <c r="L32" s="128"/>
      <c r="M32" s="128"/>
      <c r="N32" s="128"/>
      <c r="O32" s="128"/>
      <c r="P32" s="128"/>
      <c r="Q32" s="128"/>
      <c r="R32" s="128"/>
      <c r="S32" s="128"/>
      <c r="T32" s="128"/>
    </row>
    <row r="33" spans="1:20" hidden="1" x14ac:dyDescent="0.2">
      <c r="A33" s="128"/>
      <c r="B33" s="128"/>
      <c r="C33" s="128"/>
      <c r="D33" s="128"/>
      <c r="E33" s="128"/>
      <c r="F33" s="128"/>
      <c r="G33" s="128"/>
      <c r="H33" s="128"/>
      <c r="I33" s="128"/>
      <c r="J33" s="128"/>
      <c r="K33" s="128"/>
      <c r="L33" s="128"/>
      <c r="M33" s="128"/>
      <c r="N33" s="128"/>
      <c r="O33" s="128"/>
      <c r="P33" s="128"/>
      <c r="Q33" s="128"/>
      <c r="R33" s="128"/>
      <c r="S33" s="128"/>
      <c r="T33" s="128"/>
    </row>
    <row r="34" spans="1:20" hidden="1" x14ac:dyDescent="0.2">
      <c r="A34" s="128"/>
      <c r="B34" s="128"/>
      <c r="C34" s="128"/>
      <c r="D34" s="128"/>
      <c r="E34" s="128"/>
      <c r="F34" s="128"/>
      <c r="G34" s="128"/>
      <c r="H34" s="128"/>
      <c r="I34" s="128"/>
      <c r="J34" s="128"/>
      <c r="K34" s="128"/>
      <c r="L34" s="128"/>
      <c r="M34" s="128"/>
      <c r="N34" s="128"/>
      <c r="O34" s="128"/>
      <c r="P34" s="128"/>
      <c r="Q34" s="128"/>
      <c r="R34" s="128"/>
      <c r="S34" s="128"/>
      <c r="T34" s="128"/>
    </row>
    <row r="35" spans="1:20" hidden="1" x14ac:dyDescent="0.2">
      <c r="A35" s="128"/>
      <c r="B35" s="128"/>
      <c r="C35" s="128"/>
      <c r="D35" s="128"/>
      <c r="E35" s="128"/>
      <c r="F35" s="128"/>
      <c r="G35" s="128"/>
      <c r="H35" s="128"/>
      <c r="I35" s="128"/>
      <c r="J35" s="128"/>
      <c r="K35" s="128"/>
      <c r="L35" s="128"/>
      <c r="M35" s="128"/>
      <c r="N35" s="128"/>
      <c r="O35" s="128"/>
      <c r="P35" s="128"/>
      <c r="Q35" s="128"/>
      <c r="R35" s="128"/>
      <c r="S35" s="128"/>
      <c r="T35" s="128"/>
    </row>
    <row r="36" spans="1:20" hidden="1" x14ac:dyDescent="0.2">
      <c r="A36" s="128"/>
      <c r="B36" s="128"/>
      <c r="C36" s="128"/>
      <c r="D36" s="128"/>
      <c r="E36" s="128"/>
      <c r="F36" s="128"/>
      <c r="G36" s="128"/>
      <c r="H36" s="128"/>
      <c r="I36" s="128"/>
      <c r="J36" s="128"/>
      <c r="K36" s="128"/>
      <c r="L36" s="128"/>
      <c r="M36" s="128"/>
      <c r="N36" s="128"/>
      <c r="O36" s="128"/>
      <c r="P36" s="128"/>
      <c r="Q36" s="128"/>
      <c r="R36" s="128"/>
      <c r="S36" s="128"/>
      <c r="T36" s="128"/>
    </row>
    <row r="37" spans="1:20" hidden="1" x14ac:dyDescent="0.2">
      <c r="A37" s="128"/>
      <c r="B37" s="128"/>
      <c r="C37" s="128"/>
      <c r="D37" s="128"/>
      <c r="E37" s="128"/>
      <c r="F37" s="128"/>
      <c r="G37" s="128"/>
      <c r="H37" s="128"/>
      <c r="I37" s="128"/>
      <c r="J37" s="128"/>
      <c r="K37" s="128"/>
      <c r="L37" s="128"/>
      <c r="M37" s="128"/>
      <c r="N37" s="128"/>
      <c r="O37" s="128"/>
      <c r="P37" s="128"/>
      <c r="Q37" s="128"/>
      <c r="R37" s="128"/>
      <c r="S37" s="128"/>
      <c r="T37" s="128"/>
    </row>
    <row r="38" spans="1:20" hidden="1" x14ac:dyDescent="0.2">
      <c r="A38" s="128"/>
      <c r="B38" s="128"/>
      <c r="C38" s="128"/>
      <c r="D38" s="128"/>
      <c r="E38" s="128"/>
      <c r="F38" s="128"/>
      <c r="G38" s="128"/>
      <c r="H38" s="128"/>
      <c r="I38" s="128"/>
      <c r="J38" s="128"/>
      <c r="K38" s="128"/>
      <c r="L38" s="128"/>
      <c r="M38" s="128"/>
      <c r="N38" s="128"/>
      <c r="O38" s="128"/>
      <c r="P38" s="128"/>
      <c r="Q38" s="128"/>
      <c r="R38" s="128"/>
      <c r="S38" s="128"/>
      <c r="T38" s="128"/>
    </row>
    <row r="39" spans="1:20" hidden="1" x14ac:dyDescent="0.2">
      <c r="A39" s="128"/>
      <c r="B39" s="128"/>
      <c r="C39" s="128"/>
      <c r="D39" s="128"/>
      <c r="E39" s="128"/>
      <c r="F39" s="128"/>
      <c r="G39" s="128"/>
      <c r="H39" s="128"/>
      <c r="I39" s="128"/>
      <c r="J39" s="128"/>
      <c r="K39" s="128"/>
      <c r="L39" s="128"/>
      <c r="M39" s="128"/>
      <c r="N39" s="128"/>
      <c r="O39" s="128"/>
      <c r="P39" s="128"/>
      <c r="Q39" s="128"/>
      <c r="R39" s="128"/>
      <c r="S39" s="128"/>
      <c r="T39" s="128"/>
    </row>
    <row r="40" spans="1:20" hidden="1" x14ac:dyDescent="0.2">
      <c r="A40" s="128"/>
      <c r="B40" s="128"/>
      <c r="C40" s="128"/>
      <c r="D40" s="128"/>
      <c r="E40" s="128"/>
      <c r="F40" s="128"/>
      <c r="G40" s="128"/>
      <c r="H40" s="128"/>
      <c r="I40" s="128"/>
      <c r="J40" s="128"/>
      <c r="K40" s="128"/>
      <c r="L40" s="128"/>
      <c r="M40" s="128"/>
      <c r="N40" s="128"/>
      <c r="O40" s="128"/>
      <c r="P40" s="128"/>
      <c r="Q40" s="128"/>
      <c r="R40" s="128"/>
      <c r="S40" s="128"/>
      <c r="T40" s="128"/>
    </row>
    <row r="41" spans="1:20" hidden="1" x14ac:dyDescent="0.2">
      <c r="A41" s="128"/>
      <c r="B41" s="128"/>
      <c r="C41" s="128"/>
      <c r="D41" s="128"/>
      <c r="E41" s="128"/>
      <c r="F41" s="128"/>
      <c r="G41" s="128"/>
      <c r="H41" s="128"/>
      <c r="I41" s="128"/>
      <c r="J41" s="128"/>
      <c r="K41" s="128"/>
      <c r="L41" s="128"/>
      <c r="M41" s="128"/>
      <c r="N41" s="128"/>
      <c r="O41" s="128"/>
      <c r="P41" s="128"/>
      <c r="Q41" s="128"/>
      <c r="R41" s="128"/>
      <c r="S41" s="128"/>
      <c r="T41" s="128"/>
    </row>
    <row r="42" spans="1:20" hidden="1" x14ac:dyDescent="0.2">
      <c r="A42" s="128"/>
      <c r="B42" s="128"/>
      <c r="C42" s="128"/>
      <c r="D42" s="128"/>
      <c r="E42" s="128"/>
      <c r="F42" s="128"/>
      <c r="G42" s="128"/>
      <c r="H42" s="128"/>
      <c r="I42" s="128"/>
      <c r="J42" s="128"/>
      <c r="K42" s="128"/>
      <c r="L42" s="128"/>
      <c r="M42" s="128"/>
      <c r="N42" s="128"/>
      <c r="O42" s="128"/>
      <c r="P42" s="128"/>
      <c r="Q42" s="128"/>
    </row>
    <row r="43" spans="1:20" hidden="1" x14ac:dyDescent="0.2">
      <c r="A43" s="128"/>
      <c r="B43" s="128"/>
      <c r="C43" s="128"/>
      <c r="D43" s="128"/>
      <c r="E43" s="128"/>
      <c r="F43" s="128"/>
      <c r="G43" s="128"/>
      <c r="H43" s="128"/>
      <c r="I43" s="128"/>
      <c r="J43" s="128"/>
      <c r="K43" s="128"/>
      <c r="L43" s="128"/>
      <c r="M43" s="128"/>
      <c r="N43" s="128"/>
      <c r="O43" s="128"/>
      <c r="P43" s="128"/>
      <c r="Q43" s="128"/>
    </row>
    <row r="44" spans="1:20" hidden="1" x14ac:dyDescent="0.2">
      <c r="A44" s="128"/>
      <c r="B44" s="128"/>
      <c r="C44" s="128"/>
      <c r="D44" s="128"/>
      <c r="E44" s="128"/>
      <c r="F44" s="128"/>
      <c r="G44" s="128"/>
      <c r="H44" s="128"/>
      <c r="I44" s="128"/>
      <c r="J44" s="128"/>
      <c r="K44" s="128"/>
      <c r="L44" s="128"/>
      <c r="M44" s="128"/>
      <c r="N44" s="128"/>
      <c r="O44" s="128"/>
      <c r="P44" s="128"/>
      <c r="Q44" s="128"/>
    </row>
  </sheetData>
  <sheetProtection algorithmName="SHA-512" hashValue="aB4gg1BoZYkKYqsjoGJZ6lOANZETXKOj3Lv1kZWO0fIZxiMClki5ysWNZBnkPX7qHeMXb1YorrWYZtFl2/JtcA==" saltValue="8drTbgb26JoRzUZNGRoX6w==" spinCount="100000" sheet="1" objects="1" scenarios="1"/>
  <sortState ref="A5:O6">
    <sortCondition ref="B5:B6"/>
  </sortState>
  <mergeCells count="8">
    <mergeCell ref="A1:G1"/>
    <mergeCell ref="I1:O1"/>
    <mergeCell ref="B2:C2"/>
    <mergeCell ref="D2:E2"/>
    <mergeCell ref="F2:G2"/>
    <mergeCell ref="J2:K2"/>
    <mergeCell ref="L2:M2"/>
    <mergeCell ref="N2:O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104"/>
  <sheetViews>
    <sheetView workbookViewId="0">
      <pane ySplit="1" topLeftCell="A2" activePane="bottomLeft" state="frozen"/>
      <selection activeCell="E9" sqref="E9"/>
      <selection pane="bottomLeft" activeCell="E9" sqref="E9"/>
    </sheetView>
  </sheetViews>
  <sheetFormatPr defaultColWidth="0" defaultRowHeight="15" zeroHeight="1" x14ac:dyDescent="0.25"/>
  <cols>
    <col min="1" max="1" width="24.42578125" style="83" bestFit="1" customWidth="1"/>
    <col min="2" max="2" width="14.7109375" bestFit="1" customWidth="1"/>
    <col min="3" max="3" width="23.85546875" customWidth="1"/>
    <col min="4" max="8" width="9.140625" customWidth="1"/>
    <col min="9" max="9" width="15.5703125" style="78" customWidth="1"/>
    <col min="10" max="10" width="13.7109375" style="78" customWidth="1"/>
    <col min="11" max="11" width="14.7109375" style="78" customWidth="1"/>
    <col min="12" max="12" width="17.140625" style="78" customWidth="1"/>
    <col min="13" max="13" width="12.5703125" style="78" customWidth="1"/>
    <col min="14" max="14" width="16.7109375" style="78" customWidth="1"/>
    <col min="15" max="15" width="19.140625" style="15" customWidth="1"/>
    <col min="16" max="16" width="13.85546875" style="78" customWidth="1"/>
    <col min="17" max="17" width="9.140625" style="78" customWidth="1"/>
    <col min="18" max="18" width="34" style="1" customWidth="1"/>
    <col min="19" max="19" width="9.140625" style="23" customWidth="1"/>
    <col min="20" max="21" width="0" style="23" hidden="1" customWidth="1"/>
    <col min="22" max="22" width="0" hidden="1" customWidth="1"/>
    <col min="23" max="16384" width="9.140625" hidden="1"/>
  </cols>
  <sheetData>
    <row r="1" spans="1:22" s="374" customFormat="1" ht="60" x14ac:dyDescent="0.25">
      <c r="A1" s="375" t="s">
        <v>236</v>
      </c>
      <c r="B1" s="376" t="s">
        <v>237</v>
      </c>
      <c r="C1" s="375" t="s">
        <v>237</v>
      </c>
      <c r="D1" s="1042" t="s">
        <v>180</v>
      </c>
      <c r="E1" s="1042"/>
      <c r="F1" s="1042" t="s">
        <v>238</v>
      </c>
      <c r="G1" s="1042"/>
      <c r="H1" s="375" t="s">
        <v>222</v>
      </c>
      <c r="I1" s="376" t="s">
        <v>446</v>
      </c>
      <c r="J1" s="376" t="s">
        <v>907</v>
      </c>
      <c r="K1" s="376" t="s">
        <v>910</v>
      </c>
      <c r="L1" s="376" t="s">
        <v>447</v>
      </c>
      <c r="M1" s="376" t="s">
        <v>908</v>
      </c>
      <c r="N1" s="376" t="s">
        <v>909</v>
      </c>
      <c r="O1" s="376" t="s">
        <v>427</v>
      </c>
      <c r="P1" s="376" t="s">
        <v>280</v>
      </c>
      <c r="Q1" s="376" t="s">
        <v>428</v>
      </c>
      <c r="R1" s="375" t="s">
        <v>278</v>
      </c>
      <c r="S1" s="377"/>
      <c r="T1" s="377"/>
      <c r="U1" s="377"/>
    </row>
    <row r="2" spans="1:22" x14ac:dyDescent="0.25">
      <c r="A2" s="1028" t="s">
        <v>694</v>
      </c>
      <c r="B2" s="1033" t="s">
        <v>239</v>
      </c>
      <c r="C2" s="364"/>
      <c r="D2" s="1037" t="s">
        <v>180</v>
      </c>
      <c r="E2" s="1037"/>
      <c r="F2" s="1037" t="s">
        <v>238</v>
      </c>
      <c r="G2" s="1037"/>
      <c r="H2" s="1038" t="s">
        <v>222</v>
      </c>
      <c r="I2" s="401" t="str">
        <f>B4</f>
        <v>Under $500</v>
      </c>
      <c r="J2" s="411">
        <f>E4</f>
        <v>0.25</v>
      </c>
      <c r="K2" s="425">
        <f>H4</f>
        <v>4</v>
      </c>
      <c r="L2" s="428" t="s">
        <v>596</v>
      </c>
      <c r="M2" s="428" t="s">
        <v>188</v>
      </c>
      <c r="N2" s="428" t="s">
        <v>188</v>
      </c>
      <c r="O2" s="429" t="s">
        <v>429</v>
      </c>
      <c r="P2" s="442">
        <f>108/116</f>
        <v>0.93103448275862066</v>
      </c>
      <c r="Q2" s="445">
        <f>SUM(H4:H7)</f>
        <v>116</v>
      </c>
      <c r="R2" s="455"/>
      <c r="S2" s="462"/>
      <c r="T2" s="363"/>
      <c r="U2" s="363"/>
      <c r="V2" s="77"/>
    </row>
    <row r="3" spans="1:22" x14ac:dyDescent="0.25">
      <c r="A3" s="1028"/>
      <c r="B3" s="1033"/>
      <c r="C3" s="364"/>
      <c r="D3" s="367" t="s">
        <v>241</v>
      </c>
      <c r="E3" s="367" t="s">
        <v>242</v>
      </c>
      <c r="F3" s="367" t="s">
        <v>241</v>
      </c>
      <c r="G3" s="367" t="s">
        <v>242</v>
      </c>
      <c r="H3" s="1038"/>
      <c r="I3" s="401"/>
      <c r="J3" s="412"/>
      <c r="K3" s="412"/>
      <c r="L3" s="412"/>
      <c r="M3" s="412"/>
      <c r="N3" s="412"/>
      <c r="O3" s="430"/>
      <c r="P3" s="412"/>
      <c r="Q3" s="412"/>
      <c r="R3" s="456"/>
      <c r="S3" s="463"/>
      <c r="T3" s="363"/>
      <c r="U3" s="363"/>
      <c r="V3" s="77"/>
    </row>
    <row r="4" spans="1:22" x14ac:dyDescent="0.25">
      <c r="A4" s="1028"/>
      <c r="B4" s="78" t="s">
        <v>243</v>
      </c>
      <c r="C4" s="78" t="s">
        <v>283</v>
      </c>
      <c r="D4">
        <v>1</v>
      </c>
      <c r="E4" s="6">
        <f>D4/H4</f>
        <v>0.25</v>
      </c>
      <c r="F4">
        <v>3</v>
      </c>
      <c r="G4" s="6">
        <f>F4/H4</f>
        <v>0.75</v>
      </c>
      <c r="H4" s="79">
        <f>F4+D4</f>
        <v>4</v>
      </c>
      <c r="I4" s="402"/>
      <c r="J4" s="413"/>
      <c r="K4" s="413"/>
      <c r="L4" s="413"/>
      <c r="M4" s="413"/>
      <c r="N4" s="413"/>
      <c r="O4" s="431"/>
      <c r="P4" s="413"/>
      <c r="Q4" s="413"/>
      <c r="R4" s="456"/>
      <c r="S4" s="272"/>
    </row>
    <row r="5" spans="1:22" x14ac:dyDescent="0.25">
      <c r="A5" s="1028"/>
      <c r="B5" s="78" t="s">
        <v>244</v>
      </c>
      <c r="C5" s="78" t="s">
        <v>284</v>
      </c>
      <c r="D5">
        <v>21</v>
      </c>
      <c r="E5" s="6">
        <f>D5/H5</f>
        <v>0.80769230769230771</v>
      </c>
      <c r="F5">
        <v>5</v>
      </c>
      <c r="G5" s="6">
        <f>F5/H5</f>
        <v>0.19230769230769232</v>
      </c>
      <c r="H5" s="79">
        <f>F5+D5</f>
        <v>26</v>
      </c>
      <c r="I5" s="402"/>
      <c r="J5" s="413"/>
      <c r="K5" s="413"/>
      <c r="L5" s="413"/>
      <c r="M5" s="413"/>
      <c r="N5" s="413"/>
      <c r="O5" s="431"/>
      <c r="P5" s="413"/>
      <c r="Q5" s="413"/>
      <c r="R5" s="457"/>
      <c r="S5" s="272"/>
    </row>
    <row r="6" spans="1:22" x14ac:dyDescent="0.25">
      <c r="A6" s="1028"/>
      <c r="B6" s="78" t="s">
        <v>245</v>
      </c>
      <c r="C6" s="78" t="s">
        <v>285</v>
      </c>
      <c r="D6">
        <v>20</v>
      </c>
      <c r="E6" s="6">
        <f>D6/H6</f>
        <v>1</v>
      </c>
      <c r="F6">
        <v>0</v>
      </c>
      <c r="G6" s="6">
        <f>F6/H6</f>
        <v>0</v>
      </c>
      <c r="H6" s="79">
        <f>F6+D6</f>
        <v>20</v>
      </c>
      <c r="I6" s="402"/>
      <c r="J6" s="413"/>
      <c r="K6" s="413"/>
      <c r="L6" s="413"/>
      <c r="M6" s="413"/>
      <c r="N6" s="413"/>
      <c r="O6" s="431"/>
      <c r="P6" s="413"/>
      <c r="Q6" s="413"/>
      <c r="R6" s="457"/>
      <c r="S6" s="272"/>
    </row>
    <row r="7" spans="1:22" s="322" customFormat="1" x14ac:dyDescent="0.25">
      <c r="A7" s="1029"/>
      <c r="B7" s="371" t="s">
        <v>246</v>
      </c>
      <c r="C7" s="371" t="s">
        <v>286</v>
      </c>
      <c r="D7" s="322">
        <v>66</v>
      </c>
      <c r="E7" s="372">
        <f>D7/H7</f>
        <v>1</v>
      </c>
      <c r="F7" s="322">
        <v>0</v>
      </c>
      <c r="G7" s="372">
        <f>F7/H7</f>
        <v>0</v>
      </c>
      <c r="H7" s="373">
        <f>F7+D7</f>
        <v>66</v>
      </c>
      <c r="I7" s="403"/>
      <c r="J7" s="414"/>
      <c r="K7" s="414"/>
      <c r="L7" s="414"/>
      <c r="M7" s="414"/>
      <c r="N7" s="414"/>
      <c r="O7" s="432"/>
      <c r="P7" s="414"/>
      <c r="Q7" s="414"/>
      <c r="R7" s="458"/>
      <c r="S7" s="271"/>
      <c r="T7" s="204"/>
      <c r="U7" s="204"/>
    </row>
    <row r="8" spans="1:22" ht="30" x14ac:dyDescent="0.25">
      <c r="A8" s="1027" t="s">
        <v>85</v>
      </c>
      <c r="B8" s="1033" t="s">
        <v>239</v>
      </c>
      <c r="C8" s="365"/>
      <c r="D8" s="1037" t="s">
        <v>180</v>
      </c>
      <c r="E8" s="1037"/>
      <c r="F8" s="1037" t="s">
        <v>247</v>
      </c>
      <c r="G8" s="1037"/>
      <c r="H8" s="1038" t="s">
        <v>222</v>
      </c>
      <c r="I8" s="401" t="s">
        <v>430</v>
      </c>
      <c r="J8" s="415">
        <f>SUM(D10:D11)/SUM(D10:D11,F10:F11)</f>
        <v>0.3577981651376147</v>
      </c>
      <c r="K8" s="426">
        <f>SUM(H10:H11)</f>
        <v>109</v>
      </c>
      <c r="L8" s="412" t="s">
        <v>596</v>
      </c>
      <c r="M8" s="412" t="s">
        <v>188</v>
      </c>
      <c r="N8" s="412" t="s">
        <v>188</v>
      </c>
      <c r="O8" s="430" t="s">
        <v>436</v>
      </c>
      <c r="P8" s="443">
        <f>591/712</f>
        <v>0.8300561797752809</v>
      </c>
      <c r="Q8" s="446">
        <f>SUM(H10:H19)</f>
        <v>712</v>
      </c>
      <c r="R8" s="459" t="s">
        <v>240</v>
      </c>
      <c r="S8" s="272"/>
    </row>
    <row r="9" spans="1:22" x14ac:dyDescent="0.25">
      <c r="A9" s="1028"/>
      <c r="B9" s="1033"/>
      <c r="C9" s="365"/>
      <c r="D9" s="367" t="s">
        <v>241</v>
      </c>
      <c r="E9" s="367" t="s">
        <v>242</v>
      </c>
      <c r="F9" s="367" t="s">
        <v>241</v>
      </c>
      <c r="G9" s="367" t="s">
        <v>242</v>
      </c>
      <c r="H9" s="1038"/>
      <c r="I9" s="401"/>
      <c r="J9" s="412"/>
      <c r="K9" s="412"/>
      <c r="L9" s="412"/>
      <c r="M9" s="412"/>
      <c r="N9" s="412"/>
      <c r="O9" s="430"/>
      <c r="P9" s="412"/>
      <c r="Q9" s="412"/>
      <c r="R9" s="457"/>
      <c r="S9" s="272"/>
    </row>
    <row r="10" spans="1:22" x14ac:dyDescent="0.25">
      <c r="A10" s="1028"/>
      <c r="B10" s="78" t="s">
        <v>248</v>
      </c>
      <c r="C10" s="78" t="s">
        <v>287</v>
      </c>
      <c r="D10">
        <v>1</v>
      </c>
      <c r="E10" s="6">
        <f>D10/H10</f>
        <v>0.16666666666666666</v>
      </c>
      <c r="F10">
        <v>5</v>
      </c>
      <c r="G10" s="6">
        <f>F10/H10</f>
        <v>0.83333333333333337</v>
      </c>
      <c r="H10" s="79">
        <f>D10+F10</f>
        <v>6</v>
      </c>
      <c r="I10" s="402"/>
      <c r="J10" s="413"/>
      <c r="K10" s="413"/>
      <c r="L10" s="413"/>
      <c r="M10" s="413"/>
      <c r="N10" s="413"/>
      <c r="O10" s="431"/>
      <c r="P10" s="413"/>
      <c r="Q10" s="413"/>
      <c r="R10" s="457"/>
      <c r="S10" s="272"/>
      <c r="V10" s="79"/>
    </row>
    <row r="11" spans="1:22" x14ac:dyDescent="0.25">
      <c r="A11" s="1028"/>
      <c r="B11" s="78" t="s">
        <v>249</v>
      </c>
      <c r="C11" s="78" t="s">
        <v>288</v>
      </c>
      <c r="D11">
        <v>38</v>
      </c>
      <c r="E11" s="6">
        <f t="shared" ref="E11:E19" si="0">D11/H11</f>
        <v>0.36893203883495146</v>
      </c>
      <c r="F11">
        <v>65</v>
      </c>
      <c r="G11" s="6">
        <f t="shared" ref="G11:G19" si="1">F11/H11</f>
        <v>0.6310679611650486</v>
      </c>
      <c r="H11" s="79">
        <f t="shared" ref="H11:H19" si="2">D11+F11</f>
        <v>103</v>
      </c>
      <c r="I11" s="402"/>
      <c r="J11" s="413"/>
      <c r="K11" s="413"/>
      <c r="L11" s="413"/>
      <c r="M11" s="413"/>
      <c r="N11" s="413"/>
      <c r="O11" s="431"/>
      <c r="P11" s="413"/>
      <c r="Q11" s="413"/>
      <c r="R11" s="457"/>
      <c r="S11" s="272"/>
      <c r="V11" s="79"/>
    </row>
    <row r="12" spans="1:22" x14ac:dyDescent="0.25">
      <c r="A12" s="1028"/>
      <c r="B12" s="78" t="s">
        <v>250</v>
      </c>
      <c r="C12" s="78" t="s">
        <v>289</v>
      </c>
      <c r="D12">
        <v>64</v>
      </c>
      <c r="E12" s="6">
        <f t="shared" si="0"/>
        <v>0.8</v>
      </c>
      <c r="F12">
        <v>16</v>
      </c>
      <c r="G12" s="6">
        <f t="shared" si="1"/>
        <v>0.2</v>
      </c>
      <c r="H12" s="79">
        <f t="shared" si="2"/>
        <v>80</v>
      </c>
      <c r="I12" s="402"/>
      <c r="J12" s="413"/>
      <c r="K12" s="413"/>
      <c r="L12" s="413"/>
      <c r="M12" s="413"/>
      <c r="N12" s="413"/>
      <c r="O12" s="431"/>
      <c r="P12" s="413"/>
      <c r="Q12" s="413"/>
      <c r="R12" s="457"/>
      <c r="S12" s="272"/>
      <c r="V12" s="79"/>
    </row>
    <row r="13" spans="1:22" x14ac:dyDescent="0.25">
      <c r="A13" s="1028"/>
      <c r="B13" s="78" t="s">
        <v>251</v>
      </c>
      <c r="C13" s="78" t="s">
        <v>290</v>
      </c>
      <c r="D13">
        <v>65</v>
      </c>
      <c r="E13" s="6">
        <f t="shared" si="0"/>
        <v>0.95588235294117652</v>
      </c>
      <c r="F13">
        <v>3</v>
      </c>
      <c r="G13" s="6">
        <f t="shared" si="1"/>
        <v>4.4117647058823532E-2</v>
      </c>
      <c r="H13" s="79">
        <f t="shared" si="2"/>
        <v>68</v>
      </c>
      <c r="I13" s="402"/>
      <c r="J13" s="413"/>
      <c r="K13" s="413"/>
      <c r="L13" s="413"/>
      <c r="M13" s="413"/>
      <c r="N13" s="413"/>
      <c r="O13" s="431"/>
      <c r="P13" s="413"/>
      <c r="Q13" s="413"/>
      <c r="R13" s="457"/>
      <c r="S13" s="272"/>
      <c r="V13" s="79"/>
    </row>
    <row r="14" spans="1:22" x14ac:dyDescent="0.25">
      <c r="A14" s="1028"/>
      <c r="B14" s="78" t="s">
        <v>252</v>
      </c>
      <c r="C14" s="78" t="s">
        <v>291</v>
      </c>
      <c r="D14">
        <v>84</v>
      </c>
      <c r="E14" s="6">
        <f t="shared" si="0"/>
        <v>1</v>
      </c>
      <c r="F14">
        <v>0</v>
      </c>
      <c r="G14" s="6">
        <f t="shared" si="1"/>
        <v>0</v>
      </c>
      <c r="H14" s="79">
        <f t="shared" si="2"/>
        <v>84</v>
      </c>
      <c r="I14" s="402"/>
      <c r="J14" s="413"/>
      <c r="K14" s="413"/>
      <c r="L14" s="413"/>
      <c r="M14" s="413"/>
      <c r="N14" s="413"/>
      <c r="O14" s="431"/>
      <c r="P14" s="413"/>
      <c r="Q14" s="413"/>
      <c r="R14" s="457"/>
      <c r="S14" s="272"/>
      <c r="V14" s="79"/>
    </row>
    <row r="15" spans="1:22" x14ac:dyDescent="0.25">
      <c r="A15" s="1028"/>
      <c r="B15" s="81" t="s">
        <v>253</v>
      </c>
      <c r="C15" s="78" t="s">
        <v>292</v>
      </c>
      <c r="D15">
        <v>98</v>
      </c>
      <c r="E15" s="6">
        <f t="shared" si="0"/>
        <v>0.95145631067961167</v>
      </c>
      <c r="F15">
        <v>5</v>
      </c>
      <c r="G15" s="6">
        <f t="shared" si="1"/>
        <v>4.8543689320388349E-2</v>
      </c>
      <c r="H15" s="79">
        <f t="shared" si="2"/>
        <v>103</v>
      </c>
      <c r="I15" s="402"/>
      <c r="J15" s="413"/>
      <c r="K15" s="413"/>
      <c r="L15" s="413"/>
      <c r="M15" s="413"/>
      <c r="N15" s="413"/>
      <c r="O15" s="431"/>
      <c r="P15" s="413"/>
      <c r="Q15" s="413"/>
      <c r="R15" s="457"/>
      <c r="S15" s="272"/>
      <c r="V15" s="79"/>
    </row>
    <row r="16" spans="1:22" x14ac:dyDescent="0.25">
      <c r="A16" s="1028"/>
      <c r="B16" s="81" t="s">
        <v>254</v>
      </c>
      <c r="C16" s="78" t="s">
        <v>293</v>
      </c>
      <c r="D16">
        <v>63</v>
      </c>
      <c r="E16" s="6">
        <f t="shared" si="0"/>
        <v>0.88732394366197187</v>
      </c>
      <c r="F16">
        <v>8</v>
      </c>
      <c r="G16" s="6">
        <f t="shared" si="1"/>
        <v>0.11267605633802817</v>
      </c>
      <c r="H16" s="79">
        <f t="shared" si="2"/>
        <v>71</v>
      </c>
      <c r="I16" s="402"/>
      <c r="J16" s="413"/>
      <c r="K16" s="413"/>
      <c r="L16" s="413"/>
      <c r="M16" s="413"/>
      <c r="N16" s="413"/>
      <c r="O16" s="431"/>
      <c r="P16" s="413"/>
      <c r="Q16" s="413"/>
      <c r="R16" s="457"/>
      <c r="S16" s="272"/>
      <c r="V16" s="79"/>
    </row>
    <row r="17" spans="1:22" x14ac:dyDescent="0.25">
      <c r="A17" s="1028"/>
      <c r="B17" s="81" t="s">
        <v>255</v>
      </c>
      <c r="C17" s="78" t="s">
        <v>294</v>
      </c>
      <c r="D17">
        <v>42</v>
      </c>
      <c r="E17" s="6">
        <f t="shared" si="0"/>
        <v>0.8936170212765957</v>
      </c>
      <c r="F17">
        <v>5</v>
      </c>
      <c r="G17" s="6">
        <f t="shared" si="1"/>
        <v>0.10638297872340426</v>
      </c>
      <c r="H17" s="79">
        <f t="shared" si="2"/>
        <v>47</v>
      </c>
      <c r="I17" s="402"/>
      <c r="J17" s="413"/>
      <c r="K17" s="413"/>
      <c r="L17" s="413"/>
      <c r="M17" s="413"/>
      <c r="N17" s="413"/>
      <c r="O17" s="431"/>
      <c r="P17" s="413"/>
      <c r="Q17" s="413"/>
      <c r="R17" s="457"/>
      <c r="S17" s="272"/>
      <c r="V17" s="79"/>
    </row>
    <row r="18" spans="1:22" x14ac:dyDescent="0.25">
      <c r="A18" s="1028"/>
      <c r="B18" s="81" t="s">
        <v>256</v>
      </c>
      <c r="C18" s="78" t="s">
        <v>295</v>
      </c>
      <c r="D18">
        <v>44</v>
      </c>
      <c r="E18" s="6">
        <f t="shared" si="0"/>
        <v>0.91666666666666663</v>
      </c>
      <c r="F18">
        <v>4</v>
      </c>
      <c r="G18" s="6">
        <f t="shared" si="1"/>
        <v>8.3333333333333329E-2</v>
      </c>
      <c r="H18" s="79">
        <f t="shared" si="2"/>
        <v>48</v>
      </c>
      <c r="I18" s="402"/>
      <c r="J18" s="413"/>
      <c r="K18" s="413"/>
      <c r="L18" s="413"/>
      <c r="M18" s="413"/>
      <c r="N18" s="413"/>
      <c r="O18" s="431"/>
      <c r="P18" s="413"/>
      <c r="Q18" s="413"/>
      <c r="R18" s="457"/>
      <c r="S18" s="272"/>
      <c r="V18" s="79"/>
    </row>
    <row r="19" spans="1:22" s="322" customFormat="1" x14ac:dyDescent="0.25">
      <c r="A19" s="1029"/>
      <c r="B19" s="378" t="s">
        <v>257</v>
      </c>
      <c r="C19" s="371" t="s">
        <v>296</v>
      </c>
      <c r="D19" s="322">
        <v>92</v>
      </c>
      <c r="E19" s="372">
        <f t="shared" si="0"/>
        <v>0.90196078431372551</v>
      </c>
      <c r="F19" s="322">
        <v>10</v>
      </c>
      <c r="G19" s="372">
        <f t="shared" si="1"/>
        <v>9.8039215686274508E-2</v>
      </c>
      <c r="H19" s="373">
        <f t="shared" si="2"/>
        <v>102</v>
      </c>
      <c r="I19" s="403"/>
      <c r="J19" s="414"/>
      <c r="K19" s="414"/>
      <c r="L19" s="414"/>
      <c r="M19" s="414"/>
      <c r="N19" s="414"/>
      <c r="O19" s="432"/>
      <c r="P19" s="414"/>
      <c r="Q19" s="414"/>
      <c r="R19" s="458"/>
      <c r="S19" s="271"/>
      <c r="T19" s="204"/>
      <c r="U19" s="204"/>
      <c r="V19" s="373"/>
    </row>
    <row r="20" spans="1:22" ht="30" x14ac:dyDescent="0.25">
      <c r="A20" s="1027" t="s">
        <v>86</v>
      </c>
      <c r="B20" s="1033" t="s">
        <v>239</v>
      </c>
      <c r="C20" s="365"/>
      <c r="D20" s="1037" t="s">
        <v>180</v>
      </c>
      <c r="E20" s="1037"/>
      <c r="F20" s="1037" t="s">
        <v>247</v>
      </c>
      <c r="G20" s="1037"/>
      <c r="H20" s="1038" t="s">
        <v>222</v>
      </c>
      <c r="I20" s="401" t="s">
        <v>243</v>
      </c>
      <c r="J20" s="415">
        <f>SUM(D22:D23)/SUM(H22:H23)</f>
        <v>0.32142857142857145</v>
      </c>
      <c r="K20" s="426">
        <f>SUM(H22:H23)</f>
        <v>28</v>
      </c>
      <c r="L20" s="412" t="s">
        <v>596</v>
      </c>
      <c r="M20" s="412" t="s">
        <v>188</v>
      </c>
      <c r="N20" s="412" t="s">
        <v>188</v>
      </c>
      <c r="O20" s="430" t="s">
        <v>437</v>
      </c>
      <c r="P20" s="443">
        <f>38/67</f>
        <v>0.56716417910447758</v>
      </c>
      <c r="Q20" s="446">
        <f>SUM(H22:H26)</f>
        <v>67</v>
      </c>
      <c r="R20" s="457" t="s">
        <v>258</v>
      </c>
      <c r="S20" s="272"/>
    </row>
    <row r="21" spans="1:22" x14ac:dyDescent="0.25">
      <c r="A21" s="1028"/>
      <c r="B21" s="1033"/>
      <c r="C21" s="365"/>
      <c r="D21" s="367" t="s">
        <v>241</v>
      </c>
      <c r="E21" s="367" t="s">
        <v>242</v>
      </c>
      <c r="F21" s="367" t="s">
        <v>241</v>
      </c>
      <c r="G21" s="368" t="s">
        <v>242</v>
      </c>
      <c r="H21" s="1038"/>
      <c r="I21" s="401"/>
      <c r="J21" s="412"/>
      <c r="K21" s="412"/>
      <c r="L21" s="412"/>
      <c r="M21" s="412"/>
      <c r="N21" s="412"/>
      <c r="O21" s="430"/>
      <c r="P21" s="412"/>
      <c r="Q21" s="412"/>
      <c r="R21" s="457"/>
      <c r="S21" s="272"/>
    </row>
    <row r="22" spans="1:22" x14ac:dyDescent="0.25">
      <c r="A22" s="1028"/>
      <c r="B22" s="78" t="s">
        <v>259</v>
      </c>
      <c r="C22" s="78" t="s">
        <v>297</v>
      </c>
      <c r="D22" s="80">
        <v>4</v>
      </c>
      <c r="E22" s="6">
        <f>D22/H22</f>
        <v>0.36363636363636365</v>
      </c>
      <c r="F22" s="80">
        <v>7</v>
      </c>
      <c r="G22" s="6">
        <f>F22/H22</f>
        <v>0.63636363636363635</v>
      </c>
      <c r="H22" s="79">
        <f>D22+F22</f>
        <v>11</v>
      </c>
      <c r="I22" s="402"/>
      <c r="J22" s="413"/>
      <c r="K22" s="413"/>
      <c r="L22" s="413"/>
      <c r="M22" s="413"/>
      <c r="N22" s="413"/>
      <c r="O22" s="431"/>
      <c r="P22" s="413"/>
      <c r="Q22" s="413"/>
      <c r="R22" s="457"/>
      <c r="S22" s="272"/>
    </row>
    <row r="23" spans="1:22" x14ac:dyDescent="0.25">
      <c r="A23" s="1028"/>
      <c r="B23" s="78" t="s">
        <v>260</v>
      </c>
      <c r="C23" s="78" t="s">
        <v>298</v>
      </c>
      <c r="D23" s="80">
        <v>5</v>
      </c>
      <c r="E23" s="6">
        <f>D23/H23</f>
        <v>0.29411764705882354</v>
      </c>
      <c r="F23" s="80">
        <v>12</v>
      </c>
      <c r="G23" s="6">
        <f>F23/H23</f>
        <v>0.70588235294117652</v>
      </c>
      <c r="H23" s="79">
        <f>D23+F23</f>
        <v>17</v>
      </c>
      <c r="I23" s="402"/>
      <c r="J23" s="413"/>
      <c r="K23" s="413"/>
      <c r="L23" s="413"/>
      <c r="M23" s="413"/>
      <c r="N23" s="413"/>
      <c r="O23" s="431"/>
      <c r="P23" s="413"/>
      <c r="Q23" s="413"/>
      <c r="R23" s="457"/>
      <c r="S23" s="272"/>
    </row>
    <row r="24" spans="1:22" x14ac:dyDescent="0.25">
      <c r="A24" s="1028"/>
      <c r="B24" s="78" t="s">
        <v>244</v>
      </c>
      <c r="C24" s="78" t="s">
        <v>299</v>
      </c>
      <c r="D24" s="80">
        <v>10</v>
      </c>
      <c r="E24" s="6">
        <f>D24/H24</f>
        <v>0.58823529411764708</v>
      </c>
      <c r="F24" s="80">
        <v>7</v>
      </c>
      <c r="G24" s="6">
        <f>F24/H24</f>
        <v>0.41176470588235292</v>
      </c>
      <c r="H24" s="79">
        <f>D24+F24</f>
        <v>17</v>
      </c>
      <c r="I24" s="402"/>
      <c r="J24" s="413"/>
      <c r="K24" s="413"/>
      <c r="L24" s="413"/>
      <c r="M24" s="413"/>
      <c r="N24" s="413"/>
      <c r="O24" s="431"/>
      <c r="P24" s="413"/>
      <c r="Q24" s="413"/>
      <c r="R24" s="457"/>
      <c r="S24" s="272"/>
    </row>
    <row r="25" spans="1:22" x14ac:dyDescent="0.25">
      <c r="A25" s="1028"/>
      <c r="B25" s="78" t="s">
        <v>245</v>
      </c>
      <c r="C25" s="78" t="s">
        <v>300</v>
      </c>
      <c r="D25">
        <v>13</v>
      </c>
      <c r="E25" s="6">
        <f>D25/H25</f>
        <v>0.9285714285714286</v>
      </c>
      <c r="F25" s="80">
        <v>1</v>
      </c>
      <c r="G25" s="6">
        <f>F25/H25</f>
        <v>7.1428571428571425E-2</v>
      </c>
      <c r="H25" s="79">
        <f>D25+F25</f>
        <v>14</v>
      </c>
      <c r="I25" s="402"/>
      <c r="J25" s="413"/>
      <c r="K25" s="413"/>
      <c r="L25" s="413"/>
      <c r="M25" s="413"/>
      <c r="N25" s="413"/>
      <c r="O25" s="431"/>
      <c r="P25" s="413"/>
      <c r="Q25" s="413"/>
      <c r="R25" s="457"/>
      <c r="S25" s="272"/>
    </row>
    <row r="26" spans="1:22" s="322" customFormat="1" x14ac:dyDescent="0.25">
      <c r="A26" s="1029"/>
      <c r="B26" s="371" t="s">
        <v>261</v>
      </c>
      <c r="C26" s="371" t="s">
        <v>301</v>
      </c>
      <c r="D26" s="322">
        <v>6</v>
      </c>
      <c r="E26" s="372">
        <f>D26/H26</f>
        <v>0.75</v>
      </c>
      <c r="F26" s="379">
        <v>2</v>
      </c>
      <c r="G26" s="372">
        <f>F26/H26</f>
        <v>0.25</v>
      </c>
      <c r="H26" s="373">
        <f>D26+F26</f>
        <v>8</v>
      </c>
      <c r="I26" s="403"/>
      <c r="J26" s="414"/>
      <c r="K26" s="414"/>
      <c r="L26" s="414"/>
      <c r="M26" s="414"/>
      <c r="N26" s="414"/>
      <c r="O26" s="432"/>
      <c r="P26" s="414"/>
      <c r="Q26" s="414"/>
      <c r="R26" s="458"/>
      <c r="S26" s="271"/>
      <c r="T26" s="204"/>
      <c r="U26" s="204"/>
    </row>
    <row r="27" spans="1:22" ht="45" x14ac:dyDescent="0.25">
      <c r="A27" s="1034" t="s">
        <v>72</v>
      </c>
      <c r="B27" s="1033" t="s">
        <v>239</v>
      </c>
      <c r="C27" s="365"/>
      <c r="D27" s="1037" t="s">
        <v>180</v>
      </c>
      <c r="E27" s="1037"/>
      <c r="F27" s="1037" t="s">
        <v>247</v>
      </c>
      <c r="G27" s="1037"/>
      <c r="H27" s="1039" t="s">
        <v>222</v>
      </c>
      <c r="I27" s="404" t="s">
        <v>431</v>
      </c>
      <c r="J27" s="415">
        <v>0</v>
      </c>
      <c r="K27" s="427">
        <f>SUM(H29:H31)</f>
        <v>18</v>
      </c>
      <c r="L27" s="415" t="s">
        <v>596</v>
      </c>
      <c r="M27" s="415" t="s">
        <v>188</v>
      </c>
      <c r="N27" s="415" t="s">
        <v>188</v>
      </c>
      <c r="O27" s="433" t="s">
        <v>566</v>
      </c>
      <c r="P27" s="444">
        <f>1/19</f>
        <v>5.2631578947368418E-2</v>
      </c>
      <c r="Q27" s="447">
        <f>SUM(H29:H32)</f>
        <v>19</v>
      </c>
      <c r="R27" s="510" t="s">
        <v>807</v>
      </c>
      <c r="S27" s="272"/>
    </row>
    <row r="28" spans="1:22" x14ac:dyDescent="0.25">
      <c r="A28" s="1035"/>
      <c r="B28" s="1033"/>
      <c r="C28" s="365"/>
      <c r="D28" s="367" t="s">
        <v>241</v>
      </c>
      <c r="E28" s="367" t="s">
        <v>242</v>
      </c>
      <c r="F28" s="367" t="s">
        <v>241</v>
      </c>
      <c r="G28" s="367" t="s">
        <v>242</v>
      </c>
      <c r="H28" s="1039"/>
      <c r="I28" s="404"/>
      <c r="J28" s="415"/>
      <c r="K28" s="415"/>
      <c r="L28" s="415"/>
      <c r="M28" s="415"/>
      <c r="N28" s="415"/>
      <c r="O28" s="433"/>
      <c r="P28" s="415"/>
      <c r="Q28" s="415"/>
      <c r="R28" s="457"/>
      <c r="S28" s="272"/>
    </row>
    <row r="29" spans="1:22" x14ac:dyDescent="0.25">
      <c r="A29" s="1035"/>
      <c r="B29" s="78" t="s">
        <v>259</v>
      </c>
      <c r="C29" s="78" t="s">
        <v>302</v>
      </c>
      <c r="D29">
        <v>0</v>
      </c>
      <c r="E29" s="6">
        <f>D29/H29</f>
        <v>0</v>
      </c>
      <c r="F29" s="80">
        <v>4</v>
      </c>
      <c r="G29" s="6">
        <f>F29/H29</f>
        <v>1</v>
      </c>
      <c r="H29" s="82">
        <f>F29+D29</f>
        <v>4</v>
      </c>
      <c r="I29" s="405"/>
      <c r="J29" s="416"/>
      <c r="K29" s="416"/>
      <c r="L29" s="416"/>
      <c r="M29" s="416"/>
      <c r="N29" s="416"/>
      <c r="O29" s="434"/>
      <c r="P29" s="416"/>
      <c r="Q29" s="416"/>
      <c r="R29" s="457"/>
      <c r="S29" s="272"/>
    </row>
    <row r="30" spans="1:22" x14ac:dyDescent="0.25">
      <c r="A30" s="1035"/>
      <c r="B30" s="78" t="s">
        <v>260</v>
      </c>
      <c r="C30" s="78" t="s">
        <v>303</v>
      </c>
      <c r="D30">
        <v>0</v>
      </c>
      <c r="E30" s="6">
        <f>D30/H30</f>
        <v>0</v>
      </c>
      <c r="F30" s="80">
        <v>12</v>
      </c>
      <c r="G30" s="6">
        <f>F30/H30</f>
        <v>1</v>
      </c>
      <c r="H30" s="82">
        <f>F30+D30</f>
        <v>12</v>
      </c>
      <c r="I30" s="405"/>
      <c r="J30" s="416"/>
      <c r="K30" s="416"/>
      <c r="L30" s="416"/>
      <c r="M30" s="416"/>
      <c r="N30" s="416"/>
      <c r="O30" s="434"/>
      <c r="P30" s="416"/>
      <c r="Q30" s="416"/>
      <c r="R30" s="457"/>
      <c r="S30" s="272"/>
    </row>
    <row r="31" spans="1:22" x14ac:dyDescent="0.25">
      <c r="A31" s="1035"/>
      <c r="B31" s="78" t="s">
        <v>244</v>
      </c>
      <c r="C31" s="78" t="s">
        <v>304</v>
      </c>
      <c r="D31">
        <v>0</v>
      </c>
      <c r="E31" s="6">
        <f>D31/H31</f>
        <v>0</v>
      </c>
      <c r="F31" s="80">
        <v>2</v>
      </c>
      <c r="G31" s="6">
        <f>F31/H31</f>
        <v>1</v>
      </c>
      <c r="H31" s="82">
        <f>F31+D31</f>
        <v>2</v>
      </c>
      <c r="I31" s="405"/>
      <c r="J31" s="416"/>
      <c r="K31" s="416"/>
      <c r="L31" s="416"/>
      <c r="M31" s="416"/>
      <c r="N31" s="416"/>
      <c r="O31" s="434"/>
      <c r="P31" s="416"/>
      <c r="Q31" s="416"/>
      <c r="R31" s="457"/>
      <c r="S31" s="272"/>
    </row>
    <row r="32" spans="1:22" s="322" customFormat="1" x14ac:dyDescent="0.25">
      <c r="A32" s="1036"/>
      <c r="B32" s="371" t="s">
        <v>435</v>
      </c>
      <c r="C32" s="371" t="s">
        <v>305</v>
      </c>
      <c r="D32" s="322">
        <v>1</v>
      </c>
      <c r="E32" s="372">
        <f>D32/H32</f>
        <v>1</v>
      </c>
      <c r="F32" s="379">
        <v>0</v>
      </c>
      <c r="G32" s="372">
        <f>F32/H32</f>
        <v>0</v>
      </c>
      <c r="H32" s="380">
        <f>F32+D32</f>
        <v>1</v>
      </c>
      <c r="I32" s="406"/>
      <c r="J32" s="417"/>
      <c r="K32" s="417"/>
      <c r="L32" s="417"/>
      <c r="M32" s="417"/>
      <c r="N32" s="417"/>
      <c r="O32" s="435"/>
      <c r="P32" s="417"/>
      <c r="Q32" s="417"/>
      <c r="R32" s="458"/>
      <c r="S32" s="271"/>
      <c r="T32" s="204"/>
      <c r="U32" s="204"/>
    </row>
    <row r="33" spans="1:21" ht="30" x14ac:dyDescent="0.25">
      <c r="A33" s="1034" t="s">
        <v>71</v>
      </c>
      <c r="B33" s="1033" t="s">
        <v>239</v>
      </c>
      <c r="C33" s="365"/>
      <c r="D33" s="1037" t="s">
        <v>180</v>
      </c>
      <c r="E33" s="1037"/>
      <c r="F33" s="1037" t="s">
        <v>247</v>
      </c>
      <c r="G33" s="1037"/>
      <c r="H33" s="1038" t="s">
        <v>222</v>
      </c>
      <c r="I33" s="401" t="s">
        <v>430</v>
      </c>
      <c r="J33" s="418">
        <v>0</v>
      </c>
      <c r="K33" s="426">
        <f>SUM(H35:H36)</f>
        <v>18</v>
      </c>
      <c r="L33" s="412" t="s">
        <v>262</v>
      </c>
      <c r="M33" s="418">
        <v>0</v>
      </c>
      <c r="N33" s="412">
        <v>2</v>
      </c>
      <c r="O33" s="430" t="s">
        <v>438</v>
      </c>
      <c r="P33" s="444">
        <f>6/30</f>
        <v>0.2</v>
      </c>
      <c r="Q33" s="447">
        <f>SUM(H35:H39)</f>
        <v>30</v>
      </c>
      <c r="R33" s="457" t="s">
        <v>806</v>
      </c>
      <c r="S33" s="272"/>
    </row>
    <row r="34" spans="1:21" x14ac:dyDescent="0.25">
      <c r="A34" s="1035"/>
      <c r="B34" s="1033"/>
      <c r="C34" s="365"/>
      <c r="D34" s="367" t="s">
        <v>241</v>
      </c>
      <c r="E34" s="367" t="s">
        <v>242</v>
      </c>
      <c r="F34" s="367" t="s">
        <v>241</v>
      </c>
      <c r="G34" s="367" t="s">
        <v>242</v>
      </c>
      <c r="H34" s="1038"/>
      <c r="I34" s="401"/>
      <c r="J34" s="412"/>
      <c r="K34" s="412"/>
      <c r="L34" s="412"/>
      <c r="M34" s="412"/>
      <c r="N34" s="412"/>
      <c r="O34" s="430"/>
      <c r="P34" s="412"/>
      <c r="Q34" s="412"/>
      <c r="R34" s="457"/>
      <c r="S34" s="272"/>
    </row>
    <row r="35" spans="1:21" x14ac:dyDescent="0.25">
      <c r="A35" s="1035"/>
      <c r="B35" s="78" t="s">
        <v>248</v>
      </c>
      <c r="C35" s="78" t="s">
        <v>306</v>
      </c>
      <c r="D35">
        <v>0</v>
      </c>
      <c r="E35" s="6">
        <f>D35/H35</f>
        <v>0</v>
      </c>
      <c r="F35" s="80">
        <v>5</v>
      </c>
      <c r="G35" s="6">
        <f>F35/H35</f>
        <v>1</v>
      </c>
      <c r="H35" s="79">
        <f>D35+F35</f>
        <v>5</v>
      </c>
      <c r="I35" s="402"/>
      <c r="J35" s="413"/>
      <c r="K35" s="413"/>
      <c r="L35" s="413"/>
      <c r="M35" s="413"/>
      <c r="N35" s="413"/>
      <c r="O35" s="431"/>
      <c r="P35" s="413"/>
      <c r="Q35" s="413"/>
      <c r="R35" s="457"/>
      <c r="S35" s="272"/>
    </row>
    <row r="36" spans="1:21" x14ac:dyDescent="0.25">
      <c r="A36" s="1035"/>
      <c r="B36" s="78" t="s">
        <v>249</v>
      </c>
      <c r="C36" s="78" t="s">
        <v>307</v>
      </c>
      <c r="D36">
        <v>0</v>
      </c>
      <c r="E36" s="6">
        <f>D36/H36</f>
        <v>0</v>
      </c>
      <c r="F36" s="80">
        <v>13</v>
      </c>
      <c r="G36" s="6">
        <f>F36/H36</f>
        <v>1</v>
      </c>
      <c r="H36" s="79">
        <f>D36+F36</f>
        <v>13</v>
      </c>
      <c r="I36" s="402"/>
      <c r="J36" s="413"/>
      <c r="K36" s="413"/>
      <c r="L36" s="413"/>
      <c r="M36" s="413"/>
      <c r="N36" s="413"/>
      <c r="O36" s="431"/>
      <c r="P36" s="413"/>
      <c r="Q36" s="413"/>
      <c r="R36" s="457"/>
      <c r="S36" s="272"/>
    </row>
    <row r="37" spans="1:21" x14ac:dyDescent="0.25">
      <c r="A37" s="1035"/>
      <c r="B37" s="78" t="s">
        <v>250</v>
      </c>
      <c r="C37" s="78" t="s">
        <v>308</v>
      </c>
      <c r="D37">
        <v>2</v>
      </c>
      <c r="E37" s="6">
        <f>D37/H37</f>
        <v>0.4</v>
      </c>
      <c r="F37" s="80">
        <v>3</v>
      </c>
      <c r="G37" s="6">
        <f>F37/H37</f>
        <v>0.6</v>
      </c>
      <c r="H37" s="79">
        <f>D37+F37</f>
        <v>5</v>
      </c>
      <c r="I37" s="402"/>
      <c r="J37" s="413"/>
      <c r="K37" s="413"/>
      <c r="L37" s="413"/>
      <c r="M37" s="413"/>
      <c r="N37" s="413"/>
      <c r="O37" s="431"/>
      <c r="P37" s="413"/>
      <c r="Q37" s="413"/>
      <c r="R37" s="457"/>
      <c r="S37" s="272"/>
    </row>
    <row r="38" spans="1:21" x14ac:dyDescent="0.25">
      <c r="A38" s="1035"/>
      <c r="B38" s="78" t="s">
        <v>251</v>
      </c>
      <c r="C38" s="78" t="s">
        <v>309</v>
      </c>
      <c r="D38">
        <v>4</v>
      </c>
      <c r="E38" s="6">
        <f>D38/H38</f>
        <v>0.8</v>
      </c>
      <c r="F38" s="80">
        <v>1</v>
      </c>
      <c r="G38" s="6">
        <f>F38/H38</f>
        <v>0.2</v>
      </c>
      <c r="H38" s="79">
        <f>D38+F38</f>
        <v>5</v>
      </c>
      <c r="I38" s="402"/>
      <c r="J38" s="413"/>
      <c r="K38" s="413"/>
      <c r="L38" s="413"/>
      <c r="M38" s="413"/>
      <c r="N38" s="413"/>
      <c r="O38" s="431"/>
      <c r="P38" s="413"/>
      <c r="Q38" s="413"/>
      <c r="R38" s="457"/>
      <c r="S38" s="272"/>
    </row>
    <row r="39" spans="1:21" s="322" customFormat="1" x14ac:dyDescent="0.25">
      <c r="A39" s="1036"/>
      <c r="B39" s="371" t="s">
        <v>262</v>
      </c>
      <c r="C39" s="371" t="s">
        <v>310</v>
      </c>
      <c r="D39" s="322">
        <v>0</v>
      </c>
      <c r="E39" s="372">
        <f>D39/H39</f>
        <v>0</v>
      </c>
      <c r="F39" s="379">
        <v>2</v>
      </c>
      <c r="G39" s="372">
        <f>F39/H39</f>
        <v>1</v>
      </c>
      <c r="H39" s="373">
        <f>D39+F39</f>
        <v>2</v>
      </c>
      <c r="I39" s="403"/>
      <c r="J39" s="414"/>
      <c r="K39" s="414"/>
      <c r="L39" s="414"/>
      <c r="M39" s="414"/>
      <c r="N39" s="414"/>
      <c r="O39" s="432"/>
      <c r="P39" s="414"/>
      <c r="Q39" s="414"/>
      <c r="R39" s="458"/>
      <c r="S39" s="271"/>
      <c r="T39" s="204"/>
      <c r="U39" s="204"/>
    </row>
    <row r="40" spans="1:21" ht="75" x14ac:dyDescent="0.25">
      <c r="A40" s="1027" t="s">
        <v>9</v>
      </c>
      <c r="B40" s="1033" t="s">
        <v>237</v>
      </c>
      <c r="C40" s="365"/>
      <c r="D40" s="1037" t="s">
        <v>275</v>
      </c>
      <c r="E40" s="1037"/>
      <c r="F40" s="1037" t="s">
        <v>276</v>
      </c>
      <c r="G40" s="1037"/>
      <c r="H40" s="1038" t="s">
        <v>222</v>
      </c>
      <c r="I40" s="401" t="s">
        <v>277</v>
      </c>
      <c r="J40" s="418">
        <v>0.15384615384615385</v>
      </c>
      <c r="K40" s="412">
        <f>H42</f>
        <v>13</v>
      </c>
      <c r="L40" s="412" t="s">
        <v>596</v>
      </c>
      <c r="M40" s="412" t="s">
        <v>188</v>
      </c>
      <c r="N40" s="412" t="s">
        <v>188</v>
      </c>
      <c r="O40" s="430" t="s">
        <v>439</v>
      </c>
      <c r="P40" s="443">
        <f>8/22</f>
        <v>0.36363636363636365</v>
      </c>
      <c r="Q40" s="448">
        <f>SUM(H42:H43)</f>
        <v>22</v>
      </c>
      <c r="R40" s="457" t="s">
        <v>805</v>
      </c>
      <c r="S40" s="272"/>
    </row>
    <row r="41" spans="1:21" x14ac:dyDescent="0.25">
      <c r="A41" s="1028"/>
      <c r="B41" s="1033"/>
      <c r="C41" s="365"/>
      <c r="D41" s="367" t="s">
        <v>241</v>
      </c>
      <c r="E41" s="367" t="s">
        <v>242</v>
      </c>
      <c r="F41" s="367" t="s">
        <v>241</v>
      </c>
      <c r="G41" s="367" t="s">
        <v>242</v>
      </c>
      <c r="H41" s="1038"/>
      <c r="I41" s="401"/>
      <c r="J41" s="412"/>
      <c r="K41" s="412"/>
      <c r="L41" s="412"/>
      <c r="M41" s="412"/>
      <c r="N41" s="412"/>
      <c r="O41" s="430"/>
      <c r="P41" s="412"/>
      <c r="Q41" s="449"/>
      <c r="R41" s="457"/>
      <c r="S41" s="272"/>
    </row>
    <row r="42" spans="1:21" x14ac:dyDescent="0.25">
      <c r="A42" s="1028"/>
      <c r="B42" s="78" t="s">
        <v>277</v>
      </c>
      <c r="C42" s="78" t="s">
        <v>340</v>
      </c>
      <c r="D42">
        <v>2</v>
      </c>
      <c r="E42" s="6">
        <f>D42/H42</f>
        <v>0.15384615384615385</v>
      </c>
      <c r="F42">
        <v>11</v>
      </c>
      <c r="G42" s="6">
        <f>F42/H42</f>
        <v>0.84615384615384615</v>
      </c>
      <c r="H42">
        <f>F42+D42</f>
        <v>13</v>
      </c>
      <c r="I42" s="407"/>
      <c r="J42" s="419"/>
      <c r="K42" s="419"/>
      <c r="L42" s="419"/>
      <c r="M42" s="419"/>
      <c r="N42" s="419"/>
      <c r="O42" s="436"/>
      <c r="P42" s="419"/>
      <c r="Q42" s="450"/>
      <c r="R42" s="457"/>
      <c r="S42" s="272"/>
    </row>
    <row r="43" spans="1:21" s="322" customFormat="1" x14ac:dyDescent="0.25">
      <c r="A43" s="1029"/>
      <c r="B43" s="371" t="s">
        <v>434</v>
      </c>
      <c r="C43" s="371" t="s">
        <v>341</v>
      </c>
      <c r="D43" s="322">
        <v>6</v>
      </c>
      <c r="E43" s="372">
        <f>D43/H43</f>
        <v>0.66666666666666663</v>
      </c>
      <c r="F43" s="322">
        <v>3</v>
      </c>
      <c r="G43" s="372">
        <f>F43/H43</f>
        <v>0.33333333333333331</v>
      </c>
      <c r="H43" s="322">
        <f>F43+D43</f>
        <v>9</v>
      </c>
      <c r="I43" s="340"/>
      <c r="J43" s="420"/>
      <c r="K43" s="420"/>
      <c r="L43" s="420"/>
      <c r="M43" s="420"/>
      <c r="N43" s="420"/>
      <c r="O43" s="437"/>
      <c r="P43" s="420"/>
      <c r="Q43" s="451"/>
      <c r="R43" s="458"/>
      <c r="S43" s="271"/>
      <c r="T43" s="204"/>
      <c r="U43" s="204"/>
    </row>
    <row r="44" spans="1:21" ht="30" x14ac:dyDescent="0.25">
      <c r="A44" s="1030" t="s">
        <v>699</v>
      </c>
      <c r="B44" s="1033" t="s">
        <v>237</v>
      </c>
      <c r="C44" s="365"/>
      <c r="D44" s="1040" t="s">
        <v>180</v>
      </c>
      <c r="E44" s="1040"/>
      <c r="F44" s="1040" t="s">
        <v>247</v>
      </c>
      <c r="G44" s="1040"/>
      <c r="H44" s="1038" t="s">
        <v>222</v>
      </c>
      <c r="I44" s="401" t="s">
        <v>596</v>
      </c>
      <c r="J44" s="415" t="s">
        <v>188</v>
      </c>
      <c r="K44" s="412" t="s">
        <v>188</v>
      </c>
      <c r="L44" s="412" t="s">
        <v>262</v>
      </c>
      <c r="M44" s="418">
        <v>0</v>
      </c>
      <c r="N44" s="412">
        <v>6</v>
      </c>
      <c r="O44" s="430" t="s">
        <v>440</v>
      </c>
      <c r="P44" s="443">
        <f>22/101</f>
        <v>0.21782178217821782</v>
      </c>
      <c r="Q44" s="448">
        <f>SUM(H46:H50)</f>
        <v>101</v>
      </c>
      <c r="R44" s="457"/>
      <c r="S44" s="272"/>
    </row>
    <row r="45" spans="1:21" x14ac:dyDescent="0.25">
      <c r="A45" s="1031"/>
      <c r="B45" s="1033"/>
      <c r="C45" s="365"/>
      <c r="D45" s="367" t="s">
        <v>241</v>
      </c>
      <c r="E45" s="367" t="s">
        <v>242</v>
      </c>
      <c r="F45" s="367" t="s">
        <v>241</v>
      </c>
      <c r="G45" s="367" t="s">
        <v>242</v>
      </c>
      <c r="H45" s="1038"/>
      <c r="I45" s="401"/>
      <c r="J45" s="412"/>
      <c r="K45" s="412"/>
      <c r="L45" s="412"/>
      <c r="M45" s="412"/>
      <c r="N45" s="412"/>
      <c r="O45" s="430"/>
      <c r="P45" s="412"/>
      <c r="Q45" s="449"/>
      <c r="R45" s="457"/>
      <c r="S45" s="272"/>
    </row>
    <row r="46" spans="1:21" x14ac:dyDescent="0.25">
      <c r="A46" s="1031"/>
      <c r="B46" s="366" t="s">
        <v>441</v>
      </c>
      <c r="C46" s="78" t="s">
        <v>328</v>
      </c>
      <c r="D46">
        <v>1</v>
      </c>
      <c r="E46" s="6">
        <f>D46/H46</f>
        <v>0.5</v>
      </c>
      <c r="F46">
        <v>1</v>
      </c>
      <c r="G46" s="6">
        <f>F46/H46</f>
        <v>0.5</v>
      </c>
      <c r="H46" s="369">
        <f>D46+F46</f>
        <v>2</v>
      </c>
      <c r="I46" s="407"/>
      <c r="J46" s="419"/>
      <c r="K46" s="419"/>
      <c r="L46" s="419"/>
      <c r="M46" s="419"/>
      <c r="N46" s="419"/>
      <c r="O46" s="436"/>
      <c r="P46" s="419"/>
      <c r="Q46" s="450"/>
      <c r="R46" s="457"/>
      <c r="S46" s="272"/>
    </row>
    <row r="47" spans="1:21" x14ac:dyDescent="0.25">
      <c r="A47" s="1031"/>
      <c r="B47" s="366" t="s">
        <v>263</v>
      </c>
      <c r="C47" s="78" t="s">
        <v>329</v>
      </c>
      <c r="D47">
        <v>6</v>
      </c>
      <c r="E47" s="6">
        <f>D47/H47</f>
        <v>0.17647058823529413</v>
      </c>
      <c r="F47">
        <v>28</v>
      </c>
      <c r="G47" s="6">
        <f>F47/H47</f>
        <v>0.82352941176470584</v>
      </c>
      <c r="H47" s="369">
        <f>D47+F47</f>
        <v>34</v>
      </c>
      <c r="I47" s="407"/>
      <c r="J47" s="419"/>
      <c r="K47" s="419"/>
      <c r="L47" s="419"/>
      <c r="M47" s="419"/>
      <c r="N47" s="419"/>
      <c r="O47" s="436"/>
      <c r="P47" s="419"/>
      <c r="Q47" s="450"/>
      <c r="R47" s="457"/>
      <c r="S47" s="272"/>
    </row>
    <row r="48" spans="1:21" x14ac:dyDescent="0.25">
      <c r="A48" s="1031"/>
      <c r="B48" s="366" t="s">
        <v>264</v>
      </c>
      <c r="C48" s="78" t="s">
        <v>330</v>
      </c>
      <c r="D48">
        <v>9</v>
      </c>
      <c r="E48" s="6">
        <f>D48/H48</f>
        <v>0.21428571428571427</v>
      </c>
      <c r="F48">
        <v>33</v>
      </c>
      <c r="G48" s="6">
        <f>F48/H48</f>
        <v>0.7857142857142857</v>
      </c>
      <c r="H48" s="369">
        <f>D48+F48</f>
        <v>42</v>
      </c>
      <c r="I48" s="407"/>
      <c r="J48" s="419"/>
      <c r="K48" s="419"/>
      <c r="L48" s="419"/>
      <c r="M48" s="419"/>
      <c r="N48" s="419"/>
      <c r="O48" s="436"/>
      <c r="P48" s="419"/>
      <c r="Q48" s="450"/>
      <c r="R48" s="457"/>
      <c r="S48" s="272"/>
    </row>
    <row r="49" spans="1:21" x14ac:dyDescent="0.25">
      <c r="A49" s="1031"/>
      <c r="B49" s="366" t="s">
        <v>265</v>
      </c>
      <c r="C49" s="78" t="s">
        <v>331</v>
      </c>
      <c r="D49">
        <v>6</v>
      </c>
      <c r="E49" s="6">
        <f>D49/H49</f>
        <v>0.35294117647058826</v>
      </c>
      <c r="F49">
        <v>11</v>
      </c>
      <c r="G49" s="6">
        <f>F49/H49</f>
        <v>0.6470588235294118</v>
      </c>
      <c r="H49" s="369">
        <f>D49+F49</f>
        <v>17</v>
      </c>
      <c r="I49" s="407"/>
      <c r="J49" s="419"/>
      <c r="K49" s="419"/>
      <c r="L49" s="419"/>
      <c r="M49" s="419"/>
      <c r="N49" s="419"/>
      <c r="O49" s="436"/>
      <c r="P49" s="419"/>
      <c r="Q49" s="450"/>
      <c r="R49" s="457"/>
      <c r="S49" s="272"/>
    </row>
    <row r="50" spans="1:21" s="322" customFormat="1" x14ac:dyDescent="0.25">
      <c r="A50" s="1032"/>
      <c r="B50" s="371" t="s">
        <v>262</v>
      </c>
      <c r="C50" s="371" t="s">
        <v>332</v>
      </c>
      <c r="D50" s="322">
        <v>0</v>
      </c>
      <c r="E50" s="372">
        <f>D50/H50</f>
        <v>0</v>
      </c>
      <c r="F50" s="322">
        <v>6</v>
      </c>
      <c r="G50" s="372">
        <f>F50/H50</f>
        <v>1</v>
      </c>
      <c r="H50" s="381">
        <f>D50+F50</f>
        <v>6</v>
      </c>
      <c r="I50" s="340"/>
      <c r="J50" s="420"/>
      <c r="K50" s="420"/>
      <c r="L50" s="420"/>
      <c r="M50" s="420"/>
      <c r="N50" s="420"/>
      <c r="O50" s="437"/>
      <c r="P50" s="420"/>
      <c r="Q50" s="451"/>
      <c r="R50" s="458"/>
      <c r="S50" s="271"/>
      <c r="T50" s="204"/>
      <c r="U50" s="204"/>
    </row>
    <row r="51" spans="1:21" x14ac:dyDescent="0.25">
      <c r="A51" s="1027" t="s">
        <v>703</v>
      </c>
      <c r="B51" s="1033" t="s">
        <v>237</v>
      </c>
      <c r="C51" s="365"/>
      <c r="D51" s="1040" t="s">
        <v>180</v>
      </c>
      <c r="E51" s="1040"/>
      <c r="F51" s="1040" t="s">
        <v>247</v>
      </c>
      <c r="G51" s="1040"/>
      <c r="H51" s="1038" t="s">
        <v>222</v>
      </c>
      <c r="I51" s="401" t="s">
        <v>596</v>
      </c>
      <c r="J51" s="412" t="s">
        <v>188</v>
      </c>
      <c r="K51" s="412" t="s">
        <v>188</v>
      </c>
      <c r="L51" s="412" t="s">
        <v>596</v>
      </c>
      <c r="M51" s="412" t="s">
        <v>188</v>
      </c>
      <c r="N51" s="412" t="s">
        <v>188</v>
      </c>
      <c r="O51" s="430" t="s">
        <v>443</v>
      </c>
      <c r="P51" s="443">
        <f>136/273</f>
        <v>0.49816849816849818</v>
      </c>
      <c r="Q51" s="448">
        <f>SUM(H53:H59)</f>
        <v>273</v>
      </c>
      <c r="R51" s="457"/>
      <c r="S51" s="272"/>
    </row>
    <row r="52" spans="1:21" x14ac:dyDescent="0.25">
      <c r="A52" s="1028"/>
      <c r="B52" s="1033"/>
      <c r="C52" s="365"/>
      <c r="D52" s="367" t="s">
        <v>241</v>
      </c>
      <c r="E52" s="367" t="s">
        <v>242</v>
      </c>
      <c r="F52" s="367" t="s">
        <v>241</v>
      </c>
      <c r="G52" s="367" t="s">
        <v>242</v>
      </c>
      <c r="H52" s="1038"/>
      <c r="I52" s="401"/>
      <c r="J52" s="412"/>
      <c r="K52" s="412"/>
      <c r="L52" s="412"/>
      <c r="M52" s="412"/>
      <c r="N52" s="412"/>
      <c r="O52" s="430"/>
      <c r="P52" s="412"/>
      <c r="Q52" s="449"/>
      <c r="R52" s="457"/>
      <c r="S52" s="272"/>
    </row>
    <row r="53" spans="1:21" x14ac:dyDescent="0.25">
      <c r="A53" s="1028"/>
      <c r="B53" s="366" t="s">
        <v>272</v>
      </c>
      <c r="C53" s="78" t="s">
        <v>333</v>
      </c>
      <c r="D53">
        <v>13</v>
      </c>
      <c r="E53" s="6">
        <f>D53/H53</f>
        <v>0.65</v>
      </c>
      <c r="F53">
        <v>7</v>
      </c>
      <c r="G53" s="6">
        <f>F53/H53</f>
        <v>0.35</v>
      </c>
      <c r="H53" s="369">
        <f>D53+F53</f>
        <v>20</v>
      </c>
      <c r="I53" s="407"/>
      <c r="J53" s="419"/>
      <c r="K53" s="419"/>
      <c r="L53" s="419"/>
      <c r="M53" s="419"/>
      <c r="N53" s="419"/>
      <c r="O53" s="436"/>
      <c r="P53" s="419"/>
      <c r="Q53" s="450"/>
      <c r="R53" s="457"/>
      <c r="S53" s="272"/>
    </row>
    <row r="54" spans="1:21" x14ac:dyDescent="0.25">
      <c r="A54" s="1028"/>
      <c r="B54" s="366" t="s">
        <v>273</v>
      </c>
      <c r="C54" s="78" t="s">
        <v>334</v>
      </c>
      <c r="D54">
        <v>32</v>
      </c>
      <c r="E54" s="6">
        <f t="shared" ref="E54:E59" si="3">D54/H54</f>
        <v>0.47058823529411764</v>
      </c>
      <c r="F54">
        <v>36</v>
      </c>
      <c r="G54" s="6">
        <f t="shared" ref="G54:G59" si="4">F54/H54</f>
        <v>0.52941176470588236</v>
      </c>
      <c r="H54" s="369">
        <f t="shared" ref="H54:H59" si="5">D54+F54</f>
        <v>68</v>
      </c>
      <c r="I54" s="407"/>
      <c r="J54" s="419"/>
      <c r="K54" s="419"/>
      <c r="L54" s="419"/>
      <c r="M54" s="419"/>
      <c r="N54" s="419"/>
      <c r="O54" s="436"/>
      <c r="P54" s="419"/>
      <c r="Q54" s="419"/>
      <c r="R54" s="457"/>
      <c r="S54" s="272"/>
    </row>
    <row r="55" spans="1:21" x14ac:dyDescent="0.25">
      <c r="A55" s="1028"/>
      <c r="B55" s="366" t="s">
        <v>274</v>
      </c>
      <c r="C55" s="78" t="s">
        <v>335</v>
      </c>
      <c r="D55">
        <v>29</v>
      </c>
      <c r="E55" s="6">
        <f t="shared" si="3"/>
        <v>0.48333333333333334</v>
      </c>
      <c r="F55">
        <v>31</v>
      </c>
      <c r="G55" s="6">
        <f t="shared" si="4"/>
        <v>0.51666666666666672</v>
      </c>
      <c r="H55" s="369">
        <f t="shared" si="5"/>
        <v>60</v>
      </c>
      <c r="I55" s="407"/>
      <c r="J55" s="419"/>
      <c r="K55" s="419"/>
      <c r="L55" s="419"/>
      <c r="M55" s="419"/>
      <c r="N55" s="419"/>
      <c r="O55" s="436"/>
      <c r="P55" s="419"/>
      <c r="Q55" s="419"/>
      <c r="R55" s="457"/>
      <c r="S55" s="272"/>
    </row>
    <row r="56" spans="1:21" x14ac:dyDescent="0.25">
      <c r="A56" s="1028"/>
      <c r="B56" s="366" t="s">
        <v>269</v>
      </c>
      <c r="C56" s="78" t="s">
        <v>336</v>
      </c>
      <c r="D56">
        <v>23</v>
      </c>
      <c r="E56" s="6">
        <f t="shared" si="3"/>
        <v>0.60526315789473684</v>
      </c>
      <c r="F56">
        <v>15</v>
      </c>
      <c r="G56" s="6">
        <f t="shared" si="4"/>
        <v>0.39473684210526316</v>
      </c>
      <c r="H56" s="369">
        <f t="shared" si="5"/>
        <v>38</v>
      </c>
      <c r="I56" s="407"/>
      <c r="J56" s="419"/>
      <c r="K56" s="419"/>
      <c r="L56" s="419"/>
      <c r="M56" s="419"/>
      <c r="N56" s="419"/>
      <c r="O56" s="436"/>
      <c r="P56" s="419"/>
      <c r="Q56" s="419"/>
      <c r="R56" s="457"/>
      <c r="S56" s="272"/>
    </row>
    <row r="57" spans="1:21" x14ac:dyDescent="0.25">
      <c r="A57" s="1028"/>
      <c r="B57" s="366" t="s">
        <v>263</v>
      </c>
      <c r="C57" s="78" t="s">
        <v>337</v>
      </c>
      <c r="D57">
        <v>30</v>
      </c>
      <c r="E57" s="6">
        <f t="shared" si="3"/>
        <v>0.46153846153846156</v>
      </c>
      <c r="F57">
        <v>35</v>
      </c>
      <c r="G57" s="6">
        <f t="shared" si="4"/>
        <v>0.53846153846153844</v>
      </c>
      <c r="H57" s="369">
        <f t="shared" si="5"/>
        <v>65</v>
      </c>
      <c r="I57" s="407"/>
      <c r="J57" s="419"/>
      <c r="K57" s="419"/>
      <c r="L57" s="419"/>
      <c r="M57" s="419"/>
      <c r="N57" s="419"/>
      <c r="O57" s="436"/>
      <c r="P57" s="419"/>
      <c r="Q57" s="450"/>
      <c r="R57" s="457"/>
      <c r="S57" s="272"/>
    </row>
    <row r="58" spans="1:21" x14ac:dyDescent="0.25">
      <c r="A58" s="1028"/>
      <c r="B58" s="366" t="s">
        <v>264</v>
      </c>
      <c r="C58" s="78" t="s">
        <v>338</v>
      </c>
      <c r="D58">
        <v>7</v>
      </c>
      <c r="E58" s="6">
        <f t="shared" si="3"/>
        <v>0.41176470588235292</v>
      </c>
      <c r="F58">
        <v>10</v>
      </c>
      <c r="G58" s="6">
        <f t="shared" si="4"/>
        <v>0.58823529411764708</v>
      </c>
      <c r="H58" s="369">
        <f t="shared" si="5"/>
        <v>17</v>
      </c>
      <c r="I58" s="407"/>
      <c r="J58" s="419"/>
      <c r="K58" s="419"/>
      <c r="L58" s="419"/>
      <c r="M58" s="419"/>
      <c r="N58" s="419"/>
      <c r="O58" s="436"/>
      <c r="P58" s="419"/>
      <c r="Q58" s="450"/>
      <c r="R58" s="457"/>
      <c r="S58" s="272"/>
    </row>
    <row r="59" spans="1:21" s="322" customFormat="1" x14ac:dyDescent="0.25">
      <c r="A59" s="1029"/>
      <c r="B59" s="382" t="s">
        <v>432</v>
      </c>
      <c r="C59" s="371" t="s">
        <v>339</v>
      </c>
      <c r="D59" s="322">
        <v>2</v>
      </c>
      <c r="E59" s="372">
        <f t="shared" si="3"/>
        <v>0.4</v>
      </c>
      <c r="F59" s="322">
        <v>3</v>
      </c>
      <c r="G59" s="372">
        <f t="shared" si="4"/>
        <v>0.6</v>
      </c>
      <c r="H59" s="381">
        <f t="shared" si="5"/>
        <v>5</v>
      </c>
      <c r="I59" s="340"/>
      <c r="J59" s="420"/>
      <c r="K59" s="420"/>
      <c r="L59" s="420"/>
      <c r="M59" s="420"/>
      <c r="N59" s="420"/>
      <c r="O59" s="437"/>
      <c r="P59" s="420"/>
      <c r="Q59" s="451"/>
      <c r="R59" s="458"/>
      <c r="S59" s="271"/>
      <c r="T59" s="204"/>
      <c r="U59" s="204"/>
    </row>
    <row r="60" spans="1:21" ht="45" x14ac:dyDescent="0.25">
      <c r="A60" s="1034" t="s">
        <v>700</v>
      </c>
      <c r="B60" s="1033" t="s">
        <v>237</v>
      </c>
      <c r="C60" s="365"/>
      <c r="D60" s="1040" t="s">
        <v>180</v>
      </c>
      <c r="E60" s="1040"/>
      <c r="F60" s="1040" t="s">
        <v>247</v>
      </c>
      <c r="G60" s="1040"/>
      <c r="H60" s="1041" t="s">
        <v>222</v>
      </c>
      <c r="I60" s="408" t="s">
        <v>596</v>
      </c>
      <c r="J60" s="421" t="s">
        <v>188</v>
      </c>
      <c r="K60" s="421" t="s">
        <v>188</v>
      </c>
      <c r="L60" s="421" t="s">
        <v>268</v>
      </c>
      <c r="M60" s="415">
        <f>E68</f>
        <v>0.19230769230769232</v>
      </c>
      <c r="N60" s="421">
        <f>H68</f>
        <v>26</v>
      </c>
      <c r="O60" s="438" t="s">
        <v>444</v>
      </c>
      <c r="P60" s="443">
        <f>147/337</f>
        <v>0.43620178041543028</v>
      </c>
      <c r="Q60" s="448">
        <f>SUM(H62:H68)</f>
        <v>337</v>
      </c>
      <c r="R60" s="460" t="s">
        <v>342</v>
      </c>
      <c r="S60" s="272"/>
    </row>
    <row r="61" spans="1:21" x14ac:dyDescent="0.25">
      <c r="A61" s="1035"/>
      <c r="B61" s="1033"/>
      <c r="C61" s="365"/>
      <c r="D61" s="367" t="s">
        <v>241</v>
      </c>
      <c r="E61" s="367" t="s">
        <v>242</v>
      </c>
      <c r="F61" s="367" t="s">
        <v>241</v>
      </c>
      <c r="G61" s="367" t="s">
        <v>242</v>
      </c>
      <c r="H61" s="1041"/>
      <c r="I61" s="408"/>
      <c r="J61" s="421"/>
      <c r="K61" s="421"/>
      <c r="L61" s="421"/>
      <c r="M61" s="421"/>
      <c r="N61" s="421"/>
      <c r="O61" s="438"/>
      <c r="P61" s="421"/>
      <c r="Q61" s="452"/>
      <c r="R61" s="457"/>
      <c r="S61" s="272"/>
    </row>
    <row r="62" spans="1:21" x14ac:dyDescent="0.25">
      <c r="A62" s="1035"/>
      <c r="B62" s="366" t="s">
        <v>441</v>
      </c>
      <c r="C62" s="78" t="s">
        <v>311</v>
      </c>
      <c r="D62">
        <v>2</v>
      </c>
      <c r="E62" s="6">
        <f>D62/H62</f>
        <v>0.5</v>
      </c>
      <c r="F62">
        <v>2</v>
      </c>
      <c r="G62" s="6">
        <f>F62/H62</f>
        <v>0.5</v>
      </c>
      <c r="H62" s="370">
        <f>D62+F62</f>
        <v>4</v>
      </c>
      <c r="I62" s="409"/>
      <c r="J62" s="422"/>
      <c r="K62" s="422"/>
      <c r="L62" s="422"/>
      <c r="M62" s="422"/>
      <c r="N62" s="422"/>
      <c r="O62" s="439"/>
      <c r="P62" s="422"/>
      <c r="Q62" s="453"/>
      <c r="R62" s="457"/>
      <c r="S62" s="272"/>
    </row>
    <row r="63" spans="1:21" x14ac:dyDescent="0.25">
      <c r="A63" s="1035"/>
      <c r="B63" s="366" t="s">
        <v>263</v>
      </c>
      <c r="C63" s="78" t="s">
        <v>312</v>
      </c>
      <c r="D63">
        <v>35</v>
      </c>
      <c r="E63" s="6">
        <f t="shared" ref="E63:E68" si="6">D63/H63</f>
        <v>0.5</v>
      </c>
      <c r="F63">
        <v>35</v>
      </c>
      <c r="G63" s="6">
        <f t="shared" ref="G63:G68" si="7">F63/H63</f>
        <v>0.5</v>
      </c>
      <c r="H63" s="370">
        <f t="shared" ref="H63:H68" si="8">D63+F63</f>
        <v>70</v>
      </c>
      <c r="I63" s="409"/>
      <c r="J63" s="422"/>
      <c r="K63" s="422"/>
      <c r="L63" s="422"/>
      <c r="M63" s="422"/>
      <c r="N63" s="422"/>
      <c r="O63" s="439"/>
      <c r="P63" s="422"/>
      <c r="Q63" s="453"/>
      <c r="R63" s="457"/>
      <c r="S63" s="272"/>
    </row>
    <row r="64" spans="1:21" x14ac:dyDescent="0.25">
      <c r="A64" s="1035"/>
      <c r="B64" s="366" t="s">
        <v>264</v>
      </c>
      <c r="C64" s="78" t="s">
        <v>313</v>
      </c>
      <c r="D64">
        <v>39</v>
      </c>
      <c r="E64" s="6">
        <f t="shared" si="6"/>
        <v>0.42857142857142855</v>
      </c>
      <c r="F64">
        <v>52</v>
      </c>
      <c r="G64" s="6">
        <f t="shared" si="7"/>
        <v>0.5714285714285714</v>
      </c>
      <c r="H64" s="370">
        <f t="shared" si="8"/>
        <v>91</v>
      </c>
      <c r="I64" s="409"/>
      <c r="J64" s="422"/>
      <c r="K64" s="422"/>
      <c r="L64" s="422"/>
      <c r="M64" s="422"/>
      <c r="N64" s="422"/>
      <c r="O64" s="439"/>
      <c r="P64" s="422"/>
      <c r="Q64" s="453"/>
      <c r="R64" s="457"/>
      <c r="S64" s="272"/>
    </row>
    <row r="65" spans="1:21" x14ac:dyDescent="0.25">
      <c r="A65" s="1035"/>
      <c r="B65" s="366" t="s">
        <v>265</v>
      </c>
      <c r="C65" s="78" t="s">
        <v>314</v>
      </c>
      <c r="D65">
        <v>36</v>
      </c>
      <c r="E65" s="6">
        <f t="shared" si="6"/>
        <v>0.47368421052631576</v>
      </c>
      <c r="F65">
        <v>40</v>
      </c>
      <c r="G65" s="6">
        <f t="shared" si="7"/>
        <v>0.52631578947368418</v>
      </c>
      <c r="H65" s="370">
        <f t="shared" si="8"/>
        <v>76</v>
      </c>
      <c r="I65" s="409"/>
      <c r="J65" s="422"/>
      <c r="K65" s="422"/>
      <c r="L65" s="422"/>
      <c r="M65" s="422"/>
      <c r="N65" s="422"/>
      <c r="O65" s="439"/>
      <c r="P65" s="422"/>
      <c r="Q65" s="453"/>
      <c r="R65" s="457"/>
      <c r="S65" s="272"/>
    </row>
    <row r="66" spans="1:21" x14ac:dyDescent="0.25">
      <c r="A66" s="1035"/>
      <c r="B66" s="366" t="s">
        <v>266</v>
      </c>
      <c r="C66" s="78" t="s">
        <v>315</v>
      </c>
      <c r="D66">
        <v>14</v>
      </c>
      <c r="E66" s="6">
        <f t="shared" si="6"/>
        <v>0.4</v>
      </c>
      <c r="F66">
        <v>21</v>
      </c>
      <c r="G66" s="6">
        <f t="shared" si="7"/>
        <v>0.6</v>
      </c>
      <c r="H66" s="370">
        <f t="shared" si="8"/>
        <v>35</v>
      </c>
      <c r="I66" s="409"/>
      <c r="J66" s="422"/>
      <c r="K66" s="422"/>
      <c r="L66" s="422"/>
      <c r="M66" s="422"/>
      <c r="N66" s="422"/>
      <c r="O66" s="439"/>
      <c r="P66" s="422"/>
      <c r="Q66" s="453"/>
      <c r="R66" s="457"/>
      <c r="S66" s="272"/>
    </row>
    <row r="67" spans="1:21" x14ac:dyDescent="0.25">
      <c r="A67" s="1035"/>
      <c r="B67" s="366" t="s">
        <v>267</v>
      </c>
      <c r="C67" s="78" t="s">
        <v>316</v>
      </c>
      <c r="D67">
        <v>16</v>
      </c>
      <c r="E67" s="6">
        <f t="shared" si="6"/>
        <v>0.45714285714285713</v>
      </c>
      <c r="F67">
        <v>19</v>
      </c>
      <c r="G67" s="6">
        <f t="shared" si="7"/>
        <v>0.54285714285714282</v>
      </c>
      <c r="H67" s="370">
        <f t="shared" si="8"/>
        <v>35</v>
      </c>
      <c r="I67" s="409"/>
      <c r="J67" s="422"/>
      <c r="K67" s="422"/>
      <c r="L67" s="422"/>
      <c r="M67" s="422"/>
      <c r="N67" s="422"/>
      <c r="O67" s="439"/>
      <c r="P67" s="422"/>
      <c r="Q67" s="453"/>
      <c r="R67" s="457"/>
      <c r="S67" s="272"/>
    </row>
    <row r="68" spans="1:21" s="322" customFormat="1" x14ac:dyDescent="0.25">
      <c r="A68" s="1036"/>
      <c r="B68" s="382" t="s">
        <v>268</v>
      </c>
      <c r="C68" s="371" t="s">
        <v>317</v>
      </c>
      <c r="D68" s="322">
        <v>5</v>
      </c>
      <c r="E68" s="372">
        <f t="shared" si="6"/>
        <v>0.19230769230769232</v>
      </c>
      <c r="F68" s="322">
        <v>21</v>
      </c>
      <c r="G68" s="372">
        <f t="shared" si="7"/>
        <v>0.80769230769230771</v>
      </c>
      <c r="H68" s="383">
        <f t="shared" si="8"/>
        <v>26</v>
      </c>
      <c r="I68" s="410"/>
      <c r="J68" s="423"/>
      <c r="K68" s="423"/>
      <c r="L68" s="423"/>
      <c r="M68" s="423"/>
      <c r="N68" s="423"/>
      <c r="O68" s="440"/>
      <c r="P68" s="423"/>
      <c r="Q68" s="454"/>
      <c r="R68" s="458"/>
      <c r="S68" s="271"/>
      <c r="T68" s="204"/>
      <c r="U68" s="204"/>
    </row>
    <row r="69" spans="1:21" ht="30" x14ac:dyDescent="0.25">
      <c r="A69" s="1027" t="s">
        <v>88</v>
      </c>
      <c r="B69" s="1033" t="s">
        <v>237</v>
      </c>
      <c r="C69" s="365"/>
      <c r="D69" s="1040" t="s">
        <v>180</v>
      </c>
      <c r="E69" s="1040"/>
      <c r="F69" s="1040" t="s">
        <v>238</v>
      </c>
      <c r="G69" s="1040"/>
      <c r="H69" s="1038" t="s">
        <v>222</v>
      </c>
      <c r="I69" s="401" t="s">
        <v>596</v>
      </c>
      <c r="J69" s="412" t="s">
        <v>188</v>
      </c>
      <c r="K69" s="412" t="s">
        <v>188</v>
      </c>
      <c r="L69" s="412" t="s">
        <v>257</v>
      </c>
      <c r="M69" s="415">
        <f>SUM(D80:D81)/N69</f>
        <v>0.24390243902439024</v>
      </c>
      <c r="N69" s="412">
        <f>SUM(H80:H81)</f>
        <v>41</v>
      </c>
      <c r="O69" s="430" t="s">
        <v>445</v>
      </c>
      <c r="P69" s="443">
        <f>186/323</f>
        <v>0.57585139318885448</v>
      </c>
      <c r="Q69" s="448">
        <f>SUM(H71:H81)</f>
        <v>297</v>
      </c>
      <c r="R69" s="457"/>
      <c r="S69" s="272"/>
    </row>
    <row r="70" spans="1:21" x14ac:dyDescent="0.25">
      <c r="A70" s="1028"/>
      <c r="B70" s="1033"/>
      <c r="C70" s="365"/>
      <c r="D70" s="367" t="s">
        <v>241</v>
      </c>
      <c r="E70" s="367" t="s">
        <v>242</v>
      </c>
      <c r="F70" s="367" t="s">
        <v>241</v>
      </c>
      <c r="G70" s="367" t="s">
        <v>242</v>
      </c>
      <c r="H70" s="1038"/>
      <c r="I70" s="401"/>
      <c r="J70" s="412"/>
      <c r="K70" s="412"/>
      <c r="L70" s="412"/>
      <c r="M70" s="412"/>
      <c r="N70" s="412"/>
      <c r="O70" s="430"/>
      <c r="P70" s="412"/>
      <c r="Q70" s="412"/>
      <c r="R70" s="457"/>
      <c r="S70" s="272"/>
    </row>
    <row r="71" spans="1:21" x14ac:dyDescent="0.25">
      <c r="A71" s="1028"/>
      <c r="B71" s="366" t="s">
        <v>442</v>
      </c>
      <c r="C71" s="78" t="s">
        <v>318</v>
      </c>
      <c r="D71">
        <v>33</v>
      </c>
      <c r="E71" s="6">
        <f>D71/H71</f>
        <v>0.71739130434782605</v>
      </c>
      <c r="F71">
        <v>13</v>
      </c>
      <c r="G71" s="6">
        <f>F71/H71</f>
        <v>0.28260869565217389</v>
      </c>
      <c r="H71" s="369">
        <f>D71+F71</f>
        <v>46</v>
      </c>
      <c r="I71" s="407"/>
      <c r="J71" s="419"/>
      <c r="K71" s="419"/>
      <c r="L71" s="419"/>
      <c r="M71" s="419"/>
      <c r="N71" s="419"/>
      <c r="O71" s="436"/>
      <c r="P71" s="419"/>
      <c r="Q71" s="419"/>
      <c r="R71" s="457"/>
      <c r="S71" s="272"/>
    </row>
    <row r="72" spans="1:21" x14ac:dyDescent="0.25">
      <c r="A72" s="1028"/>
      <c r="B72" s="366" t="s">
        <v>269</v>
      </c>
      <c r="C72" s="78" t="s">
        <v>319</v>
      </c>
      <c r="D72">
        <v>18</v>
      </c>
      <c r="E72" s="6">
        <f t="shared" ref="E72:E81" si="9">D72/H72</f>
        <v>0.5625</v>
      </c>
      <c r="F72">
        <v>14</v>
      </c>
      <c r="G72" s="6">
        <f t="shared" ref="G72:G81" si="10">F72/H72</f>
        <v>0.4375</v>
      </c>
      <c r="H72" s="369">
        <f t="shared" ref="H72:H81" si="11">D72+F72</f>
        <v>32</v>
      </c>
      <c r="I72" s="407"/>
      <c r="J72" s="419"/>
      <c r="K72" s="419"/>
      <c r="L72" s="419"/>
      <c r="M72" s="419"/>
      <c r="N72" s="419"/>
      <c r="O72" s="436"/>
      <c r="P72" s="419"/>
      <c r="Q72" s="419"/>
      <c r="R72" s="457"/>
      <c r="S72" s="272"/>
    </row>
    <row r="73" spans="1:21" x14ac:dyDescent="0.25">
      <c r="A73" s="1028"/>
      <c r="B73" s="366" t="s">
        <v>263</v>
      </c>
      <c r="C73" s="78" t="s">
        <v>312</v>
      </c>
      <c r="D73">
        <v>44</v>
      </c>
      <c r="E73" s="6">
        <f t="shared" si="9"/>
        <v>0.62857142857142856</v>
      </c>
      <c r="F73">
        <v>26</v>
      </c>
      <c r="G73" s="6">
        <f t="shared" si="10"/>
        <v>0.37142857142857144</v>
      </c>
      <c r="H73" s="369">
        <f t="shared" si="11"/>
        <v>70</v>
      </c>
      <c r="I73" s="407"/>
      <c r="J73" s="419"/>
      <c r="K73" s="419"/>
      <c r="L73" s="419"/>
      <c r="M73" s="419"/>
      <c r="N73" s="419"/>
      <c r="O73" s="436"/>
      <c r="P73" s="419"/>
      <c r="Q73" s="419"/>
      <c r="R73" s="457"/>
      <c r="S73" s="272"/>
    </row>
    <row r="74" spans="1:21" x14ac:dyDescent="0.25">
      <c r="A74" s="1028"/>
      <c r="B74" s="366" t="s">
        <v>264</v>
      </c>
      <c r="C74" s="78" t="s">
        <v>320</v>
      </c>
      <c r="D74">
        <v>24</v>
      </c>
      <c r="E74" s="6">
        <f t="shared" si="9"/>
        <v>0.72727272727272729</v>
      </c>
      <c r="F74">
        <v>9</v>
      </c>
      <c r="G74" s="6">
        <f t="shared" si="10"/>
        <v>0.27272727272727271</v>
      </c>
      <c r="H74" s="369">
        <f t="shared" si="11"/>
        <v>33</v>
      </c>
      <c r="I74" s="407"/>
      <c r="J74" s="419"/>
      <c r="K74" s="419"/>
      <c r="L74" s="419"/>
      <c r="M74" s="419"/>
      <c r="N74" s="419"/>
      <c r="O74" s="436"/>
      <c r="P74" s="419"/>
      <c r="Q74" s="419"/>
      <c r="R74" s="457"/>
      <c r="S74" s="272"/>
    </row>
    <row r="75" spans="1:21" x14ac:dyDescent="0.25">
      <c r="A75" s="1028"/>
      <c r="B75" s="366" t="s">
        <v>265</v>
      </c>
      <c r="C75" s="78" t="s">
        <v>321</v>
      </c>
      <c r="D75">
        <v>18</v>
      </c>
      <c r="E75" s="6">
        <f t="shared" si="9"/>
        <v>0.69230769230769229</v>
      </c>
      <c r="F75">
        <v>8</v>
      </c>
      <c r="G75" s="6">
        <f t="shared" si="10"/>
        <v>0.30769230769230771</v>
      </c>
      <c r="H75" s="369">
        <f t="shared" si="11"/>
        <v>26</v>
      </c>
      <c r="I75" s="407"/>
      <c r="J75" s="419"/>
      <c r="K75" s="419"/>
      <c r="L75" s="419"/>
      <c r="M75" s="419"/>
      <c r="N75" s="419"/>
      <c r="O75" s="436"/>
      <c r="P75" s="419"/>
      <c r="Q75" s="419"/>
      <c r="R75" s="457"/>
      <c r="S75" s="272"/>
    </row>
    <row r="76" spans="1:21" x14ac:dyDescent="0.25">
      <c r="A76" s="1028"/>
      <c r="B76" s="366" t="s">
        <v>266</v>
      </c>
      <c r="C76" s="78" t="s">
        <v>322</v>
      </c>
      <c r="D76">
        <v>4</v>
      </c>
      <c r="E76" s="6">
        <f t="shared" si="9"/>
        <v>0.5714285714285714</v>
      </c>
      <c r="F76">
        <v>3</v>
      </c>
      <c r="G76" s="6">
        <f t="shared" si="10"/>
        <v>0.42857142857142855</v>
      </c>
      <c r="H76" s="369">
        <f t="shared" si="11"/>
        <v>7</v>
      </c>
      <c r="I76" s="407"/>
      <c r="J76" s="419"/>
      <c r="K76" s="419"/>
      <c r="L76" s="419"/>
      <c r="M76" s="419"/>
      <c r="N76" s="419"/>
      <c r="O76" s="436"/>
      <c r="P76" s="419"/>
      <c r="Q76" s="419"/>
      <c r="R76" s="457"/>
      <c r="S76" s="272"/>
    </row>
    <row r="77" spans="1:21" x14ac:dyDescent="0.25">
      <c r="A77" s="1028"/>
      <c r="B77" s="366" t="s">
        <v>267</v>
      </c>
      <c r="C77" s="78" t="s">
        <v>323</v>
      </c>
      <c r="D77">
        <v>8</v>
      </c>
      <c r="E77" s="6">
        <f t="shared" si="9"/>
        <v>0.61538461538461542</v>
      </c>
      <c r="F77">
        <v>5</v>
      </c>
      <c r="G77" s="6">
        <f t="shared" si="10"/>
        <v>0.38461538461538464</v>
      </c>
      <c r="H77" s="369">
        <f t="shared" si="11"/>
        <v>13</v>
      </c>
      <c r="I77" s="407"/>
      <c r="J77" s="419"/>
      <c r="K77" s="419"/>
      <c r="L77" s="419"/>
      <c r="M77" s="419"/>
      <c r="N77" s="419"/>
      <c r="O77" s="436"/>
      <c r="P77" s="419"/>
      <c r="Q77" s="419"/>
      <c r="R77" s="457"/>
      <c r="S77" s="272"/>
    </row>
    <row r="78" spans="1:21" x14ac:dyDescent="0.25">
      <c r="A78" s="1028"/>
      <c r="B78" s="366" t="s">
        <v>268</v>
      </c>
      <c r="C78" s="78" t="s">
        <v>324</v>
      </c>
      <c r="D78">
        <v>10</v>
      </c>
      <c r="E78" s="6">
        <f t="shared" si="9"/>
        <v>0.625</v>
      </c>
      <c r="F78">
        <v>6</v>
      </c>
      <c r="G78" s="6">
        <f t="shared" si="10"/>
        <v>0.375</v>
      </c>
      <c r="H78" s="369">
        <f t="shared" si="11"/>
        <v>16</v>
      </c>
      <c r="I78" s="407"/>
      <c r="J78" s="419"/>
      <c r="K78" s="419"/>
      <c r="L78" s="419"/>
      <c r="M78" s="419"/>
      <c r="N78" s="419"/>
      <c r="O78" s="436"/>
      <c r="P78" s="419"/>
      <c r="Q78" s="419"/>
      <c r="R78" s="457"/>
      <c r="S78" s="272"/>
    </row>
    <row r="79" spans="1:21" x14ac:dyDescent="0.25">
      <c r="A79" s="1028"/>
      <c r="B79" s="366" t="s">
        <v>270</v>
      </c>
      <c r="C79" s="78" t="s">
        <v>325</v>
      </c>
      <c r="D79">
        <v>8</v>
      </c>
      <c r="E79" s="6">
        <f t="shared" si="9"/>
        <v>0.61538461538461542</v>
      </c>
      <c r="F79">
        <v>5</v>
      </c>
      <c r="G79" s="6">
        <f t="shared" si="10"/>
        <v>0.38461538461538464</v>
      </c>
      <c r="H79" s="369">
        <f t="shared" si="11"/>
        <v>13</v>
      </c>
      <c r="I79" s="407"/>
      <c r="J79" s="419"/>
      <c r="K79" s="419"/>
      <c r="L79" s="419"/>
      <c r="M79" s="419"/>
      <c r="N79" s="419"/>
      <c r="O79" s="436"/>
      <c r="P79" s="419"/>
      <c r="Q79" s="419"/>
      <c r="R79" s="457"/>
      <c r="S79" s="272"/>
    </row>
    <row r="80" spans="1:21" x14ac:dyDescent="0.25">
      <c r="A80" s="1028"/>
      <c r="B80" s="366" t="s">
        <v>271</v>
      </c>
      <c r="C80" s="78" t="s">
        <v>326</v>
      </c>
      <c r="D80">
        <v>4</v>
      </c>
      <c r="E80" s="6">
        <f t="shared" si="9"/>
        <v>0.36363636363636365</v>
      </c>
      <c r="F80">
        <v>7</v>
      </c>
      <c r="G80" s="6">
        <f t="shared" si="10"/>
        <v>0.63636363636363635</v>
      </c>
      <c r="H80" s="369">
        <f t="shared" si="11"/>
        <v>11</v>
      </c>
      <c r="I80" s="407"/>
      <c r="J80" s="419"/>
      <c r="K80" s="419"/>
      <c r="L80" s="419"/>
      <c r="M80" s="419"/>
      <c r="N80" s="419"/>
      <c r="O80" s="436"/>
      <c r="P80" s="419"/>
      <c r="Q80" s="419"/>
      <c r="R80" s="457"/>
      <c r="S80" s="272"/>
    </row>
    <row r="81" spans="1:21" s="322" customFormat="1" x14ac:dyDescent="0.25">
      <c r="A81" s="1029"/>
      <c r="B81" s="382" t="s">
        <v>433</v>
      </c>
      <c r="C81" s="371" t="s">
        <v>327</v>
      </c>
      <c r="D81" s="322">
        <v>6</v>
      </c>
      <c r="E81" s="372">
        <f t="shared" si="9"/>
        <v>0.2</v>
      </c>
      <c r="F81" s="322">
        <v>24</v>
      </c>
      <c r="G81" s="372">
        <f t="shared" si="10"/>
        <v>0.8</v>
      </c>
      <c r="H81" s="381">
        <f t="shared" si="11"/>
        <v>30</v>
      </c>
      <c r="I81" s="340"/>
      <c r="J81" s="420"/>
      <c r="K81" s="420"/>
      <c r="L81" s="420"/>
      <c r="M81" s="420"/>
      <c r="N81" s="420"/>
      <c r="O81" s="437"/>
      <c r="P81" s="420"/>
      <c r="Q81" s="420"/>
      <c r="R81" s="458"/>
      <c r="S81" s="271"/>
      <c r="T81" s="204"/>
      <c r="U81" s="204"/>
    </row>
    <row r="82" spans="1:21" s="384" customFormat="1" ht="45" x14ac:dyDescent="0.25">
      <c r="A82" s="395" t="s">
        <v>11</v>
      </c>
      <c r="C82" s="385"/>
      <c r="I82" s="398" t="s">
        <v>152</v>
      </c>
      <c r="J82" s="424" t="s">
        <v>152</v>
      </c>
      <c r="K82" s="424" t="s">
        <v>152</v>
      </c>
      <c r="L82" s="424" t="s">
        <v>152</v>
      </c>
      <c r="M82" s="424" t="s">
        <v>152</v>
      </c>
      <c r="N82" s="424" t="s">
        <v>152</v>
      </c>
      <c r="O82" s="441" t="s">
        <v>152</v>
      </c>
      <c r="P82" s="424" t="s">
        <v>152</v>
      </c>
      <c r="Q82" s="424" t="s">
        <v>152</v>
      </c>
      <c r="R82" s="461" t="s">
        <v>281</v>
      </c>
      <c r="S82" s="464"/>
      <c r="T82" s="386"/>
      <c r="U82" s="386"/>
    </row>
    <row r="83" spans="1:21" s="384" customFormat="1" ht="30" x14ac:dyDescent="0.25">
      <c r="A83" s="395" t="s">
        <v>702</v>
      </c>
      <c r="C83" s="385"/>
      <c r="I83" s="398" t="s">
        <v>152</v>
      </c>
      <c r="J83" s="424" t="s">
        <v>152</v>
      </c>
      <c r="K83" s="424" t="s">
        <v>152</v>
      </c>
      <c r="L83" s="424" t="s">
        <v>152</v>
      </c>
      <c r="M83" s="424" t="s">
        <v>152</v>
      </c>
      <c r="N83" s="424" t="s">
        <v>152</v>
      </c>
      <c r="O83" s="441" t="s">
        <v>152</v>
      </c>
      <c r="P83" s="424" t="s">
        <v>152</v>
      </c>
      <c r="Q83" s="424" t="s">
        <v>152</v>
      </c>
      <c r="R83" s="461" t="s">
        <v>282</v>
      </c>
      <c r="S83" s="464"/>
      <c r="T83" s="386"/>
      <c r="U83" s="386"/>
    </row>
    <row r="84" spans="1:21" s="384" customFormat="1" ht="45" x14ac:dyDescent="0.25">
      <c r="A84" s="395" t="s">
        <v>89</v>
      </c>
      <c r="C84" s="385"/>
      <c r="I84" s="398" t="s">
        <v>152</v>
      </c>
      <c r="J84" s="424" t="s">
        <v>152</v>
      </c>
      <c r="K84" s="424" t="s">
        <v>152</v>
      </c>
      <c r="L84" s="424" t="s">
        <v>152</v>
      </c>
      <c r="M84" s="424" t="s">
        <v>152</v>
      </c>
      <c r="N84" s="424" t="s">
        <v>152</v>
      </c>
      <c r="O84" s="441" t="s">
        <v>152</v>
      </c>
      <c r="P84" s="424" t="s">
        <v>152</v>
      </c>
      <c r="Q84" s="424" t="s">
        <v>152</v>
      </c>
      <c r="R84" s="461" t="s">
        <v>281</v>
      </c>
      <c r="S84" s="464"/>
      <c r="T84" s="386"/>
      <c r="U84" s="386"/>
    </row>
    <row r="85" spans="1:21" s="384" customFormat="1" ht="45" x14ac:dyDescent="0.25">
      <c r="A85" s="396" t="s">
        <v>1075</v>
      </c>
      <c r="C85" s="385"/>
      <c r="I85" s="398" t="s">
        <v>152</v>
      </c>
      <c r="J85" s="424" t="s">
        <v>152</v>
      </c>
      <c r="K85" s="424" t="s">
        <v>152</v>
      </c>
      <c r="L85" s="424" t="s">
        <v>152</v>
      </c>
      <c r="M85" s="424" t="s">
        <v>152</v>
      </c>
      <c r="N85" s="424" t="s">
        <v>152</v>
      </c>
      <c r="O85" s="441" t="s">
        <v>152</v>
      </c>
      <c r="P85" s="424" t="s">
        <v>152</v>
      </c>
      <c r="Q85" s="424" t="s">
        <v>152</v>
      </c>
      <c r="R85" s="461" t="s">
        <v>281</v>
      </c>
      <c r="S85" s="464"/>
      <c r="T85" s="386"/>
      <c r="U85" s="386"/>
    </row>
    <row r="86" spans="1:21" s="384" customFormat="1" ht="30" x14ac:dyDescent="0.25">
      <c r="A86" s="397" t="s">
        <v>704</v>
      </c>
      <c r="C86" s="385"/>
      <c r="I86" s="398" t="s">
        <v>152</v>
      </c>
      <c r="J86" s="424" t="s">
        <v>152</v>
      </c>
      <c r="K86" s="424" t="s">
        <v>152</v>
      </c>
      <c r="L86" s="424" t="s">
        <v>152</v>
      </c>
      <c r="M86" s="424" t="s">
        <v>152</v>
      </c>
      <c r="N86" s="424" t="s">
        <v>152</v>
      </c>
      <c r="O86" s="441" t="s">
        <v>152</v>
      </c>
      <c r="P86" s="424" t="s">
        <v>152</v>
      </c>
      <c r="Q86" s="424" t="s">
        <v>152</v>
      </c>
      <c r="R86" s="461" t="s">
        <v>282</v>
      </c>
      <c r="S86" s="464"/>
      <c r="T86" s="386"/>
      <c r="U86" s="386"/>
    </row>
    <row r="87" spans="1:21" s="387" customFormat="1" x14ac:dyDescent="0.25">
      <c r="A87" s="388"/>
      <c r="I87" s="389"/>
      <c r="J87" s="389"/>
      <c r="K87" s="389"/>
      <c r="L87" s="389"/>
      <c r="M87" s="389"/>
      <c r="N87" s="389"/>
      <c r="O87" s="399"/>
      <c r="P87" s="389"/>
      <c r="Q87" s="389"/>
      <c r="R87" s="390"/>
    </row>
    <row r="88" spans="1:21" s="392" customFormat="1" x14ac:dyDescent="0.25">
      <c r="A88" s="391"/>
      <c r="I88" s="393"/>
      <c r="J88" s="393"/>
      <c r="K88" s="393"/>
      <c r="L88" s="393"/>
      <c r="M88" s="393"/>
      <c r="N88" s="393"/>
      <c r="O88" s="400"/>
      <c r="P88" s="393"/>
      <c r="Q88" s="393"/>
      <c r="R88" s="394"/>
    </row>
    <row r="89" spans="1:21" s="387" customFormat="1" hidden="1" x14ac:dyDescent="0.25">
      <c r="A89" s="388"/>
      <c r="I89" s="389"/>
      <c r="J89" s="389"/>
      <c r="K89" s="389"/>
      <c r="L89" s="389"/>
      <c r="M89" s="389"/>
      <c r="N89" s="389"/>
      <c r="O89" s="399"/>
      <c r="P89" s="389"/>
      <c r="Q89" s="389"/>
      <c r="R89" s="390"/>
    </row>
    <row r="90" spans="1:21" s="387" customFormat="1" hidden="1" x14ac:dyDescent="0.25">
      <c r="A90" s="388"/>
      <c r="I90" s="389"/>
      <c r="J90" s="389"/>
      <c r="K90" s="389"/>
      <c r="L90" s="389"/>
      <c r="M90" s="389"/>
      <c r="N90" s="389"/>
      <c r="O90" s="399"/>
      <c r="P90" s="389"/>
      <c r="Q90" s="389"/>
      <c r="R90" s="390"/>
    </row>
    <row r="91" spans="1:21" s="387" customFormat="1" hidden="1" x14ac:dyDescent="0.25">
      <c r="A91" s="388"/>
      <c r="I91" s="389"/>
      <c r="J91" s="389"/>
      <c r="K91" s="389"/>
      <c r="L91" s="389"/>
      <c r="M91" s="389"/>
      <c r="N91" s="389"/>
      <c r="O91" s="399"/>
      <c r="P91" s="389"/>
      <c r="Q91" s="389"/>
      <c r="R91" s="390"/>
    </row>
    <row r="92" spans="1:21" s="387" customFormat="1" hidden="1" x14ac:dyDescent="0.25">
      <c r="A92" s="388"/>
      <c r="I92" s="389"/>
      <c r="J92" s="389"/>
      <c r="K92" s="389"/>
      <c r="L92" s="389"/>
      <c r="M92" s="389"/>
      <c r="N92" s="389"/>
      <c r="O92" s="399"/>
      <c r="P92" s="389"/>
      <c r="Q92" s="389"/>
      <c r="R92" s="390"/>
    </row>
    <row r="93" spans="1:21" s="387" customFormat="1" hidden="1" x14ac:dyDescent="0.25">
      <c r="A93" s="388"/>
      <c r="I93" s="389"/>
      <c r="J93" s="389"/>
      <c r="K93" s="389"/>
      <c r="L93" s="389"/>
      <c r="M93" s="389"/>
      <c r="N93" s="389"/>
      <c r="O93" s="399"/>
      <c r="P93" s="389"/>
      <c r="Q93" s="389"/>
      <c r="R93" s="390"/>
    </row>
    <row r="94" spans="1:21" s="387" customFormat="1" hidden="1" x14ac:dyDescent="0.25">
      <c r="A94" s="388"/>
      <c r="I94" s="389"/>
      <c r="J94" s="389"/>
      <c r="K94" s="389"/>
      <c r="L94" s="389"/>
      <c r="M94" s="389"/>
      <c r="N94" s="389"/>
      <c r="O94" s="399"/>
      <c r="P94" s="389"/>
      <c r="Q94" s="389"/>
      <c r="R94" s="390"/>
    </row>
    <row r="95" spans="1:21" s="387" customFormat="1" hidden="1" x14ac:dyDescent="0.25">
      <c r="A95" s="388"/>
      <c r="I95" s="389"/>
      <c r="J95" s="389"/>
      <c r="K95" s="389"/>
      <c r="L95" s="389"/>
      <c r="M95" s="389"/>
      <c r="N95" s="389"/>
      <c r="O95" s="399"/>
      <c r="P95" s="389"/>
      <c r="Q95" s="389"/>
      <c r="R95" s="390"/>
    </row>
    <row r="96" spans="1:21" s="387" customFormat="1" hidden="1" x14ac:dyDescent="0.25">
      <c r="A96" s="388"/>
      <c r="I96" s="389"/>
      <c r="J96" s="389"/>
      <c r="K96" s="389"/>
      <c r="L96" s="389"/>
      <c r="M96" s="389"/>
      <c r="N96" s="389"/>
      <c r="O96" s="399"/>
      <c r="P96" s="389"/>
      <c r="Q96" s="389"/>
      <c r="R96" s="390"/>
    </row>
    <row r="97" spans="1:18" s="387" customFormat="1" hidden="1" x14ac:dyDescent="0.25">
      <c r="A97" s="388"/>
      <c r="I97" s="389"/>
      <c r="J97" s="389"/>
      <c r="K97" s="389"/>
      <c r="L97" s="389"/>
      <c r="M97" s="389"/>
      <c r="N97" s="389"/>
      <c r="O97" s="399"/>
      <c r="P97" s="389"/>
      <c r="Q97" s="389"/>
      <c r="R97" s="390"/>
    </row>
    <row r="98" spans="1:18" s="387" customFormat="1" hidden="1" x14ac:dyDescent="0.25">
      <c r="A98" s="388"/>
      <c r="I98" s="389"/>
      <c r="J98" s="389"/>
      <c r="K98" s="389"/>
      <c r="L98" s="389"/>
      <c r="M98" s="389"/>
      <c r="N98" s="389"/>
      <c r="O98" s="399"/>
      <c r="P98" s="389"/>
      <c r="Q98" s="389"/>
      <c r="R98" s="390"/>
    </row>
    <row r="99" spans="1:18" s="387" customFormat="1" hidden="1" x14ac:dyDescent="0.25">
      <c r="A99" s="388"/>
      <c r="I99" s="389"/>
      <c r="J99" s="389"/>
      <c r="K99" s="389"/>
      <c r="L99" s="389"/>
      <c r="M99" s="389"/>
      <c r="N99" s="389"/>
      <c r="O99" s="399"/>
      <c r="P99" s="389"/>
      <c r="Q99" s="389"/>
      <c r="R99" s="390"/>
    </row>
    <row r="100" spans="1:18" s="387" customFormat="1" hidden="1" x14ac:dyDescent="0.25">
      <c r="A100" s="388"/>
      <c r="I100" s="389"/>
      <c r="J100" s="389"/>
      <c r="K100" s="389"/>
      <c r="L100" s="389"/>
      <c r="M100" s="389"/>
      <c r="N100" s="389"/>
      <c r="O100" s="399"/>
      <c r="P100" s="389"/>
      <c r="Q100" s="389"/>
      <c r="R100" s="390"/>
    </row>
    <row r="101" spans="1:18" s="387" customFormat="1" hidden="1" x14ac:dyDescent="0.25">
      <c r="A101" s="388"/>
      <c r="I101" s="389"/>
      <c r="J101" s="389"/>
      <c r="K101" s="389"/>
      <c r="L101" s="389"/>
      <c r="M101" s="389"/>
      <c r="N101" s="389"/>
      <c r="O101" s="399"/>
      <c r="P101" s="389"/>
      <c r="Q101" s="389"/>
      <c r="R101" s="390"/>
    </row>
    <row r="102" spans="1:18" s="387" customFormat="1" hidden="1" x14ac:dyDescent="0.25">
      <c r="A102" s="388"/>
      <c r="I102" s="389"/>
      <c r="J102" s="389"/>
      <c r="K102" s="389"/>
      <c r="L102" s="389"/>
      <c r="M102" s="389"/>
      <c r="N102" s="389"/>
      <c r="O102" s="399"/>
      <c r="P102" s="389"/>
      <c r="Q102" s="389"/>
      <c r="R102" s="390"/>
    </row>
    <row r="103" spans="1:18" s="387" customFormat="1" hidden="1" x14ac:dyDescent="0.25">
      <c r="A103" s="388"/>
      <c r="I103" s="389"/>
      <c r="J103" s="389"/>
      <c r="K103" s="389"/>
      <c r="L103" s="389"/>
      <c r="M103" s="389"/>
      <c r="N103" s="389"/>
      <c r="O103" s="399"/>
      <c r="P103" s="389"/>
      <c r="Q103" s="389"/>
      <c r="R103" s="390"/>
    </row>
    <row r="104" spans="1:18" s="387" customFormat="1" hidden="1" x14ac:dyDescent="0.25">
      <c r="A104" s="388"/>
      <c r="I104" s="389"/>
      <c r="J104" s="389"/>
      <c r="K104" s="389"/>
      <c r="L104" s="389"/>
      <c r="M104" s="389"/>
      <c r="N104" s="389"/>
      <c r="O104" s="399"/>
      <c r="P104" s="389"/>
      <c r="Q104" s="389"/>
      <c r="R104" s="390"/>
    </row>
  </sheetData>
  <sheetProtection algorithmName="SHA-512" hashValue="uLnqYk2bbzk1LfPu2b7gHkTfSlSTYeLwqZ5jqQgR7NLLfGqEPvN5GtVYPLegJuX+WZmu7xNwEgc5y/wAQcxT3A==" saltValue="p13rk+5Rz2QWsmgNQfOpMQ==" spinCount="100000" sheet="1" objects="1" scenarios="1" autoFilter="0"/>
  <autoFilter ref="A1:R86">
    <filterColumn colId="3" showButton="0"/>
    <filterColumn colId="5" showButton="0"/>
  </autoFilter>
  <mergeCells count="52">
    <mergeCell ref="H2:H3"/>
    <mergeCell ref="D1:E1"/>
    <mergeCell ref="F1:G1"/>
    <mergeCell ref="B2:B3"/>
    <mergeCell ref="D2:E2"/>
    <mergeCell ref="F2:G2"/>
    <mergeCell ref="B8:B9"/>
    <mergeCell ref="D8:E8"/>
    <mergeCell ref="F8:G8"/>
    <mergeCell ref="H8:H9"/>
    <mergeCell ref="B20:B21"/>
    <mergeCell ref="D20:E20"/>
    <mergeCell ref="F20:G20"/>
    <mergeCell ref="H20:H21"/>
    <mergeCell ref="D60:E60"/>
    <mergeCell ref="F60:G60"/>
    <mergeCell ref="H60:H61"/>
    <mergeCell ref="B69:B70"/>
    <mergeCell ref="D69:E69"/>
    <mergeCell ref="F69:G69"/>
    <mergeCell ref="H69:H70"/>
    <mergeCell ref="D44:E44"/>
    <mergeCell ref="F44:G44"/>
    <mergeCell ref="H44:H45"/>
    <mergeCell ref="B51:B52"/>
    <mergeCell ref="D51:E51"/>
    <mergeCell ref="F51:G51"/>
    <mergeCell ref="H51:H52"/>
    <mergeCell ref="D40:E40"/>
    <mergeCell ref="F40:G40"/>
    <mergeCell ref="H40:H41"/>
    <mergeCell ref="A2:A7"/>
    <mergeCell ref="A8:A19"/>
    <mergeCell ref="A20:A26"/>
    <mergeCell ref="A27:A32"/>
    <mergeCell ref="A33:A39"/>
    <mergeCell ref="B27:B28"/>
    <mergeCell ref="D27:E27"/>
    <mergeCell ref="F27:G27"/>
    <mergeCell ref="H27:H28"/>
    <mergeCell ref="B33:B34"/>
    <mergeCell ref="D33:E33"/>
    <mergeCell ref="F33:G33"/>
    <mergeCell ref="H33:H34"/>
    <mergeCell ref="A69:A81"/>
    <mergeCell ref="A44:A50"/>
    <mergeCell ref="A51:A59"/>
    <mergeCell ref="A40:A43"/>
    <mergeCell ref="B40:B41"/>
    <mergeCell ref="A60:A68"/>
    <mergeCell ref="B44:B45"/>
    <mergeCell ref="B60:B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I153"/>
  <sheetViews>
    <sheetView zoomScaleNormal="100" workbookViewId="0">
      <pane xSplit="2" ySplit="4" topLeftCell="C5" activePane="bottomRight" state="frozen"/>
      <selection activeCell="E9" sqref="E9"/>
      <selection pane="topRight" activeCell="E9" sqref="E9"/>
      <selection pane="bottomLeft" activeCell="E9" sqref="E9"/>
      <selection pane="bottomRight" activeCell="E9" sqref="E9"/>
    </sheetView>
  </sheetViews>
  <sheetFormatPr defaultColWidth="9.140625" defaultRowHeight="15" zeroHeight="1" x14ac:dyDescent="0.25"/>
  <cols>
    <col min="1" max="1" width="9.140625" style="13" customWidth="1"/>
    <col min="2" max="2" width="33.28515625" style="4" customWidth="1"/>
    <col min="3" max="3" width="26.85546875" style="9" customWidth="1"/>
    <col min="4" max="4" width="19.7109375" customWidth="1"/>
    <col min="5" max="5" width="10.140625" style="9" customWidth="1"/>
    <col min="6" max="7" width="9.140625" style="9" customWidth="1"/>
    <col min="8" max="57" width="13.7109375" style="8" customWidth="1"/>
    <col min="58" max="60" width="17.42578125" style="13" customWidth="1"/>
    <col min="61" max="62" width="12.85546875" style="13" customWidth="1"/>
    <col min="63" max="70" width="12.42578125" style="13" customWidth="1"/>
    <col min="71" max="92" width="13.42578125" style="13" customWidth="1"/>
    <col min="93" max="112" width="12.42578125" style="13" customWidth="1"/>
    <col min="113" max="122" width="15.42578125" style="13" customWidth="1"/>
    <col min="123" max="138" width="12.42578125" style="13" customWidth="1"/>
    <col min="139" max="16384" width="9.140625" style="13"/>
  </cols>
  <sheetData>
    <row r="1" spans="1:139" s="3" customFormat="1" ht="26.25" customHeight="1" thickBot="1" x14ac:dyDescent="0.25">
      <c r="A1" s="505" t="s">
        <v>802</v>
      </c>
      <c r="B1" s="1043" t="s">
        <v>562</v>
      </c>
      <c r="C1" s="1044"/>
      <c r="D1" s="1044"/>
      <c r="E1" s="1044"/>
      <c r="F1" s="1045"/>
      <c r="G1" s="627"/>
      <c r="H1" s="1013" t="s">
        <v>751</v>
      </c>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013"/>
      <c r="AK1" s="1013"/>
      <c r="AL1" s="1013"/>
      <c r="AM1" s="1013"/>
      <c r="AN1" s="1013"/>
      <c r="AO1" s="1013"/>
      <c r="AP1" s="1013"/>
      <c r="AQ1" s="1013"/>
      <c r="AR1" s="1013"/>
      <c r="AS1" s="1013"/>
      <c r="AT1" s="1013"/>
      <c r="AU1" s="1013"/>
      <c r="AV1" s="1013"/>
      <c r="AW1" s="1013"/>
      <c r="AX1" s="1013"/>
      <c r="AY1" s="1013"/>
      <c r="AZ1" s="1013"/>
      <c r="BA1" s="1013"/>
      <c r="BB1" s="1013"/>
      <c r="BC1" s="1013"/>
      <c r="BD1" s="1013"/>
      <c r="BE1" s="1014"/>
      <c r="BF1" s="1046" t="s">
        <v>180</v>
      </c>
      <c r="BG1" s="1047"/>
      <c r="BH1" s="1048"/>
      <c r="BI1" s="1011" t="s">
        <v>61</v>
      </c>
      <c r="BJ1" s="1012"/>
      <c r="BK1" s="1015" t="s">
        <v>752</v>
      </c>
      <c r="BL1" s="1016"/>
      <c r="BM1" s="1016"/>
      <c r="BN1" s="1016"/>
      <c r="BO1" s="1016"/>
      <c r="BP1" s="1016"/>
      <c r="BQ1" s="1016"/>
      <c r="BR1" s="1016"/>
      <c r="BS1" s="1057" t="s">
        <v>965</v>
      </c>
      <c r="BT1" s="1058"/>
      <c r="BU1" s="1058"/>
      <c r="BV1" s="1058"/>
      <c r="BW1" s="1058"/>
      <c r="BX1" s="1058"/>
      <c r="BY1" s="1058"/>
      <c r="BZ1" s="1058"/>
      <c r="CA1" s="1058"/>
      <c r="CB1" s="1058"/>
      <c r="CC1" s="1058"/>
      <c r="CD1" s="1059"/>
      <c r="CE1" s="1057" t="s">
        <v>964</v>
      </c>
      <c r="CF1" s="1058"/>
      <c r="CG1" s="1058"/>
      <c r="CH1" s="1058"/>
      <c r="CI1" s="1058"/>
      <c r="CJ1" s="1058"/>
      <c r="CK1" s="1058"/>
      <c r="CL1" s="1058"/>
      <c r="CM1" s="1058"/>
      <c r="CN1" s="1059"/>
      <c r="CO1" s="1060" t="s">
        <v>921</v>
      </c>
      <c r="CP1" s="1060"/>
      <c r="CQ1" s="1060"/>
      <c r="CR1" s="1060"/>
      <c r="CS1" s="1060"/>
      <c r="CT1" s="1060"/>
      <c r="CU1" s="1060"/>
      <c r="CV1" s="1060"/>
      <c r="CW1" s="1060"/>
      <c r="CX1" s="1060"/>
      <c r="CY1" s="1060"/>
      <c r="CZ1" s="1060"/>
      <c r="DA1" s="1060"/>
      <c r="DB1" s="1060"/>
      <c r="DC1" s="646"/>
      <c r="DD1" s="646"/>
      <c r="DE1" s="646"/>
      <c r="DF1" s="646"/>
      <c r="DG1" s="646"/>
      <c r="DH1" s="646"/>
      <c r="DI1" s="1006" t="s">
        <v>799</v>
      </c>
      <c r="DJ1" s="1006"/>
      <c r="DK1" s="1006"/>
      <c r="DL1" s="1006"/>
      <c r="DM1" s="1006"/>
      <c r="DN1" s="1006"/>
      <c r="DO1" s="1006"/>
      <c r="DP1" s="1006"/>
      <c r="DQ1" s="1006"/>
      <c r="DR1" s="1007"/>
      <c r="DS1" s="1049" t="s">
        <v>426</v>
      </c>
      <c r="DT1" s="1050"/>
      <c r="DU1" s="1050"/>
      <c r="DV1" s="1050"/>
      <c r="DW1" s="1050"/>
      <c r="DX1" s="1050"/>
      <c r="DY1" s="1050"/>
      <c r="DZ1" s="1050"/>
      <c r="EA1" s="1050"/>
      <c r="EB1" s="1050"/>
      <c r="EC1" s="1050"/>
      <c r="ED1" s="1050"/>
      <c r="EE1" s="1050"/>
      <c r="EF1" s="1050"/>
      <c r="EG1" s="1050"/>
      <c r="EH1" s="1051"/>
    </row>
    <row r="2" spans="1:139" s="20" customFormat="1" ht="35.25" customHeight="1" thickBot="1" x14ac:dyDescent="0.25">
      <c r="A2" s="506" t="s">
        <v>560</v>
      </c>
      <c r="B2" s="237" t="s">
        <v>557</v>
      </c>
      <c r="C2" s="243"/>
      <c r="D2" s="243"/>
      <c r="E2" s="240" t="s">
        <v>559</v>
      </c>
      <c r="F2" s="240"/>
      <c r="G2" s="628"/>
      <c r="H2" s="264" t="s">
        <v>753</v>
      </c>
      <c r="I2" s="245" t="s">
        <v>754</v>
      </c>
      <c r="J2" s="264" t="s">
        <v>753</v>
      </c>
      <c r="K2" s="245" t="s">
        <v>754</v>
      </c>
      <c r="L2" s="245" t="s">
        <v>753</v>
      </c>
      <c r="M2" s="264" t="s">
        <v>753</v>
      </c>
      <c r="N2" s="245" t="s">
        <v>754</v>
      </c>
      <c r="O2" s="264" t="s">
        <v>753</v>
      </c>
      <c r="P2" s="245" t="s">
        <v>754</v>
      </c>
      <c r="Q2" s="245" t="s">
        <v>753</v>
      </c>
      <c r="R2" s="264" t="s">
        <v>753</v>
      </c>
      <c r="S2" s="245" t="s">
        <v>754</v>
      </c>
      <c r="T2" s="264" t="s">
        <v>753</v>
      </c>
      <c r="U2" s="245" t="s">
        <v>754</v>
      </c>
      <c r="V2" s="245" t="s">
        <v>753</v>
      </c>
      <c r="W2" s="264" t="s">
        <v>753</v>
      </c>
      <c r="X2" s="245" t="s">
        <v>754</v>
      </c>
      <c r="Y2" s="264" t="s">
        <v>753</v>
      </c>
      <c r="Z2" s="245" t="s">
        <v>754</v>
      </c>
      <c r="AA2" s="245" t="s">
        <v>753</v>
      </c>
      <c r="AB2" s="264" t="s">
        <v>753</v>
      </c>
      <c r="AC2" s="245" t="s">
        <v>754</v>
      </c>
      <c r="AD2" s="264" t="s">
        <v>753</v>
      </c>
      <c r="AE2" s="245" t="s">
        <v>754</v>
      </c>
      <c r="AF2" s="245" t="s">
        <v>753</v>
      </c>
      <c r="AG2" s="264" t="s">
        <v>753</v>
      </c>
      <c r="AH2" s="245" t="s">
        <v>754</v>
      </c>
      <c r="AI2" s="264" t="s">
        <v>753</v>
      </c>
      <c r="AJ2" s="245" t="s">
        <v>754</v>
      </c>
      <c r="AK2" s="245" t="s">
        <v>753</v>
      </c>
      <c r="AL2" s="264" t="s">
        <v>753</v>
      </c>
      <c r="AM2" s="245" t="s">
        <v>754</v>
      </c>
      <c r="AN2" s="264" t="s">
        <v>753</v>
      </c>
      <c r="AO2" s="245" t="s">
        <v>754</v>
      </c>
      <c r="AP2" s="245" t="s">
        <v>753</v>
      </c>
      <c r="AQ2" s="264" t="s">
        <v>753</v>
      </c>
      <c r="AR2" s="245" t="s">
        <v>754</v>
      </c>
      <c r="AS2" s="264" t="s">
        <v>753</v>
      </c>
      <c r="AT2" s="245" t="s">
        <v>754</v>
      </c>
      <c r="AU2" s="245" t="s">
        <v>753</v>
      </c>
      <c r="AV2" s="264" t="s">
        <v>753</v>
      </c>
      <c r="AW2" s="245" t="s">
        <v>754</v>
      </c>
      <c r="AX2" s="264" t="s">
        <v>753</v>
      </c>
      <c r="AY2" s="245" t="s">
        <v>754</v>
      </c>
      <c r="AZ2" s="245" t="s">
        <v>753</v>
      </c>
      <c r="BA2" s="264" t="s">
        <v>753</v>
      </c>
      <c r="BB2" s="245" t="s">
        <v>754</v>
      </c>
      <c r="BC2" s="264" t="s">
        <v>753</v>
      </c>
      <c r="BD2" s="245" t="s">
        <v>754</v>
      </c>
      <c r="BE2" s="245" t="s">
        <v>753</v>
      </c>
      <c r="BF2" s="694" t="s">
        <v>1045</v>
      </c>
      <c r="BG2" s="487" t="s">
        <v>1057</v>
      </c>
      <c r="BH2" s="487" t="s">
        <v>564</v>
      </c>
      <c r="BI2" s="255" t="s">
        <v>755</v>
      </c>
      <c r="BJ2" s="256" t="s">
        <v>780</v>
      </c>
      <c r="BK2" s="989" t="s">
        <v>756</v>
      </c>
      <c r="BL2" s="990"/>
      <c r="BM2" s="990"/>
      <c r="BN2" s="990"/>
      <c r="BO2" s="990"/>
      <c r="BP2" s="990"/>
      <c r="BQ2" s="990"/>
      <c r="BR2" s="990"/>
      <c r="BS2" s="731"/>
      <c r="BT2" s="595"/>
      <c r="BU2" s="595"/>
      <c r="BV2" s="595"/>
      <c r="BW2" s="595"/>
      <c r="BX2" s="595"/>
      <c r="BY2" s="595"/>
      <c r="BZ2" s="595"/>
      <c r="CA2" s="595"/>
      <c r="CB2" s="485"/>
      <c r="CC2" s="485"/>
      <c r="CD2" s="596"/>
      <c r="CE2" s="731"/>
      <c r="CF2" s="595"/>
      <c r="CG2" s="595"/>
      <c r="CH2" s="595"/>
      <c r="CI2" s="595"/>
      <c r="CJ2" s="595"/>
      <c r="CK2" s="595"/>
      <c r="CL2" s="595"/>
      <c r="CM2" s="595"/>
      <c r="CN2" s="596"/>
      <c r="CO2" s="1053" t="s">
        <v>959</v>
      </c>
      <c r="CP2" s="1053"/>
      <c r="CQ2" s="1053"/>
      <c r="CR2" s="1053"/>
      <c r="CS2" s="1053"/>
      <c r="CT2" s="1053"/>
      <c r="CU2" s="1056"/>
      <c r="CV2" s="1052" t="s">
        <v>960</v>
      </c>
      <c r="CW2" s="1053"/>
      <c r="CX2" s="1053"/>
      <c r="CY2" s="1053"/>
      <c r="CZ2" s="1053"/>
      <c r="DA2" s="1053"/>
      <c r="DB2" s="1056"/>
      <c r="DC2" s="1052" t="s">
        <v>978</v>
      </c>
      <c r="DD2" s="1053"/>
      <c r="DE2" s="1053"/>
      <c r="DF2" s="1053"/>
      <c r="DG2" s="1053" t="s">
        <v>970</v>
      </c>
      <c r="DH2" s="1053"/>
      <c r="DI2" s="991" t="s">
        <v>757</v>
      </c>
      <c r="DJ2" s="992"/>
      <c r="DK2" s="992"/>
      <c r="DL2" s="992"/>
      <c r="DM2" s="992"/>
      <c r="DN2" s="992"/>
      <c r="DO2" s="992"/>
      <c r="DP2" s="992"/>
      <c r="DQ2" s="992"/>
      <c r="DR2" s="993"/>
      <c r="DS2" s="475"/>
      <c r="DT2" s="994" t="s">
        <v>770</v>
      </c>
      <c r="DU2" s="995"/>
      <c r="DV2" s="995"/>
      <c r="DW2" s="995"/>
      <c r="DX2" s="996"/>
      <c r="DY2" s="994" t="s">
        <v>771</v>
      </c>
      <c r="DZ2" s="995"/>
      <c r="EA2" s="995"/>
      <c r="EB2" s="995"/>
      <c r="EC2" s="996"/>
      <c r="ED2" s="994" t="s">
        <v>772</v>
      </c>
      <c r="EE2" s="995"/>
      <c r="EF2" s="995"/>
      <c r="EG2" s="995"/>
      <c r="EH2" s="996"/>
    </row>
    <row r="3" spans="1:139" s="3" customFormat="1" ht="48" customHeight="1" x14ac:dyDescent="0.2">
      <c r="A3" s="507" t="s">
        <v>581</v>
      </c>
      <c r="B3" s="247"/>
      <c r="C3" s="241"/>
      <c r="D3" s="241"/>
      <c r="E3" s="241" t="s">
        <v>750</v>
      </c>
      <c r="F3" s="241"/>
      <c r="G3" s="629"/>
      <c r="H3" s="249"/>
      <c r="I3" s="250"/>
      <c r="J3" s="250"/>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695"/>
      <c r="BG3" s="695"/>
      <c r="BH3" s="695" t="s">
        <v>565</v>
      </c>
      <c r="BI3" s="476"/>
      <c r="BJ3" s="477"/>
      <c r="BK3" s="599" t="s">
        <v>931</v>
      </c>
      <c r="BL3" s="599" t="s">
        <v>918</v>
      </c>
      <c r="BM3" s="604" t="s">
        <v>919</v>
      </c>
      <c r="BN3" s="605" t="s">
        <v>920</v>
      </c>
      <c r="BO3" s="608" t="s">
        <v>917</v>
      </c>
      <c r="BP3" s="608" t="s">
        <v>918</v>
      </c>
      <c r="BQ3" s="599"/>
      <c r="BR3" s="599"/>
      <c r="BS3" s="732" t="s">
        <v>917</v>
      </c>
      <c r="BT3" s="485" t="s">
        <v>918</v>
      </c>
      <c r="BU3" s="485" t="s">
        <v>917</v>
      </c>
      <c r="BV3" s="485" t="s">
        <v>918</v>
      </c>
      <c r="BW3" s="485" t="s">
        <v>917</v>
      </c>
      <c r="BX3" s="485" t="s">
        <v>918</v>
      </c>
      <c r="BY3" s="485" t="s">
        <v>917</v>
      </c>
      <c r="BZ3" s="485" t="s">
        <v>918</v>
      </c>
      <c r="CA3" s="485" t="s">
        <v>917</v>
      </c>
      <c r="CB3" s="485" t="s">
        <v>918</v>
      </c>
      <c r="CC3" s="485"/>
      <c r="CD3" s="527"/>
      <c r="CE3" s="732" t="s">
        <v>917</v>
      </c>
      <c r="CF3" s="485" t="s">
        <v>918</v>
      </c>
      <c r="CG3" s="485" t="s">
        <v>917</v>
      </c>
      <c r="CH3" s="485" t="s">
        <v>918</v>
      </c>
      <c r="CI3" s="485" t="s">
        <v>917</v>
      </c>
      <c r="CJ3" s="485" t="s">
        <v>918</v>
      </c>
      <c r="CK3" s="485" t="s">
        <v>917</v>
      </c>
      <c r="CL3" s="485" t="s">
        <v>918</v>
      </c>
      <c r="CM3" s="485" t="s">
        <v>917</v>
      </c>
      <c r="CN3" s="527" t="s">
        <v>918</v>
      </c>
      <c r="CO3" s="1055" t="s">
        <v>961</v>
      </c>
      <c r="CP3" s="1055"/>
      <c r="CQ3" s="1055" t="s">
        <v>962</v>
      </c>
      <c r="CR3" s="1055"/>
      <c r="CS3" s="1055" t="s">
        <v>963</v>
      </c>
      <c r="CT3" s="1055"/>
      <c r="CU3" s="744"/>
      <c r="CV3" s="1055" t="s">
        <v>961</v>
      </c>
      <c r="CW3" s="1055"/>
      <c r="CX3" s="1055" t="s">
        <v>962</v>
      </c>
      <c r="CY3" s="1055"/>
      <c r="CZ3" s="1055" t="s">
        <v>963</v>
      </c>
      <c r="DA3" s="1055"/>
      <c r="DB3" s="744"/>
      <c r="DC3" s="1054" t="s">
        <v>959</v>
      </c>
      <c r="DD3" s="1054"/>
      <c r="DE3" s="1054" t="s">
        <v>960</v>
      </c>
      <c r="DF3" s="1054"/>
      <c r="DG3" s="653" t="s">
        <v>959</v>
      </c>
      <c r="DH3" s="653" t="s">
        <v>960</v>
      </c>
      <c r="DI3" s="480"/>
      <c r="DJ3" s="478"/>
      <c r="DK3" s="478"/>
      <c r="DL3" s="478"/>
      <c r="DM3" s="478"/>
      <c r="DN3" s="478"/>
      <c r="DO3" s="478"/>
      <c r="DP3" s="478"/>
      <c r="DQ3" s="478"/>
      <c r="DR3" s="478"/>
      <c r="DS3" s="481"/>
      <c r="DT3" s="481"/>
      <c r="DU3" s="481"/>
      <c r="DV3" s="481"/>
      <c r="DW3" s="481"/>
      <c r="DX3" s="481"/>
      <c r="DY3" s="481"/>
      <c r="DZ3" s="481"/>
      <c r="EA3" s="481"/>
      <c r="EB3" s="481"/>
      <c r="EC3" s="481"/>
      <c r="ED3" s="481"/>
      <c r="EE3" s="481"/>
      <c r="EF3" s="481"/>
      <c r="EG3" s="481"/>
      <c r="EH3" s="481"/>
    </row>
    <row r="4" spans="1:139" s="503" customFormat="1" ht="51" customHeight="1" thickBot="1" x14ac:dyDescent="0.3">
      <c r="A4" s="508" t="s">
        <v>561</v>
      </c>
      <c r="B4" s="489" t="s">
        <v>555</v>
      </c>
      <c r="C4" s="490" t="s">
        <v>601</v>
      </c>
      <c r="D4" s="490" t="s">
        <v>76</v>
      </c>
      <c r="E4" s="491" t="s">
        <v>558</v>
      </c>
      <c r="F4" s="491" t="s">
        <v>935</v>
      </c>
      <c r="G4" s="491" t="s">
        <v>934</v>
      </c>
      <c r="H4" s="493" t="s">
        <v>810</v>
      </c>
      <c r="I4" s="494" t="s">
        <v>176</v>
      </c>
      <c r="J4" s="494" t="s">
        <v>613</v>
      </c>
      <c r="K4" s="494" t="s">
        <v>154</v>
      </c>
      <c r="L4" s="494" t="s">
        <v>153</v>
      </c>
      <c r="M4" s="494" t="s">
        <v>811</v>
      </c>
      <c r="N4" s="494" t="s">
        <v>155</v>
      </c>
      <c r="O4" s="494" t="s">
        <v>612</v>
      </c>
      <c r="P4" s="494" t="s">
        <v>156</v>
      </c>
      <c r="Q4" s="494" t="s">
        <v>157</v>
      </c>
      <c r="R4" s="494" t="s">
        <v>812</v>
      </c>
      <c r="S4" s="494" t="s">
        <v>158</v>
      </c>
      <c r="T4" s="494" t="s">
        <v>611</v>
      </c>
      <c r="U4" s="494" t="s">
        <v>159</v>
      </c>
      <c r="V4" s="494" t="s">
        <v>160</v>
      </c>
      <c r="W4" s="494" t="s">
        <v>813</v>
      </c>
      <c r="X4" s="494" t="s">
        <v>387</v>
      </c>
      <c r="Y4" s="494" t="s">
        <v>610</v>
      </c>
      <c r="Z4" s="494" t="s">
        <v>388</v>
      </c>
      <c r="AA4" s="494" t="s">
        <v>389</v>
      </c>
      <c r="AB4" s="494" t="s">
        <v>814</v>
      </c>
      <c r="AC4" s="494" t="s">
        <v>161</v>
      </c>
      <c r="AD4" s="494" t="s">
        <v>609</v>
      </c>
      <c r="AE4" s="494" t="s">
        <v>162</v>
      </c>
      <c r="AF4" s="494" t="s">
        <v>163</v>
      </c>
      <c r="AG4" s="494" t="s">
        <v>815</v>
      </c>
      <c r="AH4" s="494" t="s">
        <v>164</v>
      </c>
      <c r="AI4" s="494" t="s">
        <v>608</v>
      </c>
      <c r="AJ4" s="494" t="s">
        <v>165</v>
      </c>
      <c r="AK4" s="494" t="s">
        <v>166</v>
      </c>
      <c r="AL4" s="494" t="s">
        <v>816</v>
      </c>
      <c r="AM4" s="494" t="s">
        <v>167</v>
      </c>
      <c r="AN4" s="494" t="s">
        <v>607</v>
      </c>
      <c r="AO4" s="494" t="s">
        <v>168</v>
      </c>
      <c r="AP4" s="494" t="s">
        <v>169</v>
      </c>
      <c r="AQ4" s="494" t="s">
        <v>817</v>
      </c>
      <c r="AR4" s="494" t="s">
        <v>170</v>
      </c>
      <c r="AS4" s="494" t="s">
        <v>606</v>
      </c>
      <c r="AT4" s="494" t="s">
        <v>171</v>
      </c>
      <c r="AU4" s="494" t="s">
        <v>172</v>
      </c>
      <c r="AV4" s="494" t="s">
        <v>818</v>
      </c>
      <c r="AW4" s="494" t="s">
        <v>390</v>
      </c>
      <c r="AX4" s="494" t="s">
        <v>605</v>
      </c>
      <c r="AY4" s="494" t="s">
        <v>391</v>
      </c>
      <c r="AZ4" s="494" t="s">
        <v>392</v>
      </c>
      <c r="BA4" s="494" t="s">
        <v>819</v>
      </c>
      <c r="BB4" s="494" t="s">
        <v>173</v>
      </c>
      <c r="BC4" s="494" t="s">
        <v>604</v>
      </c>
      <c r="BD4" s="494" t="s">
        <v>174</v>
      </c>
      <c r="BE4" s="494" t="s">
        <v>175</v>
      </c>
      <c r="BF4" s="696" t="s">
        <v>1044</v>
      </c>
      <c r="BG4" s="495" t="s">
        <v>1049</v>
      </c>
      <c r="BH4" s="495" t="s">
        <v>1047</v>
      </c>
      <c r="BI4" s="496" t="s">
        <v>652</v>
      </c>
      <c r="BJ4" s="496" t="s">
        <v>759</v>
      </c>
      <c r="BK4" s="598" t="s">
        <v>588</v>
      </c>
      <c r="BL4" s="598"/>
      <c r="BM4" s="598" t="s">
        <v>180</v>
      </c>
      <c r="BN4" s="598"/>
      <c r="BO4" s="598" t="s">
        <v>1</v>
      </c>
      <c r="BP4" s="479"/>
      <c r="BQ4" s="620" t="s">
        <v>760</v>
      </c>
      <c r="BR4" s="621" t="s">
        <v>761</v>
      </c>
      <c r="BS4" s="497" t="s">
        <v>1007</v>
      </c>
      <c r="BT4" s="497" t="s">
        <v>1008</v>
      </c>
      <c r="BU4" s="498" t="s">
        <v>1009</v>
      </c>
      <c r="BV4" s="498" t="s">
        <v>1010</v>
      </c>
      <c r="BW4" s="498" t="s">
        <v>1011</v>
      </c>
      <c r="BX4" s="498" t="s">
        <v>1012</v>
      </c>
      <c r="BY4" s="498" t="s">
        <v>1013</v>
      </c>
      <c r="BZ4" s="498" t="s">
        <v>1014</v>
      </c>
      <c r="CA4" s="650" t="s">
        <v>1015</v>
      </c>
      <c r="CB4" s="652" t="s">
        <v>1016</v>
      </c>
      <c r="CC4" s="652" t="s">
        <v>1101</v>
      </c>
      <c r="CD4" s="651" t="s">
        <v>601</v>
      </c>
      <c r="CE4" s="497" t="s">
        <v>1019</v>
      </c>
      <c r="CF4" s="497" t="s">
        <v>1020</v>
      </c>
      <c r="CG4" s="498" t="s">
        <v>1021</v>
      </c>
      <c r="CH4" s="498" t="s">
        <v>1022</v>
      </c>
      <c r="CI4" s="498" t="s">
        <v>1023</v>
      </c>
      <c r="CJ4" s="498" t="s">
        <v>1024</v>
      </c>
      <c r="CK4" s="498" t="s">
        <v>1025</v>
      </c>
      <c r="CL4" s="498" t="s">
        <v>1026</v>
      </c>
      <c r="CM4" s="499" t="s">
        <v>1027</v>
      </c>
      <c r="CN4" s="499" t="s">
        <v>1028</v>
      </c>
      <c r="CO4" s="631" t="s">
        <v>1084</v>
      </c>
      <c r="CP4" s="631" t="s">
        <v>1085</v>
      </c>
      <c r="CQ4" s="631" t="s">
        <v>1086</v>
      </c>
      <c r="CR4" s="631" t="s">
        <v>1087</v>
      </c>
      <c r="CS4" s="631" t="s">
        <v>1088</v>
      </c>
      <c r="CT4" s="631" t="s">
        <v>1089</v>
      </c>
      <c r="CU4" s="632" t="s">
        <v>278</v>
      </c>
      <c r="CV4" s="631" t="s">
        <v>1090</v>
      </c>
      <c r="CW4" s="631" t="s">
        <v>1091</v>
      </c>
      <c r="CX4" s="631" t="s">
        <v>1092</v>
      </c>
      <c r="CY4" s="631" t="s">
        <v>1093</v>
      </c>
      <c r="CZ4" s="631" t="s">
        <v>1094</v>
      </c>
      <c r="DA4" s="631" t="s">
        <v>1094</v>
      </c>
      <c r="DB4" s="632" t="s">
        <v>278</v>
      </c>
      <c r="DC4" s="631" t="s">
        <v>1088</v>
      </c>
      <c r="DD4" s="631" t="s">
        <v>1089</v>
      </c>
      <c r="DE4" s="631" t="s">
        <v>1094</v>
      </c>
      <c r="DF4" s="631" t="s">
        <v>1095</v>
      </c>
      <c r="DG4" s="631" t="s">
        <v>1096</v>
      </c>
      <c r="DH4" s="631" t="s">
        <v>1097</v>
      </c>
      <c r="DI4" s="500" t="s">
        <v>762</v>
      </c>
      <c r="DJ4" s="501" t="s">
        <v>758</v>
      </c>
      <c r="DK4" s="501" t="s">
        <v>428</v>
      </c>
      <c r="DL4" s="501" t="s">
        <v>763</v>
      </c>
      <c r="DM4" s="501" t="s">
        <v>764</v>
      </c>
      <c r="DN4" s="501" t="s">
        <v>765</v>
      </c>
      <c r="DO4" s="501" t="s">
        <v>766</v>
      </c>
      <c r="DP4" s="501" t="s">
        <v>767</v>
      </c>
      <c r="DQ4" s="501" t="s">
        <v>768</v>
      </c>
      <c r="DR4" s="501" t="s">
        <v>769</v>
      </c>
      <c r="DS4" s="509" t="s">
        <v>622</v>
      </c>
      <c r="DT4" s="502" t="s">
        <v>455</v>
      </c>
      <c r="DU4" s="502" t="s">
        <v>456</v>
      </c>
      <c r="DV4" s="494" t="s">
        <v>462</v>
      </c>
      <c r="DW4" s="502" t="s">
        <v>577</v>
      </c>
      <c r="DX4" s="502" t="s">
        <v>578</v>
      </c>
      <c r="DY4" s="502" t="s">
        <v>459</v>
      </c>
      <c r="DZ4" s="502" t="s">
        <v>460</v>
      </c>
      <c r="EA4" s="494" t="s">
        <v>461</v>
      </c>
      <c r="EB4" s="502" t="s">
        <v>570</v>
      </c>
      <c r="EC4" s="502" t="s">
        <v>571</v>
      </c>
      <c r="ED4" s="502" t="s">
        <v>572</v>
      </c>
      <c r="EE4" s="502" t="s">
        <v>573</v>
      </c>
      <c r="EF4" s="494" t="s">
        <v>574</v>
      </c>
      <c r="EG4" s="502" t="s">
        <v>575</v>
      </c>
      <c r="EH4" s="502" t="s">
        <v>576</v>
      </c>
    </row>
    <row r="5" spans="1:139" s="8" customFormat="1" ht="15" customHeight="1" x14ac:dyDescent="0.25">
      <c r="A5" s="8">
        <v>1</v>
      </c>
      <c r="B5" s="4" t="s">
        <v>694</v>
      </c>
      <c r="C5" s="4"/>
      <c r="D5" s="4" t="s">
        <v>78</v>
      </c>
      <c r="E5" s="4" t="s">
        <v>73</v>
      </c>
      <c r="F5" s="9" t="s">
        <v>8</v>
      </c>
      <c r="G5" s="9" t="s">
        <v>6</v>
      </c>
      <c r="H5" s="556">
        <v>10001</v>
      </c>
      <c r="I5" s="556">
        <v>10002</v>
      </c>
      <c r="J5" s="556">
        <v>10003</v>
      </c>
      <c r="K5" s="556">
        <v>10004</v>
      </c>
      <c r="L5" s="556">
        <v>10005</v>
      </c>
      <c r="M5" s="556">
        <v>10001</v>
      </c>
      <c r="N5" s="556">
        <v>10002</v>
      </c>
      <c r="O5" s="556">
        <v>10003</v>
      </c>
      <c r="P5" s="556">
        <v>10004</v>
      </c>
      <c r="Q5" s="556">
        <v>10005</v>
      </c>
      <c r="R5" s="556">
        <v>10001</v>
      </c>
      <c r="S5" s="556">
        <v>10002</v>
      </c>
      <c r="T5" s="556">
        <v>10003</v>
      </c>
      <c r="U5" s="556">
        <v>10004</v>
      </c>
      <c r="V5" s="556">
        <v>10005</v>
      </c>
      <c r="W5" s="556" t="s">
        <v>837</v>
      </c>
      <c r="X5" s="556" t="s">
        <v>837</v>
      </c>
      <c r="Y5" s="556" t="s">
        <v>837</v>
      </c>
      <c r="Z5" s="556" t="s">
        <v>837</v>
      </c>
      <c r="AA5" s="556" t="s">
        <v>837</v>
      </c>
      <c r="AB5" s="556">
        <v>10001</v>
      </c>
      <c r="AC5" s="556">
        <v>10002</v>
      </c>
      <c r="AD5" s="556">
        <v>10003</v>
      </c>
      <c r="AE5" s="556">
        <v>10004</v>
      </c>
      <c r="AF5" s="556">
        <v>10005</v>
      </c>
      <c r="AG5" s="556" t="s">
        <v>837</v>
      </c>
      <c r="AH5" s="556" t="s">
        <v>837</v>
      </c>
      <c r="AI5" s="556" t="s">
        <v>837</v>
      </c>
      <c r="AJ5" s="556" t="s">
        <v>837</v>
      </c>
      <c r="AK5" s="556" t="s">
        <v>837</v>
      </c>
      <c r="AL5" s="556" t="s">
        <v>837</v>
      </c>
      <c r="AM5" s="556" t="s">
        <v>837</v>
      </c>
      <c r="AN5" s="556" t="s">
        <v>837</v>
      </c>
      <c r="AO5" s="556" t="s">
        <v>837</v>
      </c>
      <c r="AP5" s="556" t="s">
        <v>837</v>
      </c>
      <c r="AQ5" s="556" t="s">
        <v>837</v>
      </c>
      <c r="AR5" s="556" t="s">
        <v>837</v>
      </c>
      <c r="AS5" s="556" t="s">
        <v>837</v>
      </c>
      <c r="AT5" s="556" t="s">
        <v>837</v>
      </c>
      <c r="AU5" s="556" t="s">
        <v>837</v>
      </c>
      <c r="AV5" s="556" t="s">
        <v>837</v>
      </c>
      <c r="AW5" s="556" t="s">
        <v>837</v>
      </c>
      <c r="AX5" s="556" t="s">
        <v>837</v>
      </c>
      <c r="AY5" s="556" t="s">
        <v>837</v>
      </c>
      <c r="AZ5" s="556" t="s">
        <v>837</v>
      </c>
      <c r="BA5" s="556" t="s">
        <v>837</v>
      </c>
      <c r="BB5" s="556" t="s">
        <v>837</v>
      </c>
      <c r="BC5" s="556" t="s">
        <v>837</v>
      </c>
      <c r="BD5" s="556" t="s">
        <v>837</v>
      </c>
      <c r="BE5" s="556" t="s">
        <v>837</v>
      </c>
      <c r="BF5" s="612">
        <v>20003</v>
      </c>
      <c r="BG5" s="612">
        <v>20002</v>
      </c>
      <c r="BH5" s="612">
        <v>20001</v>
      </c>
      <c r="BI5" s="543"/>
      <c r="BJ5" s="543"/>
      <c r="BK5" s="553">
        <v>40101</v>
      </c>
      <c r="BL5" s="612">
        <v>40101</v>
      </c>
      <c r="BM5" s="553">
        <v>40001</v>
      </c>
      <c r="BN5" s="612">
        <v>40001</v>
      </c>
      <c r="BO5" s="553"/>
      <c r="BP5" s="612"/>
      <c r="BQ5" s="558"/>
      <c r="BR5" s="558"/>
      <c r="BS5" s="755">
        <v>80000</v>
      </c>
      <c r="BT5" s="756">
        <v>80000</v>
      </c>
      <c r="BU5" s="756">
        <v>80000</v>
      </c>
      <c r="BV5" s="756">
        <v>80000</v>
      </c>
      <c r="BW5" s="756">
        <v>80000</v>
      </c>
      <c r="BX5" s="756">
        <v>80000</v>
      </c>
      <c r="BY5" s="756">
        <v>80000</v>
      </c>
      <c r="BZ5" s="756">
        <v>80000</v>
      </c>
      <c r="CA5" s="756">
        <v>80000</v>
      </c>
      <c r="CB5" s="756">
        <v>80000</v>
      </c>
      <c r="CC5" s="756">
        <v>80000</v>
      </c>
      <c r="CD5" s="757"/>
      <c r="CE5" s="755">
        <v>80000</v>
      </c>
      <c r="CF5" s="756">
        <v>80000</v>
      </c>
      <c r="CG5" s="756">
        <v>80000</v>
      </c>
      <c r="CH5" s="756">
        <v>80000</v>
      </c>
      <c r="CI5" s="756">
        <v>80000</v>
      </c>
      <c r="CJ5" s="756">
        <v>80000</v>
      </c>
      <c r="CK5" s="756">
        <v>80000</v>
      </c>
      <c r="CL5" s="756">
        <v>80000</v>
      </c>
      <c r="CM5" s="756">
        <v>80000</v>
      </c>
      <c r="CN5" s="757">
        <v>80000</v>
      </c>
      <c r="CO5" s="643"/>
      <c r="CP5" s="643"/>
      <c r="CQ5" s="643"/>
      <c r="CR5" s="643"/>
      <c r="CS5" s="643"/>
      <c r="CT5" s="643"/>
      <c r="CU5" s="643"/>
      <c r="CV5" s="643"/>
      <c r="CW5" s="643"/>
      <c r="CX5" s="643"/>
      <c r="CY5" s="643"/>
      <c r="CZ5" s="643"/>
      <c r="DA5" s="643"/>
      <c r="DB5" s="643"/>
      <c r="DC5" s="643"/>
      <c r="DD5" s="643"/>
      <c r="DE5" s="643"/>
      <c r="DF5" s="643"/>
      <c r="DG5" s="643"/>
      <c r="DH5" s="643"/>
      <c r="DI5" s="636">
        <v>50001</v>
      </c>
      <c r="DJ5" s="636">
        <v>50001</v>
      </c>
      <c r="DK5" s="636">
        <v>50001</v>
      </c>
      <c r="DL5" s="636">
        <v>50001</v>
      </c>
      <c r="DM5" s="636">
        <v>50001</v>
      </c>
      <c r="DN5" s="636">
        <v>50001</v>
      </c>
      <c r="DO5" s="636">
        <v>50001</v>
      </c>
      <c r="DP5" s="543">
        <v>50001</v>
      </c>
      <c r="DQ5" s="543">
        <v>50001</v>
      </c>
      <c r="DR5" s="543">
        <v>50001</v>
      </c>
      <c r="DS5" s="543">
        <v>60100</v>
      </c>
      <c r="DT5" s="543">
        <v>60101</v>
      </c>
      <c r="DU5" s="543">
        <v>60101</v>
      </c>
      <c r="DV5" s="543">
        <v>60101</v>
      </c>
      <c r="DW5" s="543">
        <v>60101</v>
      </c>
      <c r="DX5" s="543">
        <v>60101</v>
      </c>
      <c r="DY5" s="543">
        <v>60102</v>
      </c>
      <c r="DZ5" s="543">
        <v>60102</v>
      </c>
      <c r="EA5" s="543">
        <v>60102</v>
      </c>
      <c r="EB5" s="543">
        <v>60103</v>
      </c>
      <c r="EC5" s="543">
        <v>60103</v>
      </c>
      <c r="ED5" s="543">
        <v>60104</v>
      </c>
      <c r="EE5" s="543">
        <v>60104</v>
      </c>
      <c r="EF5" s="543"/>
      <c r="EG5" s="543"/>
      <c r="EH5" s="543"/>
    </row>
    <row r="6" spans="1:139" s="8" customFormat="1" x14ac:dyDescent="0.25">
      <c r="A6" s="8">
        <v>2</v>
      </c>
      <c r="B6" s="4" t="s">
        <v>62</v>
      </c>
      <c r="C6" s="4"/>
      <c r="D6" s="4" t="s">
        <v>55</v>
      </c>
      <c r="E6" s="4" t="s">
        <v>73</v>
      </c>
      <c r="F6" s="19" t="s">
        <v>8</v>
      </c>
      <c r="G6" s="19" t="s">
        <v>837</v>
      </c>
      <c r="H6" s="556" t="s">
        <v>837</v>
      </c>
      <c r="I6" s="556">
        <v>10002</v>
      </c>
      <c r="J6" s="556" t="s">
        <v>837</v>
      </c>
      <c r="K6" s="556">
        <v>10004</v>
      </c>
      <c r="L6" s="556">
        <v>10005</v>
      </c>
      <c r="M6" s="556" t="s">
        <v>837</v>
      </c>
      <c r="N6" s="556">
        <v>10002</v>
      </c>
      <c r="O6" s="556" t="s">
        <v>837</v>
      </c>
      <c r="P6" s="556">
        <v>10004</v>
      </c>
      <c r="Q6" s="556">
        <v>10005</v>
      </c>
      <c r="R6" s="556" t="s">
        <v>837</v>
      </c>
      <c r="S6" s="556">
        <v>10002</v>
      </c>
      <c r="T6" s="556" t="s">
        <v>837</v>
      </c>
      <c r="U6" s="556">
        <v>10004</v>
      </c>
      <c r="V6" s="556">
        <v>10005</v>
      </c>
      <c r="W6" s="556" t="s">
        <v>837</v>
      </c>
      <c r="X6" s="556" t="s">
        <v>837</v>
      </c>
      <c r="Y6" s="556" t="s">
        <v>837</v>
      </c>
      <c r="Z6" s="556" t="s">
        <v>837</v>
      </c>
      <c r="AA6" s="556" t="s">
        <v>837</v>
      </c>
      <c r="AB6" s="556" t="s">
        <v>837</v>
      </c>
      <c r="AC6" s="556">
        <v>10002</v>
      </c>
      <c r="AD6" s="556" t="s">
        <v>837</v>
      </c>
      <c r="AE6" s="556">
        <v>10004</v>
      </c>
      <c r="AF6" s="556">
        <v>10005</v>
      </c>
      <c r="AG6" s="556" t="s">
        <v>837</v>
      </c>
      <c r="AH6" s="556" t="s">
        <v>837</v>
      </c>
      <c r="AI6" s="556" t="s">
        <v>837</v>
      </c>
      <c r="AJ6" s="556" t="s">
        <v>837</v>
      </c>
      <c r="AK6" s="556" t="s">
        <v>837</v>
      </c>
      <c r="AL6" s="556" t="s">
        <v>837</v>
      </c>
      <c r="AM6" s="556" t="s">
        <v>837</v>
      </c>
      <c r="AN6" s="556" t="s">
        <v>837</v>
      </c>
      <c r="AO6" s="556" t="s">
        <v>837</v>
      </c>
      <c r="AP6" s="556" t="s">
        <v>837</v>
      </c>
      <c r="AQ6" s="556" t="s">
        <v>837</v>
      </c>
      <c r="AR6" s="556" t="s">
        <v>837</v>
      </c>
      <c r="AS6" s="556" t="s">
        <v>837</v>
      </c>
      <c r="AT6" s="556" t="s">
        <v>837</v>
      </c>
      <c r="AU6" s="556" t="s">
        <v>837</v>
      </c>
      <c r="AV6" s="556" t="s">
        <v>837</v>
      </c>
      <c r="AW6" s="556" t="s">
        <v>837</v>
      </c>
      <c r="AX6" s="556" t="s">
        <v>837</v>
      </c>
      <c r="AY6" s="556" t="s">
        <v>837</v>
      </c>
      <c r="AZ6" s="556" t="s">
        <v>837</v>
      </c>
      <c r="BA6" s="556" t="s">
        <v>837</v>
      </c>
      <c r="BB6" s="556" t="s">
        <v>837</v>
      </c>
      <c r="BC6" s="556" t="s">
        <v>837</v>
      </c>
      <c r="BD6" s="556" t="s">
        <v>837</v>
      </c>
      <c r="BE6" s="556" t="s">
        <v>837</v>
      </c>
      <c r="BF6" s="636"/>
      <c r="BG6" s="636"/>
      <c r="BH6" s="636"/>
      <c r="BI6" s="543"/>
      <c r="BJ6" s="543"/>
      <c r="BK6" s="544"/>
      <c r="BL6" s="601"/>
      <c r="BM6" s="553" t="s">
        <v>837</v>
      </c>
      <c r="BN6" s="612" t="s">
        <v>837</v>
      </c>
      <c r="BO6" s="544">
        <v>40201</v>
      </c>
      <c r="BP6" s="610">
        <v>40201</v>
      </c>
      <c r="BQ6" s="558"/>
      <c r="BR6" s="558"/>
      <c r="BS6" s="741"/>
      <c r="BT6" s="648"/>
      <c r="BU6" s="648"/>
      <c r="BV6" s="648"/>
      <c r="BW6" s="648"/>
      <c r="BX6" s="648"/>
      <c r="BY6" s="648"/>
      <c r="BZ6" s="648"/>
      <c r="CA6" s="648"/>
      <c r="CB6" s="648"/>
      <c r="CC6" s="648"/>
      <c r="CD6" s="597"/>
      <c r="CE6" s="733"/>
      <c r="CF6" s="642"/>
      <c r="CG6" s="642"/>
      <c r="CH6" s="642"/>
      <c r="CI6" s="642"/>
      <c r="CJ6" s="642"/>
      <c r="CK6" s="642"/>
      <c r="CL6" s="642"/>
      <c r="CM6" s="642"/>
      <c r="CN6" s="597"/>
      <c r="CO6" s="643"/>
      <c r="CP6" s="643"/>
      <c r="CQ6" s="643"/>
      <c r="CR6" s="643"/>
      <c r="CS6" s="643"/>
      <c r="CT6" s="643"/>
      <c r="CU6" s="643"/>
      <c r="CV6" s="643"/>
      <c r="CW6" s="643"/>
      <c r="CX6" s="643"/>
      <c r="CY6" s="643"/>
      <c r="CZ6" s="643"/>
      <c r="DA6" s="643"/>
      <c r="DB6" s="643"/>
      <c r="DC6" s="643"/>
      <c r="DD6" s="643"/>
      <c r="DE6" s="643"/>
      <c r="DF6" s="643"/>
      <c r="DG6" s="643"/>
      <c r="DH6" s="643"/>
      <c r="DI6" s="636"/>
      <c r="DJ6" s="636"/>
      <c r="DK6" s="636"/>
      <c r="DL6" s="636"/>
      <c r="DM6" s="636"/>
      <c r="DN6" s="636"/>
      <c r="DO6" s="636"/>
      <c r="DP6" s="543"/>
      <c r="DQ6" s="543"/>
      <c r="DR6" s="543"/>
      <c r="DS6" s="543">
        <v>60200</v>
      </c>
      <c r="DT6" s="543"/>
      <c r="DU6" s="543"/>
      <c r="DV6" s="543">
        <v>60201</v>
      </c>
      <c r="DW6" s="543">
        <v>60201</v>
      </c>
      <c r="DX6" s="543">
        <v>60201</v>
      </c>
      <c r="DY6" s="543"/>
      <c r="DZ6" s="543"/>
      <c r="EA6" s="543"/>
      <c r="EB6" s="543"/>
      <c r="EC6" s="543"/>
      <c r="ED6" s="543"/>
      <c r="EE6" s="543"/>
      <c r="EF6" s="543"/>
      <c r="EG6" s="543"/>
      <c r="EH6" s="543"/>
    </row>
    <row r="7" spans="1:139" s="8" customFormat="1" x14ac:dyDescent="0.25">
      <c r="A7" s="8">
        <v>3</v>
      </c>
      <c r="B7" s="19" t="s">
        <v>704</v>
      </c>
      <c r="C7" s="19"/>
      <c r="D7" s="4" t="s">
        <v>77</v>
      </c>
      <c r="E7" s="4" t="s">
        <v>73</v>
      </c>
      <c r="F7" s="19"/>
      <c r="G7" s="19" t="s">
        <v>6</v>
      </c>
      <c r="H7" s="556">
        <v>10001</v>
      </c>
      <c r="I7" s="556">
        <v>10002</v>
      </c>
      <c r="J7" s="556">
        <v>10003</v>
      </c>
      <c r="K7" s="556">
        <v>10004</v>
      </c>
      <c r="L7" s="556">
        <v>10005</v>
      </c>
      <c r="M7" s="556">
        <v>10001</v>
      </c>
      <c r="N7" s="556">
        <v>10002</v>
      </c>
      <c r="O7" s="556">
        <v>10003</v>
      </c>
      <c r="P7" s="556">
        <v>10004</v>
      </c>
      <c r="Q7" s="556">
        <v>10005</v>
      </c>
      <c r="R7" s="556"/>
      <c r="S7" s="556" t="s">
        <v>837</v>
      </c>
      <c r="T7" s="556"/>
      <c r="U7" s="556" t="s">
        <v>837</v>
      </c>
      <c r="V7" s="556" t="s">
        <v>837</v>
      </c>
      <c r="W7" s="556" t="s">
        <v>837</v>
      </c>
      <c r="X7" s="556">
        <v>10002</v>
      </c>
      <c r="Y7" s="556" t="s">
        <v>837</v>
      </c>
      <c r="Z7" s="556">
        <v>10004</v>
      </c>
      <c r="AA7" s="556">
        <v>10005</v>
      </c>
      <c r="AB7" s="556">
        <v>10001</v>
      </c>
      <c r="AC7" s="556">
        <v>10002</v>
      </c>
      <c r="AD7" s="556">
        <v>10003</v>
      </c>
      <c r="AE7" s="556">
        <v>10004</v>
      </c>
      <c r="AF7" s="556">
        <v>10005</v>
      </c>
      <c r="AG7" s="556" t="s">
        <v>837</v>
      </c>
      <c r="AH7" s="556" t="s">
        <v>837</v>
      </c>
      <c r="AI7" s="556" t="s">
        <v>837</v>
      </c>
      <c r="AJ7" s="556" t="s">
        <v>837</v>
      </c>
      <c r="AK7" s="556" t="s">
        <v>837</v>
      </c>
      <c r="AL7" s="556" t="s">
        <v>837</v>
      </c>
      <c r="AM7" s="556" t="s">
        <v>837</v>
      </c>
      <c r="AN7" s="556" t="s">
        <v>837</v>
      </c>
      <c r="AO7" s="556" t="s">
        <v>837</v>
      </c>
      <c r="AP7" s="556" t="s">
        <v>837</v>
      </c>
      <c r="AQ7" s="556" t="s">
        <v>837</v>
      </c>
      <c r="AR7" s="556" t="s">
        <v>837</v>
      </c>
      <c r="AS7" s="556" t="s">
        <v>837</v>
      </c>
      <c r="AT7" s="556" t="s">
        <v>837</v>
      </c>
      <c r="AU7" s="556" t="s">
        <v>837</v>
      </c>
      <c r="AV7" s="556" t="s">
        <v>837</v>
      </c>
      <c r="AW7" s="556" t="s">
        <v>837</v>
      </c>
      <c r="AX7" s="556" t="s">
        <v>837</v>
      </c>
      <c r="AY7" s="556" t="s">
        <v>837</v>
      </c>
      <c r="AZ7" s="556" t="s">
        <v>837</v>
      </c>
      <c r="BA7" s="556" t="s">
        <v>837</v>
      </c>
      <c r="BB7" s="556" t="s">
        <v>837</v>
      </c>
      <c r="BC7" s="556" t="s">
        <v>837</v>
      </c>
      <c r="BD7" s="556" t="s">
        <v>837</v>
      </c>
      <c r="BE7" s="556" t="s">
        <v>837</v>
      </c>
      <c r="BF7" s="636"/>
      <c r="BG7" s="636"/>
      <c r="BH7" s="636">
        <v>20001</v>
      </c>
      <c r="BI7" s="543"/>
      <c r="BJ7" s="543"/>
      <c r="BK7" s="544">
        <v>40301</v>
      </c>
      <c r="BL7" s="610">
        <v>40301</v>
      </c>
      <c r="BM7" s="553">
        <v>40001</v>
      </c>
      <c r="BN7" s="612">
        <v>40001</v>
      </c>
      <c r="BO7" s="544"/>
      <c r="BP7" s="610"/>
      <c r="BQ7" s="558"/>
      <c r="BR7" s="558"/>
      <c r="BS7" s="755">
        <v>80000</v>
      </c>
      <c r="BT7" s="756">
        <v>80000</v>
      </c>
      <c r="BU7" s="756">
        <v>80000</v>
      </c>
      <c r="BV7" s="756">
        <v>80000</v>
      </c>
      <c r="BW7" s="756">
        <v>80000</v>
      </c>
      <c r="BX7" s="756">
        <v>80000</v>
      </c>
      <c r="BY7" s="756">
        <v>80000</v>
      </c>
      <c r="BZ7" s="756">
        <v>80000</v>
      </c>
      <c r="CA7" s="756">
        <v>80000</v>
      </c>
      <c r="CB7" s="756">
        <v>80000</v>
      </c>
      <c r="CC7" s="756">
        <v>80000</v>
      </c>
      <c r="CD7" s="757"/>
      <c r="CE7" s="755">
        <v>80000</v>
      </c>
      <c r="CF7" s="756">
        <v>80000</v>
      </c>
      <c r="CG7" s="756">
        <v>80000</v>
      </c>
      <c r="CH7" s="756">
        <v>80000</v>
      </c>
      <c r="CI7" s="756">
        <v>80000</v>
      </c>
      <c r="CJ7" s="756">
        <v>80000</v>
      </c>
      <c r="CK7" s="756">
        <v>80000</v>
      </c>
      <c r="CL7" s="756">
        <v>80000</v>
      </c>
      <c r="CM7" s="756">
        <v>80000</v>
      </c>
      <c r="CN7" s="757">
        <v>80000</v>
      </c>
      <c r="CO7" s="643"/>
      <c r="CP7" s="643"/>
      <c r="CQ7" s="643"/>
      <c r="CR7" s="643"/>
      <c r="CS7" s="643"/>
      <c r="CT7" s="643"/>
      <c r="CU7" s="643"/>
      <c r="CV7" s="643"/>
      <c r="CW7" s="643"/>
      <c r="CX7" s="643"/>
      <c r="CY7" s="643"/>
      <c r="CZ7" s="643"/>
      <c r="DA7" s="643"/>
      <c r="DB7" s="643"/>
      <c r="DC7" s="643"/>
      <c r="DD7" s="643"/>
      <c r="DE7" s="730"/>
      <c r="DF7" s="730"/>
      <c r="DG7" s="730"/>
      <c r="DH7" s="730"/>
      <c r="DI7" s="636"/>
      <c r="DJ7" s="636"/>
      <c r="DK7" s="636"/>
      <c r="DL7" s="636"/>
      <c r="DM7" s="636"/>
      <c r="DN7" s="636"/>
      <c r="DO7" s="636"/>
      <c r="DP7" s="543"/>
      <c r="DQ7" s="543"/>
      <c r="DR7" s="543"/>
      <c r="DS7" s="543">
        <v>60300</v>
      </c>
      <c r="DT7" s="543">
        <v>60301</v>
      </c>
      <c r="DU7" s="543">
        <v>60301</v>
      </c>
      <c r="DV7" s="543">
        <v>60301</v>
      </c>
      <c r="DW7" s="543">
        <v>60301</v>
      </c>
      <c r="DX7" s="543">
        <v>60301</v>
      </c>
      <c r="DY7" s="543">
        <v>60302</v>
      </c>
      <c r="DZ7" s="543">
        <v>60302</v>
      </c>
      <c r="EA7" s="543"/>
      <c r="EB7" s="543"/>
      <c r="EC7" s="543"/>
      <c r="ED7" s="543">
        <v>60104</v>
      </c>
      <c r="EE7" s="543">
        <v>60104</v>
      </c>
      <c r="EF7" s="543"/>
      <c r="EG7" s="543"/>
      <c r="EH7" s="543"/>
    </row>
    <row r="8" spans="1:139" s="8" customFormat="1" x14ac:dyDescent="0.25">
      <c r="A8" s="8">
        <v>4</v>
      </c>
      <c r="B8" s="5" t="s">
        <v>86</v>
      </c>
      <c r="C8" s="5"/>
      <c r="D8" s="4" t="s">
        <v>54</v>
      </c>
      <c r="E8" s="4" t="s">
        <v>73</v>
      </c>
      <c r="F8" s="19" t="s">
        <v>8</v>
      </c>
      <c r="G8" s="19" t="s">
        <v>837</v>
      </c>
      <c r="H8" s="556">
        <v>10001</v>
      </c>
      <c r="I8" s="556">
        <v>10002</v>
      </c>
      <c r="J8" s="556">
        <v>10003</v>
      </c>
      <c r="K8" s="556">
        <v>10004</v>
      </c>
      <c r="L8" s="556">
        <v>10005</v>
      </c>
      <c r="M8" s="556">
        <v>10001</v>
      </c>
      <c r="N8" s="556">
        <v>10002</v>
      </c>
      <c r="O8" s="556">
        <v>10003</v>
      </c>
      <c r="P8" s="556">
        <v>10004</v>
      </c>
      <c r="Q8" s="556">
        <v>10005</v>
      </c>
      <c r="R8" s="556">
        <v>10001</v>
      </c>
      <c r="S8" s="556">
        <v>10002</v>
      </c>
      <c r="T8" s="556">
        <v>10003</v>
      </c>
      <c r="U8" s="556">
        <v>10004</v>
      </c>
      <c r="V8" s="556">
        <v>10005</v>
      </c>
      <c r="W8" s="556" t="s">
        <v>837</v>
      </c>
      <c r="X8" s="556" t="s">
        <v>837</v>
      </c>
      <c r="Y8" s="556" t="s">
        <v>837</v>
      </c>
      <c r="Z8" s="556" t="s">
        <v>837</v>
      </c>
      <c r="AA8" s="556" t="s">
        <v>837</v>
      </c>
      <c r="AB8" s="556">
        <v>10001</v>
      </c>
      <c r="AC8" s="556">
        <v>10002</v>
      </c>
      <c r="AD8" s="556">
        <v>10003</v>
      </c>
      <c r="AE8" s="556">
        <v>10004</v>
      </c>
      <c r="AF8" s="556">
        <v>10005</v>
      </c>
      <c r="AG8" s="556">
        <v>10001</v>
      </c>
      <c r="AH8" s="556">
        <v>10002</v>
      </c>
      <c r="AI8" s="556">
        <v>10003</v>
      </c>
      <c r="AJ8" s="556">
        <v>10004</v>
      </c>
      <c r="AK8" s="556">
        <v>10005</v>
      </c>
      <c r="AL8" s="556">
        <v>10001</v>
      </c>
      <c r="AM8" s="556">
        <v>10002</v>
      </c>
      <c r="AN8" s="556">
        <v>10003</v>
      </c>
      <c r="AO8" s="556">
        <v>10004</v>
      </c>
      <c r="AP8" s="556">
        <v>10005</v>
      </c>
      <c r="AQ8" s="556">
        <v>10001</v>
      </c>
      <c r="AR8" s="556">
        <v>10002</v>
      </c>
      <c r="AS8" s="556">
        <v>10003</v>
      </c>
      <c r="AT8" s="556">
        <v>10004</v>
      </c>
      <c r="AU8" s="556">
        <v>10005</v>
      </c>
      <c r="AV8" s="556" t="s">
        <v>837</v>
      </c>
      <c r="AW8" s="556" t="s">
        <v>837</v>
      </c>
      <c r="AX8" s="556" t="s">
        <v>837</v>
      </c>
      <c r="AY8" s="556" t="s">
        <v>837</v>
      </c>
      <c r="AZ8" s="556" t="s">
        <v>837</v>
      </c>
      <c r="BA8" s="556">
        <v>10001</v>
      </c>
      <c r="BB8" s="556">
        <v>10002</v>
      </c>
      <c r="BC8" s="556">
        <v>10003</v>
      </c>
      <c r="BD8" s="556">
        <v>10004</v>
      </c>
      <c r="BE8" s="556">
        <v>10005</v>
      </c>
      <c r="BF8" s="636">
        <v>20003</v>
      </c>
      <c r="BG8" s="636">
        <v>20002</v>
      </c>
      <c r="BH8" s="636">
        <v>20001</v>
      </c>
      <c r="BI8" s="543"/>
      <c r="BJ8" s="543"/>
      <c r="BK8" s="558">
        <v>40401</v>
      </c>
      <c r="BL8" s="613">
        <v>40401</v>
      </c>
      <c r="BM8" s="553">
        <v>40001</v>
      </c>
      <c r="BN8" s="612">
        <v>40001</v>
      </c>
      <c r="BO8" s="558"/>
      <c r="BP8" s="613"/>
      <c r="BQ8" s="558"/>
      <c r="BR8" s="558"/>
      <c r="BS8" s="741"/>
      <c r="BT8" s="648"/>
      <c r="BU8" s="648"/>
      <c r="BV8" s="648"/>
      <c r="BW8" s="648"/>
      <c r="BX8" s="648"/>
      <c r="BY8" s="648"/>
      <c r="BZ8" s="648"/>
      <c r="CA8" s="648"/>
      <c r="CB8" s="648"/>
      <c r="CC8" s="648"/>
      <c r="CD8" s="597"/>
      <c r="CE8" s="733"/>
      <c r="CF8" s="642"/>
      <c r="CG8" s="642"/>
      <c r="CH8" s="642"/>
      <c r="CI8" s="642"/>
      <c r="CJ8" s="642"/>
      <c r="CK8" s="642"/>
      <c r="CL8" s="642"/>
      <c r="CM8" s="642"/>
      <c r="CN8" s="597"/>
      <c r="CO8" s="643"/>
      <c r="CP8" s="643"/>
      <c r="CQ8" s="643"/>
      <c r="CR8" s="643"/>
      <c r="CS8" s="643"/>
      <c r="CT8" s="643"/>
      <c r="CU8" s="643"/>
      <c r="CV8" s="643"/>
      <c r="CW8" s="643"/>
      <c r="CX8" s="643"/>
      <c r="CY8" s="643"/>
      <c r="CZ8" s="643"/>
      <c r="DA8" s="643"/>
      <c r="DB8" s="643"/>
      <c r="DC8" s="643"/>
      <c r="DD8" s="643"/>
      <c r="DE8" s="643"/>
      <c r="DF8" s="643"/>
      <c r="DG8" s="643"/>
      <c r="DH8" s="643"/>
      <c r="DI8" s="636">
        <v>50001</v>
      </c>
      <c r="DJ8" s="636">
        <v>50001</v>
      </c>
      <c r="DK8" s="636">
        <v>50001</v>
      </c>
      <c r="DL8" s="636">
        <v>50001</v>
      </c>
      <c r="DM8" s="636">
        <v>50001</v>
      </c>
      <c r="DN8" s="636">
        <v>50001</v>
      </c>
      <c r="DO8" s="636">
        <v>50001</v>
      </c>
      <c r="DP8" s="543">
        <v>50001</v>
      </c>
      <c r="DQ8" s="543">
        <v>50001</v>
      </c>
      <c r="DR8" s="543">
        <v>50001</v>
      </c>
      <c r="DS8" s="543">
        <v>60400</v>
      </c>
      <c r="DT8" s="543">
        <v>60401</v>
      </c>
      <c r="DU8" s="543">
        <v>60401</v>
      </c>
      <c r="DV8" s="543">
        <v>60401</v>
      </c>
      <c r="DW8" s="543">
        <v>60401</v>
      </c>
      <c r="DX8" s="543">
        <v>60401</v>
      </c>
      <c r="DY8" s="543">
        <v>60402</v>
      </c>
      <c r="DZ8" s="543">
        <v>60402</v>
      </c>
      <c r="EA8" s="543">
        <v>60403</v>
      </c>
      <c r="EB8" s="543">
        <v>60403</v>
      </c>
      <c r="EC8" s="543">
        <v>60403</v>
      </c>
      <c r="ED8" s="543">
        <v>60104</v>
      </c>
      <c r="EE8" s="543">
        <v>60104</v>
      </c>
      <c r="EF8" s="543"/>
      <c r="EG8" s="543"/>
      <c r="EH8" s="543"/>
    </row>
    <row r="9" spans="1:139" s="8" customFormat="1" x14ac:dyDescent="0.25">
      <c r="A9" s="8">
        <v>5</v>
      </c>
      <c r="B9" s="4" t="s">
        <v>85</v>
      </c>
      <c r="C9" s="4"/>
      <c r="D9" s="4" t="s">
        <v>54</v>
      </c>
      <c r="E9" s="4" t="s">
        <v>73</v>
      </c>
      <c r="F9" s="19" t="s">
        <v>8</v>
      </c>
      <c r="G9" s="19" t="s">
        <v>837</v>
      </c>
      <c r="H9" s="556">
        <v>10001</v>
      </c>
      <c r="I9" s="556">
        <v>10002</v>
      </c>
      <c r="J9" s="556">
        <v>10003</v>
      </c>
      <c r="K9" s="556">
        <v>10004</v>
      </c>
      <c r="L9" s="556">
        <v>10005</v>
      </c>
      <c r="M9" s="556">
        <v>10001</v>
      </c>
      <c r="N9" s="556">
        <v>10002</v>
      </c>
      <c r="O9" s="556">
        <v>10003</v>
      </c>
      <c r="P9" s="556">
        <v>10004</v>
      </c>
      <c r="Q9" s="556">
        <v>10005</v>
      </c>
      <c r="R9" s="556">
        <v>10001</v>
      </c>
      <c r="S9" s="556">
        <v>10002</v>
      </c>
      <c r="T9" s="556">
        <v>10003</v>
      </c>
      <c r="U9" s="556">
        <v>10004</v>
      </c>
      <c r="V9" s="556">
        <v>10005</v>
      </c>
      <c r="W9" s="556" t="s">
        <v>837</v>
      </c>
      <c r="X9" s="556" t="s">
        <v>837</v>
      </c>
      <c r="Y9" s="556" t="s">
        <v>837</v>
      </c>
      <c r="Z9" s="556" t="s">
        <v>837</v>
      </c>
      <c r="AA9" s="556" t="s">
        <v>837</v>
      </c>
      <c r="AB9" s="556">
        <v>10001</v>
      </c>
      <c r="AC9" s="556">
        <v>10002</v>
      </c>
      <c r="AD9" s="556">
        <v>10003</v>
      </c>
      <c r="AE9" s="556">
        <v>10004</v>
      </c>
      <c r="AF9" s="556">
        <v>10005</v>
      </c>
      <c r="AG9" s="556" t="s">
        <v>837</v>
      </c>
      <c r="AH9" s="556">
        <v>10002</v>
      </c>
      <c r="AI9" s="556">
        <v>10003</v>
      </c>
      <c r="AJ9" s="556">
        <v>10004</v>
      </c>
      <c r="AK9" s="556">
        <v>10005</v>
      </c>
      <c r="AL9" s="556" t="s">
        <v>837</v>
      </c>
      <c r="AM9" s="556">
        <v>10002</v>
      </c>
      <c r="AN9" s="556">
        <v>10003</v>
      </c>
      <c r="AO9" s="556">
        <v>10004</v>
      </c>
      <c r="AP9" s="556">
        <v>10005</v>
      </c>
      <c r="AQ9" s="556" t="s">
        <v>837</v>
      </c>
      <c r="AR9" s="556">
        <v>10002</v>
      </c>
      <c r="AS9" s="556">
        <v>10003</v>
      </c>
      <c r="AT9" s="556">
        <v>10004</v>
      </c>
      <c r="AU9" s="556">
        <v>10005</v>
      </c>
      <c r="AV9" s="556" t="s">
        <v>837</v>
      </c>
      <c r="AW9" s="556" t="s">
        <v>837</v>
      </c>
      <c r="AX9" s="556" t="s">
        <v>837</v>
      </c>
      <c r="AY9" s="556" t="s">
        <v>837</v>
      </c>
      <c r="AZ9" s="556" t="s">
        <v>837</v>
      </c>
      <c r="BA9" s="556" t="s">
        <v>837</v>
      </c>
      <c r="BB9" s="556">
        <v>10002</v>
      </c>
      <c r="BC9" s="556">
        <v>10003</v>
      </c>
      <c r="BD9" s="556">
        <v>10004</v>
      </c>
      <c r="BE9" s="556">
        <v>10005</v>
      </c>
      <c r="BF9" s="636">
        <v>20003</v>
      </c>
      <c r="BG9" s="636">
        <v>20002</v>
      </c>
      <c r="BH9" s="636">
        <v>20001</v>
      </c>
      <c r="BI9" s="543"/>
      <c r="BJ9" s="543"/>
      <c r="BK9" s="543"/>
      <c r="BL9" s="609"/>
      <c r="BM9" s="553">
        <v>40001</v>
      </c>
      <c r="BN9" s="612">
        <v>40001</v>
      </c>
      <c r="BO9" s="543">
        <v>40501</v>
      </c>
      <c r="BP9" s="609">
        <v>40501</v>
      </c>
      <c r="BQ9" s="550"/>
      <c r="BR9" s="543"/>
      <c r="BS9" s="755">
        <v>80000</v>
      </c>
      <c r="BT9" s="756">
        <v>80000</v>
      </c>
      <c r="BU9" s="756">
        <v>80000</v>
      </c>
      <c r="BV9" s="756">
        <v>80000</v>
      </c>
      <c r="BW9" s="756">
        <v>80000</v>
      </c>
      <c r="BX9" s="756">
        <v>80000</v>
      </c>
      <c r="BY9" s="756">
        <v>80000</v>
      </c>
      <c r="BZ9" s="756">
        <v>80000</v>
      </c>
      <c r="CA9" s="756">
        <v>80000</v>
      </c>
      <c r="CB9" s="756">
        <v>80000</v>
      </c>
      <c r="CC9" s="756">
        <v>80000</v>
      </c>
      <c r="CD9" s="757"/>
      <c r="CE9" s="755">
        <v>80000</v>
      </c>
      <c r="CF9" s="756">
        <v>80000</v>
      </c>
      <c r="CG9" s="756">
        <v>80000</v>
      </c>
      <c r="CH9" s="756">
        <v>80000</v>
      </c>
      <c r="CI9" s="756">
        <v>80000</v>
      </c>
      <c r="CJ9" s="756">
        <v>80000</v>
      </c>
      <c r="CK9" s="756">
        <v>80000</v>
      </c>
      <c r="CL9" s="756">
        <v>80000</v>
      </c>
      <c r="CM9" s="756">
        <v>80000</v>
      </c>
      <c r="CN9" s="757">
        <v>80000</v>
      </c>
      <c r="CO9" s="643"/>
      <c r="CP9" s="643"/>
      <c r="CQ9" s="643"/>
      <c r="CR9" s="643"/>
      <c r="CS9" s="643"/>
      <c r="CT9" s="643"/>
      <c r="CU9" s="643"/>
      <c r="CV9" s="643"/>
      <c r="CW9" s="643"/>
      <c r="CX9" s="643"/>
      <c r="CY9" s="643"/>
      <c r="CZ9" s="643"/>
      <c r="DA9" s="643"/>
      <c r="DB9" s="643"/>
      <c r="DC9" s="643"/>
      <c r="DD9" s="643"/>
      <c r="DE9" s="643"/>
      <c r="DF9" s="643"/>
      <c r="DG9" s="643"/>
      <c r="DH9" s="643"/>
      <c r="DI9" s="636">
        <v>50001</v>
      </c>
      <c r="DJ9" s="636">
        <v>50001</v>
      </c>
      <c r="DK9" s="636">
        <v>50001</v>
      </c>
      <c r="DL9" s="636">
        <v>50001</v>
      </c>
      <c r="DM9" s="636">
        <v>50001</v>
      </c>
      <c r="DN9" s="636">
        <v>50001</v>
      </c>
      <c r="DO9" s="636">
        <v>50001</v>
      </c>
      <c r="DP9" s="543">
        <v>50001</v>
      </c>
      <c r="DQ9" s="543">
        <v>50001</v>
      </c>
      <c r="DR9" s="543">
        <v>50001</v>
      </c>
      <c r="DS9" s="543">
        <v>60500</v>
      </c>
      <c r="DT9" s="543">
        <v>60401</v>
      </c>
      <c r="DU9" s="543">
        <v>60401</v>
      </c>
      <c r="DV9" s="543">
        <v>60401</v>
      </c>
      <c r="DW9" s="543">
        <v>60401</v>
      </c>
      <c r="DX9" s="543">
        <v>60401</v>
      </c>
      <c r="DY9" s="543">
        <v>60402</v>
      </c>
      <c r="DZ9" s="543">
        <v>60402</v>
      </c>
      <c r="EA9" s="543">
        <v>60403</v>
      </c>
      <c r="EB9" s="543">
        <v>60403</v>
      </c>
      <c r="EC9" s="543">
        <v>60403</v>
      </c>
      <c r="ED9" s="543">
        <v>60104</v>
      </c>
      <c r="EE9" s="543">
        <v>60104</v>
      </c>
      <c r="EF9" s="543"/>
      <c r="EG9" s="543"/>
      <c r="EH9" s="543"/>
    </row>
    <row r="10" spans="1:139" s="8" customFormat="1" x14ac:dyDescent="0.25">
      <c r="A10" s="8">
        <v>6</v>
      </c>
      <c r="B10" s="4" t="s">
        <v>695</v>
      </c>
      <c r="C10" s="4"/>
      <c r="D10" s="4" t="s">
        <v>78</v>
      </c>
      <c r="E10" s="4" t="s">
        <v>73</v>
      </c>
      <c r="F10" s="19" t="s">
        <v>8</v>
      </c>
      <c r="G10" s="19" t="s">
        <v>837</v>
      </c>
      <c r="H10" s="556">
        <v>10001</v>
      </c>
      <c r="I10" s="556">
        <v>10002</v>
      </c>
      <c r="J10" s="556">
        <v>10003</v>
      </c>
      <c r="K10" s="556">
        <v>10004</v>
      </c>
      <c r="L10" s="556">
        <v>10005</v>
      </c>
      <c r="M10" s="556">
        <v>10001</v>
      </c>
      <c r="N10" s="556">
        <v>10002</v>
      </c>
      <c r="O10" s="556">
        <v>10003</v>
      </c>
      <c r="P10" s="556">
        <v>10004</v>
      </c>
      <c r="Q10" s="556">
        <v>10005</v>
      </c>
      <c r="R10" s="556">
        <v>10001</v>
      </c>
      <c r="S10" s="556">
        <v>10002</v>
      </c>
      <c r="T10" s="556">
        <v>10003</v>
      </c>
      <c r="U10" s="556">
        <v>10004</v>
      </c>
      <c r="V10" s="556">
        <v>10005</v>
      </c>
      <c r="W10" s="556" t="s">
        <v>837</v>
      </c>
      <c r="X10" s="556" t="s">
        <v>837</v>
      </c>
      <c r="Y10" s="556" t="s">
        <v>837</v>
      </c>
      <c r="Z10" s="556" t="s">
        <v>837</v>
      </c>
      <c r="AA10" s="556" t="s">
        <v>837</v>
      </c>
      <c r="AB10" s="556">
        <v>10001</v>
      </c>
      <c r="AC10" s="556">
        <v>10002</v>
      </c>
      <c r="AD10" s="556">
        <v>10003</v>
      </c>
      <c r="AE10" s="556">
        <v>10004</v>
      </c>
      <c r="AF10" s="556">
        <v>10005</v>
      </c>
      <c r="AG10" s="556" t="s">
        <v>837</v>
      </c>
      <c r="AH10" s="556" t="s">
        <v>837</v>
      </c>
      <c r="AI10" s="556" t="s">
        <v>837</v>
      </c>
      <c r="AJ10" s="556" t="s">
        <v>837</v>
      </c>
      <c r="AK10" s="556" t="s">
        <v>837</v>
      </c>
      <c r="AL10" s="556" t="s">
        <v>837</v>
      </c>
      <c r="AM10" s="556" t="s">
        <v>837</v>
      </c>
      <c r="AN10" s="556" t="s">
        <v>837</v>
      </c>
      <c r="AO10" s="556" t="s">
        <v>837</v>
      </c>
      <c r="AP10" s="556" t="s">
        <v>837</v>
      </c>
      <c r="AQ10" s="556" t="s">
        <v>837</v>
      </c>
      <c r="AR10" s="556" t="s">
        <v>837</v>
      </c>
      <c r="AS10" s="556" t="s">
        <v>837</v>
      </c>
      <c r="AT10" s="556" t="s">
        <v>837</v>
      </c>
      <c r="AU10" s="556" t="s">
        <v>837</v>
      </c>
      <c r="AV10" s="556" t="s">
        <v>837</v>
      </c>
      <c r="AW10" s="556" t="s">
        <v>837</v>
      </c>
      <c r="AX10" s="556" t="s">
        <v>837</v>
      </c>
      <c r="AY10" s="556" t="s">
        <v>837</v>
      </c>
      <c r="AZ10" s="556" t="s">
        <v>837</v>
      </c>
      <c r="BA10" s="556" t="s">
        <v>837</v>
      </c>
      <c r="BB10" s="556" t="s">
        <v>837</v>
      </c>
      <c r="BC10" s="556" t="s">
        <v>837</v>
      </c>
      <c r="BD10" s="556" t="s">
        <v>837</v>
      </c>
      <c r="BE10" s="556" t="s">
        <v>837</v>
      </c>
      <c r="BF10" s="636"/>
      <c r="BG10" s="636"/>
      <c r="BH10" s="636"/>
      <c r="BI10" s="543"/>
      <c r="BJ10" s="543"/>
      <c r="BK10" s="543">
        <v>40601</v>
      </c>
      <c r="BL10" s="609">
        <v>40601</v>
      </c>
      <c r="BM10" s="553">
        <v>40001</v>
      </c>
      <c r="BN10" s="612">
        <v>40001</v>
      </c>
      <c r="BO10" s="543"/>
      <c r="BP10" s="609"/>
      <c r="BQ10" s="550"/>
      <c r="BR10" s="543"/>
      <c r="BS10" s="755">
        <v>80000</v>
      </c>
      <c r="BT10" s="756">
        <v>80000</v>
      </c>
      <c r="BU10" s="756">
        <v>80000</v>
      </c>
      <c r="BV10" s="756">
        <v>80000</v>
      </c>
      <c r="BW10" s="756">
        <v>80000</v>
      </c>
      <c r="BX10" s="756">
        <v>80000</v>
      </c>
      <c r="BY10" s="756">
        <v>80000</v>
      </c>
      <c r="BZ10" s="756">
        <v>80000</v>
      </c>
      <c r="CA10" s="756">
        <v>80000</v>
      </c>
      <c r="CB10" s="756">
        <v>80000</v>
      </c>
      <c r="CC10" s="756">
        <v>80000</v>
      </c>
      <c r="CD10" s="757"/>
      <c r="CE10" s="755">
        <v>80000</v>
      </c>
      <c r="CF10" s="756">
        <v>80000</v>
      </c>
      <c r="CG10" s="756">
        <v>80000</v>
      </c>
      <c r="CH10" s="756">
        <v>80000</v>
      </c>
      <c r="CI10" s="756">
        <v>80000</v>
      </c>
      <c r="CJ10" s="756">
        <v>80000</v>
      </c>
      <c r="CK10" s="756">
        <v>80000</v>
      </c>
      <c r="CL10" s="756">
        <v>80000</v>
      </c>
      <c r="CM10" s="756">
        <v>80000</v>
      </c>
      <c r="CN10" s="757">
        <v>80000</v>
      </c>
      <c r="CO10" s="643"/>
      <c r="CP10" s="643"/>
      <c r="CQ10" s="643"/>
      <c r="CR10" s="643"/>
      <c r="CS10" s="643"/>
      <c r="CT10" s="643"/>
      <c r="CU10" s="643"/>
      <c r="CV10" s="643"/>
      <c r="CW10" s="643"/>
      <c r="CX10" s="643"/>
      <c r="CY10" s="643"/>
      <c r="CZ10" s="643"/>
      <c r="DA10" s="643"/>
      <c r="DB10" s="643"/>
      <c r="DC10" s="643"/>
      <c r="DD10" s="643"/>
      <c r="DE10" s="643"/>
      <c r="DF10" s="643"/>
      <c r="DG10" s="643"/>
      <c r="DH10" s="643"/>
      <c r="DI10" s="636"/>
      <c r="DJ10" s="636"/>
      <c r="DK10" s="636"/>
      <c r="DL10" s="636"/>
      <c r="DM10" s="636"/>
      <c r="DN10" s="636"/>
      <c r="DO10" s="636"/>
      <c r="DP10" s="543"/>
      <c r="DQ10" s="543"/>
      <c r="DR10" s="543"/>
      <c r="DS10" s="543">
        <v>60600</v>
      </c>
      <c r="DT10" s="543">
        <v>60601</v>
      </c>
      <c r="DU10" s="543">
        <v>60601</v>
      </c>
      <c r="DV10" s="543">
        <v>60601</v>
      </c>
      <c r="DW10" s="543">
        <v>60601</v>
      </c>
      <c r="DX10" s="543">
        <v>60601</v>
      </c>
      <c r="DY10" s="543"/>
      <c r="DZ10" s="543"/>
      <c r="EA10" s="543">
        <v>60602</v>
      </c>
      <c r="EB10" s="543">
        <v>60602</v>
      </c>
      <c r="EC10" s="543">
        <v>60602</v>
      </c>
      <c r="ED10" s="543"/>
      <c r="EE10" s="543">
        <v>60104</v>
      </c>
      <c r="EF10" s="543"/>
      <c r="EG10" s="543"/>
      <c r="EH10" s="543"/>
    </row>
    <row r="11" spans="1:139" s="8" customFormat="1" x14ac:dyDescent="0.25">
      <c r="A11" s="8">
        <v>7</v>
      </c>
      <c r="B11" s="4" t="s">
        <v>696</v>
      </c>
      <c r="C11" s="4"/>
      <c r="D11" s="4" t="s">
        <v>78</v>
      </c>
      <c r="E11" s="4" t="s">
        <v>73</v>
      </c>
      <c r="F11" s="19" t="s">
        <v>8</v>
      </c>
      <c r="G11" s="19" t="s">
        <v>6</v>
      </c>
      <c r="H11" s="556">
        <v>10001</v>
      </c>
      <c r="I11" s="556">
        <v>10002</v>
      </c>
      <c r="J11" s="556">
        <v>10003</v>
      </c>
      <c r="K11" s="556">
        <v>10004</v>
      </c>
      <c r="L11" s="556">
        <v>10005</v>
      </c>
      <c r="M11" s="556">
        <v>10001</v>
      </c>
      <c r="N11" s="556">
        <v>10002</v>
      </c>
      <c r="O11" s="556">
        <v>10003</v>
      </c>
      <c r="P11" s="556">
        <v>10004</v>
      </c>
      <c r="Q11" s="556">
        <v>10005</v>
      </c>
      <c r="R11" s="556"/>
      <c r="S11" s="556" t="s">
        <v>837</v>
      </c>
      <c r="T11" s="556"/>
      <c r="U11" s="556" t="s">
        <v>837</v>
      </c>
      <c r="V11" s="556" t="s">
        <v>837</v>
      </c>
      <c r="W11" s="556" t="s">
        <v>837</v>
      </c>
      <c r="X11" s="556">
        <v>10002</v>
      </c>
      <c r="Y11" s="556" t="s">
        <v>837</v>
      </c>
      <c r="Z11" s="556">
        <v>10004</v>
      </c>
      <c r="AA11" s="556">
        <v>10005</v>
      </c>
      <c r="AB11" s="556">
        <v>10001</v>
      </c>
      <c r="AC11" s="556">
        <v>10002</v>
      </c>
      <c r="AD11" s="556">
        <v>10003</v>
      </c>
      <c r="AE11" s="556">
        <v>10004</v>
      </c>
      <c r="AF11" s="556">
        <v>10005</v>
      </c>
      <c r="AG11" s="556" t="s">
        <v>837</v>
      </c>
      <c r="AH11" s="556" t="s">
        <v>837</v>
      </c>
      <c r="AI11" s="556" t="s">
        <v>837</v>
      </c>
      <c r="AJ11" s="556" t="s">
        <v>837</v>
      </c>
      <c r="AK11" s="556" t="s">
        <v>837</v>
      </c>
      <c r="AL11" s="556" t="s">
        <v>837</v>
      </c>
      <c r="AM11" s="556" t="s">
        <v>837</v>
      </c>
      <c r="AN11" s="556" t="s">
        <v>837</v>
      </c>
      <c r="AO11" s="556" t="s">
        <v>837</v>
      </c>
      <c r="AP11" s="556" t="s">
        <v>837</v>
      </c>
      <c r="AQ11" s="556" t="s">
        <v>837</v>
      </c>
      <c r="AR11" s="556" t="s">
        <v>837</v>
      </c>
      <c r="AS11" s="556" t="s">
        <v>837</v>
      </c>
      <c r="AT11" s="556" t="s">
        <v>837</v>
      </c>
      <c r="AU11" s="556" t="s">
        <v>837</v>
      </c>
      <c r="AV11" s="556" t="s">
        <v>837</v>
      </c>
      <c r="AW11" s="556" t="s">
        <v>837</v>
      </c>
      <c r="AX11" s="556" t="s">
        <v>837</v>
      </c>
      <c r="AY11" s="556" t="s">
        <v>837</v>
      </c>
      <c r="AZ11" s="556" t="s">
        <v>837</v>
      </c>
      <c r="BA11" s="556" t="s">
        <v>837</v>
      </c>
      <c r="BB11" s="556" t="s">
        <v>837</v>
      </c>
      <c r="BC11" s="556" t="s">
        <v>837</v>
      </c>
      <c r="BD11" s="556" t="s">
        <v>837</v>
      </c>
      <c r="BE11" s="556" t="s">
        <v>837</v>
      </c>
      <c r="BF11" s="636"/>
      <c r="BG11" s="636"/>
      <c r="BH11" s="636"/>
      <c r="BI11" s="560"/>
      <c r="BJ11" s="560"/>
      <c r="BK11" s="543"/>
      <c r="BL11" s="609"/>
      <c r="BM11" s="553">
        <v>40001</v>
      </c>
      <c r="BN11" s="612">
        <v>40001</v>
      </c>
      <c r="BO11" s="543"/>
      <c r="BP11" s="609"/>
      <c r="BQ11" s="550"/>
      <c r="BR11" s="543"/>
      <c r="BS11" s="741"/>
      <c r="BT11" s="648"/>
      <c r="BU11" s="648"/>
      <c r="BV11" s="648"/>
      <c r="BW11" s="648"/>
      <c r="BX11" s="648"/>
      <c r="BY11" s="648"/>
      <c r="BZ11" s="648"/>
      <c r="CA11" s="648"/>
      <c r="CB11" s="648"/>
      <c r="CC11" s="648"/>
      <c r="CD11" s="597"/>
      <c r="CE11" s="733"/>
      <c r="CF11" s="642"/>
      <c r="CG11" s="642"/>
      <c r="CH11" s="642"/>
      <c r="CI11" s="642"/>
      <c r="CJ11" s="642"/>
      <c r="CK11" s="642"/>
      <c r="CL11" s="642"/>
      <c r="CM11" s="642"/>
      <c r="CN11" s="597"/>
      <c r="CO11" s="623"/>
      <c r="CP11" s="623"/>
      <c r="CQ11" s="623"/>
      <c r="CR11" s="623"/>
      <c r="CS11" s="623"/>
      <c r="CT11" s="623"/>
      <c r="CU11" s="623"/>
      <c r="CV11" s="623"/>
      <c r="CW11" s="623"/>
      <c r="CX11" s="623"/>
      <c r="CY11" s="623"/>
      <c r="CZ11" s="623"/>
      <c r="DA11" s="623"/>
      <c r="DB11" s="623"/>
      <c r="DC11" s="623"/>
      <c r="DD11" s="623"/>
      <c r="DE11" s="623"/>
      <c r="DF11" s="623"/>
      <c r="DG11" s="623"/>
      <c r="DH11" s="623"/>
      <c r="DI11" s="638"/>
      <c r="DJ11" s="638"/>
      <c r="DK11" s="638"/>
      <c r="DL11" s="638"/>
      <c r="DM11" s="638"/>
      <c r="DN11" s="638"/>
      <c r="DO11" s="638"/>
      <c r="DP11" s="560"/>
      <c r="DQ11" s="560"/>
      <c r="DR11" s="560"/>
      <c r="DS11" s="543">
        <v>60700</v>
      </c>
      <c r="DT11" s="543">
        <v>60601</v>
      </c>
      <c r="DU11" s="543">
        <v>60601</v>
      </c>
      <c r="DV11" s="543">
        <v>60601</v>
      </c>
      <c r="DW11" s="543">
        <v>60601</v>
      </c>
      <c r="DX11" s="543">
        <v>60601</v>
      </c>
      <c r="DY11" s="560"/>
      <c r="DZ11" s="560"/>
      <c r="EA11" s="543">
        <v>60602</v>
      </c>
      <c r="EB11" s="543">
        <v>60602</v>
      </c>
      <c r="EC11" s="543">
        <v>60602</v>
      </c>
      <c r="ED11" s="560"/>
      <c r="EE11" s="543">
        <v>60104</v>
      </c>
      <c r="EF11" s="560"/>
      <c r="EG11" s="560"/>
      <c r="EH11" s="560"/>
      <c r="EI11" s="14"/>
    </row>
    <row r="12" spans="1:139" s="8" customFormat="1" x14ac:dyDescent="0.25">
      <c r="A12" s="8">
        <v>8</v>
      </c>
      <c r="B12" s="4" t="s">
        <v>701</v>
      </c>
      <c r="C12" s="4"/>
      <c r="D12" s="4" t="s">
        <v>55</v>
      </c>
      <c r="E12" s="4" t="s">
        <v>73</v>
      </c>
      <c r="F12" s="19" t="s">
        <v>8</v>
      </c>
      <c r="G12" s="19" t="s">
        <v>837</v>
      </c>
      <c r="H12" s="556" t="s">
        <v>837</v>
      </c>
      <c r="I12" s="556">
        <v>10002</v>
      </c>
      <c r="J12" s="556" t="s">
        <v>837</v>
      </c>
      <c r="K12" s="556">
        <v>10004</v>
      </c>
      <c r="L12" s="556" t="s">
        <v>837</v>
      </c>
      <c r="M12" s="556" t="s">
        <v>837</v>
      </c>
      <c r="N12" s="556">
        <v>10002</v>
      </c>
      <c r="O12" s="556" t="s">
        <v>837</v>
      </c>
      <c r="P12" s="556">
        <v>10004</v>
      </c>
      <c r="Q12" s="556" t="s">
        <v>837</v>
      </c>
      <c r="R12" s="556" t="s">
        <v>837</v>
      </c>
      <c r="S12" s="556">
        <v>10002</v>
      </c>
      <c r="T12" s="556" t="s">
        <v>837</v>
      </c>
      <c r="U12" s="556">
        <v>10004</v>
      </c>
      <c r="V12" s="556" t="s">
        <v>837</v>
      </c>
      <c r="W12" s="556" t="s">
        <v>837</v>
      </c>
      <c r="X12" s="556" t="s">
        <v>837</v>
      </c>
      <c r="Y12" s="556" t="s">
        <v>837</v>
      </c>
      <c r="Z12" s="556" t="s">
        <v>837</v>
      </c>
      <c r="AA12" s="556" t="s">
        <v>837</v>
      </c>
      <c r="AB12" s="556" t="s">
        <v>837</v>
      </c>
      <c r="AC12" s="556">
        <v>10002</v>
      </c>
      <c r="AD12" s="556" t="s">
        <v>837</v>
      </c>
      <c r="AE12" s="556">
        <v>10004</v>
      </c>
      <c r="AF12" s="556" t="s">
        <v>837</v>
      </c>
      <c r="AG12" s="556" t="s">
        <v>837</v>
      </c>
      <c r="AH12" s="556" t="s">
        <v>837</v>
      </c>
      <c r="AI12" s="556" t="s">
        <v>837</v>
      </c>
      <c r="AJ12" s="556" t="s">
        <v>837</v>
      </c>
      <c r="AK12" s="556" t="s">
        <v>837</v>
      </c>
      <c r="AL12" s="556" t="s">
        <v>837</v>
      </c>
      <c r="AM12" s="556" t="s">
        <v>837</v>
      </c>
      <c r="AN12" s="556" t="s">
        <v>837</v>
      </c>
      <c r="AO12" s="556" t="s">
        <v>837</v>
      </c>
      <c r="AP12" s="556" t="s">
        <v>837</v>
      </c>
      <c r="AQ12" s="556" t="s">
        <v>837</v>
      </c>
      <c r="AR12" s="556" t="s">
        <v>837</v>
      </c>
      <c r="AS12" s="556" t="s">
        <v>837</v>
      </c>
      <c r="AT12" s="556" t="s">
        <v>837</v>
      </c>
      <c r="AU12" s="556" t="s">
        <v>837</v>
      </c>
      <c r="AV12" s="556" t="s">
        <v>837</v>
      </c>
      <c r="AW12" s="556" t="s">
        <v>837</v>
      </c>
      <c r="AX12" s="556" t="s">
        <v>837</v>
      </c>
      <c r="AY12" s="556" t="s">
        <v>837</v>
      </c>
      <c r="AZ12" s="556" t="s">
        <v>837</v>
      </c>
      <c r="BA12" s="556" t="s">
        <v>837</v>
      </c>
      <c r="BB12" s="556" t="s">
        <v>837</v>
      </c>
      <c r="BC12" s="556" t="s">
        <v>837</v>
      </c>
      <c r="BD12" s="556" t="s">
        <v>837</v>
      </c>
      <c r="BE12" s="556" t="s">
        <v>837</v>
      </c>
      <c r="BF12" s="636"/>
      <c r="BG12" s="636"/>
      <c r="BH12" s="636"/>
      <c r="BI12" s="543">
        <v>30000</v>
      </c>
      <c r="BJ12" s="543">
        <v>30000</v>
      </c>
      <c r="BK12" s="546"/>
      <c r="BL12" s="611"/>
      <c r="BM12" s="553" t="s">
        <v>837</v>
      </c>
      <c r="BN12" s="612" t="s">
        <v>837</v>
      </c>
      <c r="BO12" s="559">
        <v>40801</v>
      </c>
      <c r="BP12" s="614">
        <v>40801</v>
      </c>
      <c r="BQ12" s="550"/>
      <c r="BR12" s="543"/>
      <c r="BS12" s="741"/>
      <c r="BT12" s="648"/>
      <c r="BU12" s="648"/>
      <c r="BV12" s="648"/>
      <c r="BW12" s="648"/>
      <c r="BX12" s="648"/>
      <c r="BY12" s="648"/>
      <c r="BZ12" s="648"/>
      <c r="CA12" s="648"/>
      <c r="CB12" s="648"/>
      <c r="CC12" s="648"/>
      <c r="CD12" s="597"/>
      <c r="CE12" s="733"/>
      <c r="CF12" s="642"/>
      <c r="CG12" s="642"/>
      <c r="CH12" s="642"/>
      <c r="CI12" s="642"/>
      <c r="CJ12" s="642"/>
      <c r="CK12" s="642"/>
      <c r="CL12" s="642"/>
      <c r="CM12" s="642"/>
      <c r="CN12" s="597"/>
      <c r="CO12" s="623"/>
      <c r="CP12" s="623"/>
      <c r="CQ12" s="623"/>
      <c r="CR12" s="623"/>
      <c r="CS12" s="623"/>
      <c r="CT12" s="623"/>
      <c r="CU12" s="623"/>
      <c r="CV12" s="623"/>
      <c r="CW12" s="623"/>
      <c r="CX12" s="623"/>
      <c r="CY12" s="623"/>
      <c r="CZ12" s="623"/>
      <c r="DA12" s="623"/>
      <c r="DB12" s="623"/>
      <c r="DC12" s="623"/>
      <c r="DD12" s="623"/>
      <c r="DE12" s="623"/>
      <c r="DF12" s="623"/>
      <c r="DG12" s="623"/>
      <c r="DH12" s="623"/>
      <c r="DI12" s="636"/>
      <c r="DJ12" s="636"/>
      <c r="DK12" s="636"/>
      <c r="DL12" s="636"/>
      <c r="DM12" s="636"/>
      <c r="DN12" s="636"/>
      <c r="DO12" s="636"/>
      <c r="DP12" s="543"/>
      <c r="DQ12" s="543"/>
      <c r="DR12" s="543"/>
      <c r="DS12" s="543">
        <v>60800</v>
      </c>
      <c r="DT12" s="543"/>
      <c r="DU12" s="543"/>
      <c r="DV12" s="543">
        <v>60801</v>
      </c>
      <c r="DW12" s="543">
        <v>60801</v>
      </c>
      <c r="DX12" s="543">
        <v>60801</v>
      </c>
      <c r="DY12" s="543"/>
      <c r="DZ12" s="543"/>
      <c r="EA12" s="543"/>
      <c r="EB12" s="543"/>
      <c r="EC12" s="543"/>
      <c r="ED12" s="543"/>
      <c r="EE12" s="543"/>
      <c r="EF12" s="543"/>
      <c r="EG12" s="543"/>
      <c r="EH12" s="543"/>
      <c r="EI12" s="14"/>
    </row>
    <row r="13" spans="1:139" s="8" customFormat="1" x14ac:dyDescent="0.25">
      <c r="A13" s="8">
        <v>9</v>
      </c>
      <c r="B13" s="4" t="s">
        <v>1075</v>
      </c>
      <c r="C13" s="4" t="s">
        <v>1077</v>
      </c>
      <c r="D13" s="4" t="s">
        <v>52</v>
      </c>
      <c r="E13" s="4" t="s">
        <v>73</v>
      </c>
      <c r="F13" s="19" t="s">
        <v>8</v>
      </c>
      <c r="G13" s="19" t="s">
        <v>837</v>
      </c>
      <c r="H13" s="556" t="s">
        <v>837</v>
      </c>
      <c r="I13" s="556" t="s">
        <v>837</v>
      </c>
      <c r="J13" s="556" t="s">
        <v>837</v>
      </c>
      <c r="K13" s="556" t="s">
        <v>837</v>
      </c>
      <c r="L13" s="556">
        <v>10005</v>
      </c>
      <c r="M13" s="556" t="s">
        <v>837</v>
      </c>
      <c r="N13" s="556" t="s">
        <v>837</v>
      </c>
      <c r="O13" s="556" t="s">
        <v>837</v>
      </c>
      <c r="P13" s="556" t="s">
        <v>837</v>
      </c>
      <c r="Q13" s="556">
        <v>10005</v>
      </c>
      <c r="R13" s="556" t="s">
        <v>837</v>
      </c>
      <c r="S13" s="556" t="s">
        <v>837</v>
      </c>
      <c r="T13" s="556" t="s">
        <v>837</v>
      </c>
      <c r="U13" s="556" t="s">
        <v>837</v>
      </c>
      <c r="V13" s="556">
        <v>10005</v>
      </c>
      <c r="W13" s="556" t="s">
        <v>837</v>
      </c>
      <c r="X13" s="556" t="s">
        <v>837</v>
      </c>
      <c r="Y13" s="556" t="s">
        <v>837</v>
      </c>
      <c r="Z13" s="556" t="s">
        <v>837</v>
      </c>
      <c r="AA13" s="556" t="s">
        <v>837</v>
      </c>
      <c r="AB13" s="556" t="s">
        <v>837</v>
      </c>
      <c r="AC13" s="556" t="s">
        <v>837</v>
      </c>
      <c r="AD13" s="556" t="s">
        <v>837</v>
      </c>
      <c r="AE13" s="556" t="s">
        <v>837</v>
      </c>
      <c r="AF13" s="556">
        <v>10005</v>
      </c>
      <c r="AG13" s="556" t="s">
        <v>837</v>
      </c>
      <c r="AH13" s="556" t="s">
        <v>837</v>
      </c>
      <c r="AI13" s="556" t="s">
        <v>837</v>
      </c>
      <c r="AJ13" s="556" t="s">
        <v>837</v>
      </c>
      <c r="AK13" s="556" t="s">
        <v>837</v>
      </c>
      <c r="AL13" s="556" t="s">
        <v>837</v>
      </c>
      <c r="AM13" s="556" t="s">
        <v>837</v>
      </c>
      <c r="AN13" s="556" t="s">
        <v>837</v>
      </c>
      <c r="AO13" s="556" t="s">
        <v>837</v>
      </c>
      <c r="AP13" s="556" t="s">
        <v>837</v>
      </c>
      <c r="AQ13" s="556" t="s">
        <v>837</v>
      </c>
      <c r="AR13" s="556" t="s">
        <v>837</v>
      </c>
      <c r="AS13" s="556" t="s">
        <v>837</v>
      </c>
      <c r="AT13" s="556" t="s">
        <v>837</v>
      </c>
      <c r="AU13" s="556" t="s">
        <v>837</v>
      </c>
      <c r="AV13" s="556" t="s">
        <v>837</v>
      </c>
      <c r="AW13" s="556" t="s">
        <v>837</v>
      </c>
      <c r="AX13" s="556" t="s">
        <v>837</v>
      </c>
      <c r="AY13" s="556" t="s">
        <v>837</v>
      </c>
      <c r="AZ13" s="556" t="s">
        <v>837</v>
      </c>
      <c r="BA13" s="556" t="s">
        <v>837</v>
      </c>
      <c r="BB13" s="556" t="s">
        <v>837</v>
      </c>
      <c r="BC13" s="556" t="s">
        <v>837</v>
      </c>
      <c r="BD13" s="556" t="s">
        <v>837</v>
      </c>
      <c r="BE13" s="556" t="s">
        <v>837</v>
      </c>
      <c r="BF13" s="636"/>
      <c r="BG13" s="636"/>
      <c r="BH13" s="636">
        <v>20001</v>
      </c>
      <c r="BI13" s="543">
        <v>30000</v>
      </c>
      <c r="BJ13" s="543">
        <v>30000</v>
      </c>
      <c r="BK13" s="543">
        <v>40901</v>
      </c>
      <c r="BL13" s="609">
        <v>40901</v>
      </c>
      <c r="BM13" s="553">
        <v>40001</v>
      </c>
      <c r="BN13" s="612">
        <v>40001</v>
      </c>
      <c r="BO13" s="560"/>
      <c r="BP13" s="615"/>
      <c r="BQ13" s="550"/>
      <c r="BR13" s="543"/>
      <c r="BS13" s="741"/>
      <c r="BT13" s="648"/>
      <c r="BU13" s="648"/>
      <c r="BV13" s="648"/>
      <c r="BW13" s="648"/>
      <c r="BX13" s="648"/>
      <c r="BY13" s="648"/>
      <c r="BZ13" s="648"/>
      <c r="CA13" s="648"/>
      <c r="CB13" s="648"/>
      <c r="CC13" s="648"/>
      <c r="CD13" s="597"/>
      <c r="CE13" s="733"/>
      <c r="CF13" s="642"/>
      <c r="CG13" s="642"/>
      <c r="CH13" s="642"/>
      <c r="CI13" s="642"/>
      <c r="CJ13" s="642"/>
      <c r="CK13" s="642"/>
      <c r="CL13" s="642"/>
      <c r="CM13" s="642"/>
      <c r="CN13" s="597"/>
      <c r="CO13" s="623"/>
      <c r="CP13" s="623"/>
      <c r="CQ13" s="623"/>
      <c r="CR13" s="623"/>
      <c r="CS13" s="623"/>
      <c r="CT13" s="623"/>
      <c r="CU13" s="623"/>
      <c r="CV13" s="623"/>
      <c r="CW13" s="623"/>
      <c r="CX13" s="623"/>
      <c r="CY13" s="623"/>
      <c r="CZ13" s="623"/>
      <c r="DA13" s="623"/>
      <c r="DB13" s="623"/>
      <c r="DC13" s="623"/>
      <c r="DD13" s="623"/>
      <c r="DE13" s="623"/>
      <c r="DF13" s="623"/>
      <c r="DG13" s="623"/>
      <c r="DH13" s="623"/>
      <c r="DI13" s="636"/>
      <c r="DJ13" s="636"/>
      <c r="DK13" s="636"/>
      <c r="DL13" s="636"/>
      <c r="DM13" s="636"/>
      <c r="DN13" s="636"/>
      <c r="DO13" s="636"/>
      <c r="DP13" s="543"/>
      <c r="DQ13" s="543"/>
      <c r="DR13" s="543"/>
      <c r="DS13" s="543">
        <v>60900</v>
      </c>
      <c r="DT13" s="543"/>
      <c r="DU13" s="543"/>
      <c r="DV13" s="543"/>
      <c r="DW13" s="543"/>
      <c r="DX13" s="543"/>
      <c r="DY13" s="543">
        <v>60901</v>
      </c>
      <c r="DZ13" s="543">
        <v>60901</v>
      </c>
      <c r="EA13" s="543"/>
      <c r="EB13" s="543"/>
      <c r="EC13" s="543"/>
      <c r="ED13" s="543">
        <v>60104</v>
      </c>
      <c r="EE13" s="543">
        <v>60104</v>
      </c>
      <c r="EF13" s="543"/>
      <c r="EG13" s="543"/>
      <c r="EH13" s="543"/>
    </row>
    <row r="14" spans="1:139" s="8" customFormat="1" x14ac:dyDescent="0.25">
      <c r="A14" s="8">
        <v>10</v>
      </c>
      <c r="B14" s="19" t="s">
        <v>700</v>
      </c>
      <c r="C14" s="19"/>
      <c r="D14" s="4" t="s">
        <v>51</v>
      </c>
      <c r="E14" s="4" t="s">
        <v>73</v>
      </c>
      <c r="F14" s="19" t="s">
        <v>8</v>
      </c>
      <c r="G14" s="19" t="s">
        <v>837</v>
      </c>
      <c r="H14" s="556" t="s">
        <v>837</v>
      </c>
      <c r="I14" s="556">
        <v>10002</v>
      </c>
      <c r="J14" s="556" t="s">
        <v>837</v>
      </c>
      <c r="K14" s="556">
        <v>10004</v>
      </c>
      <c r="L14" s="556">
        <v>10005</v>
      </c>
      <c r="M14" s="556" t="s">
        <v>837</v>
      </c>
      <c r="N14" s="556">
        <v>10002</v>
      </c>
      <c r="O14" s="556" t="s">
        <v>837</v>
      </c>
      <c r="P14" s="556">
        <v>10004</v>
      </c>
      <c r="Q14" s="556">
        <v>10005</v>
      </c>
      <c r="R14" s="556" t="s">
        <v>837</v>
      </c>
      <c r="S14" s="556">
        <v>10002</v>
      </c>
      <c r="T14" s="556" t="s">
        <v>837</v>
      </c>
      <c r="U14" s="556">
        <v>10004</v>
      </c>
      <c r="V14" s="556">
        <v>10005</v>
      </c>
      <c r="W14" s="556" t="s">
        <v>837</v>
      </c>
      <c r="X14" s="556">
        <v>10002</v>
      </c>
      <c r="Y14" s="556" t="s">
        <v>837</v>
      </c>
      <c r="Z14" s="556" t="s">
        <v>837</v>
      </c>
      <c r="AA14" s="556" t="s">
        <v>837</v>
      </c>
      <c r="AB14" s="556" t="s">
        <v>837</v>
      </c>
      <c r="AC14" s="556">
        <v>10002</v>
      </c>
      <c r="AD14" s="556" t="s">
        <v>837</v>
      </c>
      <c r="AE14" s="556">
        <v>10004</v>
      </c>
      <c r="AF14" s="556">
        <v>10005</v>
      </c>
      <c r="AG14" s="556" t="s">
        <v>837</v>
      </c>
      <c r="AH14" s="556">
        <v>10002</v>
      </c>
      <c r="AI14" s="556" t="s">
        <v>837</v>
      </c>
      <c r="AJ14" s="556">
        <v>10004</v>
      </c>
      <c r="AK14" s="556" t="s">
        <v>837</v>
      </c>
      <c r="AL14" s="556" t="s">
        <v>837</v>
      </c>
      <c r="AM14" s="556">
        <v>10002</v>
      </c>
      <c r="AN14" s="556" t="s">
        <v>837</v>
      </c>
      <c r="AO14" s="556">
        <v>10004</v>
      </c>
      <c r="AP14" s="556" t="s">
        <v>837</v>
      </c>
      <c r="AQ14" s="556" t="s">
        <v>837</v>
      </c>
      <c r="AR14" s="556">
        <v>10002</v>
      </c>
      <c r="AS14" s="556" t="s">
        <v>837</v>
      </c>
      <c r="AT14" s="556">
        <v>10004</v>
      </c>
      <c r="AU14" s="556" t="s">
        <v>837</v>
      </c>
      <c r="AV14" s="556" t="s">
        <v>837</v>
      </c>
      <c r="AW14" s="556">
        <v>10002</v>
      </c>
      <c r="AX14" s="556" t="s">
        <v>837</v>
      </c>
      <c r="AY14" s="556" t="s">
        <v>837</v>
      </c>
      <c r="AZ14" s="556" t="s">
        <v>837</v>
      </c>
      <c r="BA14" s="556" t="s">
        <v>837</v>
      </c>
      <c r="BB14" s="556">
        <v>10002</v>
      </c>
      <c r="BC14" s="556" t="s">
        <v>837</v>
      </c>
      <c r="BD14" s="556">
        <v>10004</v>
      </c>
      <c r="BE14" s="556" t="s">
        <v>837</v>
      </c>
      <c r="BF14" s="636"/>
      <c r="BG14" s="636"/>
      <c r="BH14" s="636">
        <v>20001</v>
      </c>
      <c r="BI14" s="543">
        <v>30000</v>
      </c>
      <c r="BJ14" s="543">
        <v>30000</v>
      </c>
      <c r="BK14" s="543">
        <v>41002</v>
      </c>
      <c r="BL14" s="609">
        <v>41002</v>
      </c>
      <c r="BM14" s="553">
        <v>40001</v>
      </c>
      <c r="BN14" s="612">
        <v>40001</v>
      </c>
      <c r="BO14" s="543"/>
      <c r="BP14" s="609"/>
      <c r="BQ14" s="550"/>
      <c r="BR14" s="543"/>
      <c r="BS14" s="741"/>
      <c r="BT14" s="648"/>
      <c r="BU14" s="648"/>
      <c r="BV14" s="648"/>
      <c r="BW14" s="648"/>
      <c r="BX14" s="648"/>
      <c r="BY14" s="648"/>
      <c r="BZ14" s="648"/>
      <c r="CA14" s="648"/>
      <c r="CB14" s="648"/>
      <c r="CC14" s="648"/>
      <c r="CD14" s="597"/>
      <c r="CE14" s="733"/>
      <c r="CF14" s="642"/>
      <c r="CG14" s="642"/>
      <c r="CH14" s="642"/>
      <c r="CI14" s="642"/>
      <c r="CJ14" s="642"/>
      <c r="CK14" s="642"/>
      <c r="CL14" s="642"/>
      <c r="CM14" s="642"/>
      <c r="CN14" s="597"/>
      <c r="CO14" s="636"/>
      <c r="CP14" s="636"/>
      <c r="CQ14" s="636"/>
      <c r="CR14" s="636"/>
      <c r="CS14" s="636"/>
      <c r="CT14" s="636"/>
      <c r="CU14" s="644"/>
      <c r="CV14" s="624">
        <v>70008</v>
      </c>
      <c r="CW14" s="624">
        <v>70008</v>
      </c>
      <c r="CX14" s="624">
        <v>70008</v>
      </c>
      <c r="CY14" s="624">
        <v>70008</v>
      </c>
      <c r="CZ14" s="624">
        <v>70008</v>
      </c>
      <c r="DA14" s="624">
        <v>70008</v>
      </c>
      <c r="DB14" s="645"/>
      <c r="DC14" s="645">
        <v>80000</v>
      </c>
      <c r="DD14" s="645">
        <v>80000</v>
      </c>
      <c r="DE14" s="645">
        <v>80000</v>
      </c>
      <c r="DF14" s="645">
        <v>80000</v>
      </c>
      <c r="DG14" s="645">
        <v>80000</v>
      </c>
      <c r="DH14" s="645">
        <v>80000</v>
      </c>
      <c r="DI14" s="636">
        <v>50002</v>
      </c>
      <c r="DJ14" s="636">
        <v>50002</v>
      </c>
      <c r="DK14" s="636">
        <v>50002</v>
      </c>
      <c r="DL14" s="636">
        <v>50002</v>
      </c>
      <c r="DM14" s="636">
        <v>50002</v>
      </c>
      <c r="DN14" s="636">
        <v>50002</v>
      </c>
      <c r="DO14" s="636">
        <v>50002</v>
      </c>
      <c r="DP14" s="543">
        <v>50002</v>
      </c>
      <c r="DQ14" s="543">
        <v>50002</v>
      </c>
      <c r="DR14" s="543">
        <v>50002</v>
      </c>
      <c r="DS14" s="543">
        <v>61000</v>
      </c>
      <c r="DT14" s="543"/>
      <c r="DU14" s="543"/>
      <c r="DV14" s="543"/>
      <c r="DW14" s="543"/>
      <c r="DX14" s="543"/>
      <c r="DY14" s="543">
        <v>61001</v>
      </c>
      <c r="DZ14" s="543">
        <v>61001</v>
      </c>
      <c r="EA14" s="543"/>
      <c r="EB14" s="543"/>
      <c r="EC14" s="543"/>
      <c r="ED14" s="543"/>
      <c r="EE14" s="543"/>
      <c r="EF14" s="636">
        <v>80000</v>
      </c>
      <c r="EG14" s="636">
        <v>80000</v>
      </c>
      <c r="EH14" s="636">
        <v>80000</v>
      </c>
    </row>
    <row r="15" spans="1:139" s="8" customFormat="1" x14ac:dyDescent="0.25">
      <c r="A15" s="8">
        <v>11</v>
      </c>
      <c r="B15" s="4" t="s">
        <v>742</v>
      </c>
      <c r="C15" s="4"/>
      <c r="D15" s="4" t="s">
        <v>53</v>
      </c>
      <c r="E15" s="4" t="s">
        <v>73</v>
      </c>
      <c r="F15" s="19" t="s">
        <v>8</v>
      </c>
      <c r="G15" s="19" t="s">
        <v>837</v>
      </c>
      <c r="H15" s="556" t="s">
        <v>837</v>
      </c>
      <c r="I15" s="556">
        <v>10002</v>
      </c>
      <c r="J15" s="556">
        <v>10003</v>
      </c>
      <c r="K15" s="556">
        <v>10004</v>
      </c>
      <c r="L15" s="556">
        <v>10005</v>
      </c>
      <c r="M15" s="556" t="s">
        <v>837</v>
      </c>
      <c r="N15" s="556">
        <v>10002</v>
      </c>
      <c r="O15" s="556">
        <v>10003</v>
      </c>
      <c r="P15" s="556">
        <v>10004</v>
      </c>
      <c r="Q15" s="556">
        <v>10005</v>
      </c>
      <c r="R15" s="556" t="s">
        <v>837</v>
      </c>
      <c r="S15" s="556">
        <v>10002</v>
      </c>
      <c r="T15" s="556">
        <v>10003</v>
      </c>
      <c r="U15" s="556">
        <v>10004</v>
      </c>
      <c r="V15" s="556">
        <v>10005</v>
      </c>
      <c r="W15" s="556" t="s">
        <v>837</v>
      </c>
      <c r="X15" s="556" t="s">
        <v>837</v>
      </c>
      <c r="Y15" s="556" t="s">
        <v>837</v>
      </c>
      <c r="Z15" s="556" t="s">
        <v>837</v>
      </c>
      <c r="AA15" s="556" t="s">
        <v>837</v>
      </c>
      <c r="AB15" s="556" t="s">
        <v>837</v>
      </c>
      <c r="AC15" s="556">
        <v>10002</v>
      </c>
      <c r="AD15" s="556">
        <v>10003</v>
      </c>
      <c r="AE15" s="556">
        <v>10004</v>
      </c>
      <c r="AF15" s="556">
        <v>10005</v>
      </c>
      <c r="AG15" s="556" t="s">
        <v>837</v>
      </c>
      <c r="AH15" s="556" t="s">
        <v>837</v>
      </c>
      <c r="AI15" s="556" t="s">
        <v>837</v>
      </c>
      <c r="AJ15" s="556" t="s">
        <v>837</v>
      </c>
      <c r="AK15" s="556" t="s">
        <v>837</v>
      </c>
      <c r="AL15" s="556" t="s">
        <v>837</v>
      </c>
      <c r="AM15" s="556" t="s">
        <v>837</v>
      </c>
      <c r="AN15" s="556" t="s">
        <v>837</v>
      </c>
      <c r="AO15" s="556" t="s">
        <v>837</v>
      </c>
      <c r="AP15" s="556" t="s">
        <v>837</v>
      </c>
      <c r="AQ15" s="556" t="s">
        <v>837</v>
      </c>
      <c r="AR15" s="556" t="s">
        <v>837</v>
      </c>
      <c r="AS15" s="556" t="s">
        <v>837</v>
      </c>
      <c r="AT15" s="556" t="s">
        <v>837</v>
      </c>
      <c r="AU15" s="556" t="s">
        <v>837</v>
      </c>
      <c r="AV15" s="556" t="s">
        <v>837</v>
      </c>
      <c r="AW15" s="556" t="s">
        <v>837</v>
      </c>
      <c r="AX15" s="556" t="s">
        <v>837</v>
      </c>
      <c r="AY15" s="556" t="s">
        <v>837</v>
      </c>
      <c r="AZ15" s="556" t="s">
        <v>837</v>
      </c>
      <c r="BA15" s="556" t="s">
        <v>837</v>
      </c>
      <c r="BB15" s="556" t="s">
        <v>837</v>
      </c>
      <c r="BC15" s="556" t="s">
        <v>837</v>
      </c>
      <c r="BD15" s="556" t="s">
        <v>837</v>
      </c>
      <c r="BE15" s="556" t="s">
        <v>837</v>
      </c>
      <c r="BF15" s="636"/>
      <c r="BG15" s="636"/>
      <c r="BH15" s="636"/>
      <c r="BI15" s="543"/>
      <c r="BJ15" s="543"/>
      <c r="BK15" s="543">
        <v>41101</v>
      </c>
      <c r="BL15" s="609">
        <v>41101</v>
      </c>
      <c r="BM15" s="553" t="s">
        <v>837</v>
      </c>
      <c r="BN15" s="612" t="s">
        <v>837</v>
      </c>
      <c r="BO15" s="560">
        <v>40801</v>
      </c>
      <c r="BP15" s="615">
        <v>40801</v>
      </c>
      <c r="BQ15" s="550"/>
      <c r="BR15" s="543"/>
      <c r="BS15" s="741"/>
      <c r="BT15" s="648"/>
      <c r="BU15" s="648"/>
      <c r="BV15" s="648"/>
      <c r="BW15" s="648"/>
      <c r="BX15" s="648"/>
      <c r="BY15" s="648"/>
      <c r="BZ15" s="648"/>
      <c r="CA15" s="648"/>
      <c r="CB15" s="648"/>
      <c r="CC15" s="648"/>
      <c r="CD15" s="597"/>
      <c r="CE15" s="733"/>
      <c r="CF15" s="642"/>
      <c r="CG15" s="642"/>
      <c r="CH15" s="642"/>
      <c r="CI15" s="642"/>
      <c r="CJ15" s="642"/>
      <c r="CK15" s="642"/>
      <c r="CL15" s="642"/>
      <c r="CM15" s="642"/>
      <c r="CN15" s="597"/>
      <c r="CO15" s="636">
        <v>70002</v>
      </c>
      <c r="CP15" s="636">
        <v>70002</v>
      </c>
      <c r="CQ15" s="636">
        <v>70002</v>
      </c>
      <c r="CR15" s="636">
        <v>70002</v>
      </c>
      <c r="CS15" s="636">
        <v>70002</v>
      </c>
      <c r="CT15" s="636">
        <v>70002</v>
      </c>
      <c r="CU15" s="644"/>
      <c r="CV15" s="636">
        <v>70003</v>
      </c>
      <c r="CW15" s="636">
        <v>70003</v>
      </c>
      <c r="CX15" s="636">
        <v>70003</v>
      </c>
      <c r="CY15" s="636">
        <v>70003</v>
      </c>
      <c r="CZ15" s="636">
        <v>70003</v>
      </c>
      <c r="DA15" s="636">
        <v>70003</v>
      </c>
      <c r="DB15" s="636"/>
      <c r="DC15" s="645">
        <v>80000</v>
      </c>
      <c r="DD15" s="645">
        <v>80000</v>
      </c>
      <c r="DE15" s="645">
        <v>80000</v>
      </c>
      <c r="DF15" s="645">
        <v>80000</v>
      </c>
      <c r="DG15" s="645">
        <v>80000</v>
      </c>
      <c r="DH15" s="645">
        <v>80000</v>
      </c>
      <c r="DI15" s="636"/>
      <c r="DJ15" s="636"/>
      <c r="DK15" s="636"/>
      <c r="DL15" s="636"/>
      <c r="DM15" s="636"/>
      <c r="DN15" s="636"/>
      <c r="DO15" s="636"/>
      <c r="DP15" s="543"/>
      <c r="DQ15" s="543"/>
      <c r="DR15" s="543"/>
      <c r="DS15" s="543">
        <v>61100</v>
      </c>
      <c r="DT15" s="543"/>
      <c r="DU15" s="543"/>
      <c r="DV15" s="543"/>
      <c r="DW15" s="543"/>
      <c r="DX15" s="543"/>
      <c r="DY15" s="543"/>
      <c r="DZ15" s="543"/>
      <c r="EA15" s="543"/>
      <c r="EB15" s="543"/>
      <c r="EC15" s="543"/>
      <c r="ED15" s="543">
        <v>60104</v>
      </c>
      <c r="EE15" s="543">
        <v>60104</v>
      </c>
      <c r="EF15" s="636">
        <v>80000</v>
      </c>
      <c r="EG15" s="636">
        <v>80000</v>
      </c>
      <c r="EH15" s="636">
        <v>80000</v>
      </c>
    </row>
    <row r="16" spans="1:139" s="8" customFormat="1" x14ac:dyDescent="0.25">
      <c r="A16" s="8">
        <v>12</v>
      </c>
      <c r="B16" s="4" t="s">
        <v>89</v>
      </c>
      <c r="C16" s="4"/>
      <c r="D16" s="4" t="s">
        <v>52</v>
      </c>
      <c r="E16" s="4" t="s">
        <v>73</v>
      </c>
      <c r="F16" s="19" t="s">
        <v>8</v>
      </c>
      <c r="G16" s="19" t="s">
        <v>837</v>
      </c>
      <c r="H16" s="556" t="s">
        <v>837</v>
      </c>
      <c r="I16" s="556">
        <v>10002</v>
      </c>
      <c r="J16" s="556" t="s">
        <v>837</v>
      </c>
      <c r="K16" s="556">
        <v>10004</v>
      </c>
      <c r="L16" s="556" t="s">
        <v>837</v>
      </c>
      <c r="M16" s="556" t="s">
        <v>837</v>
      </c>
      <c r="N16" s="556">
        <v>10002</v>
      </c>
      <c r="O16" s="556" t="s">
        <v>837</v>
      </c>
      <c r="P16" s="556">
        <v>10004</v>
      </c>
      <c r="Q16" s="556" t="s">
        <v>837</v>
      </c>
      <c r="R16" s="556" t="s">
        <v>837</v>
      </c>
      <c r="S16" s="556">
        <v>10002</v>
      </c>
      <c r="T16" s="556" t="s">
        <v>837</v>
      </c>
      <c r="U16" s="556">
        <v>10004</v>
      </c>
      <c r="V16" s="556" t="s">
        <v>837</v>
      </c>
      <c r="W16" s="556" t="s">
        <v>837</v>
      </c>
      <c r="X16" s="556" t="s">
        <v>837</v>
      </c>
      <c r="Y16" s="556" t="s">
        <v>837</v>
      </c>
      <c r="Z16" s="556" t="s">
        <v>837</v>
      </c>
      <c r="AA16" s="556" t="s">
        <v>837</v>
      </c>
      <c r="AB16" s="556" t="s">
        <v>837</v>
      </c>
      <c r="AC16" s="556">
        <v>10002</v>
      </c>
      <c r="AD16" s="556" t="s">
        <v>837</v>
      </c>
      <c r="AE16" s="556">
        <v>10004</v>
      </c>
      <c r="AF16" s="556" t="s">
        <v>837</v>
      </c>
      <c r="AG16" s="556" t="s">
        <v>837</v>
      </c>
      <c r="AH16" s="556">
        <v>10002</v>
      </c>
      <c r="AI16" s="556" t="s">
        <v>837</v>
      </c>
      <c r="AJ16" s="556">
        <v>10004</v>
      </c>
      <c r="AK16" s="556" t="s">
        <v>837</v>
      </c>
      <c r="AL16" s="556" t="s">
        <v>837</v>
      </c>
      <c r="AM16" s="556">
        <v>10002</v>
      </c>
      <c r="AN16" s="556" t="s">
        <v>837</v>
      </c>
      <c r="AO16" s="556">
        <v>10004</v>
      </c>
      <c r="AP16" s="556" t="s">
        <v>837</v>
      </c>
      <c r="AQ16" s="556" t="s">
        <v>837</v>
      </c>
      <c r="AR16" s="556">
        <v>10002</v>
      </c>
      <c r="AS16" s="556" t="s">
        <v>837</v>
      </c>
      <c r="AT16" s="556">
        <v>10004</v>
      </c>
      <c r="AU16" s="556" t="s">
        <v>837</v>
      </c>
      <c r="AV16" s="556" t="s">
        <v>837</v>
      </c>
      <c r="AW16" s="556" t="s">
        <v>837</v>
      </c>
      <c r="AX16" s="556" t="s">
        <v>837</v>
      </c>
      <c r="AY16" s="556" t="s">
        <v>837</v>
      </c>
      <c r="AZ16" s="556" t="s">
        <v>837</v>
      </c>
      <c r="BA16" s="556" t="s">
        <v>837</v>
      </c>
      <c r="BB16" s="556">
        <v>10002</v>
      </c>
      <c r="BC16" s="556" t="s">
        <v>837</v>
      </c>
      <c r="BD16" s="556">
        <v>10004</v>
      </c>
      <c r="BE16" s="556" t="s">
        <v>837</v>
      </c>
      <c r="BF16" s="636"/>
      <c r="BG16" s="636"/>
      <c r="BH16" s="636"/>
      <c r="BI16" s="543">
        <v>30000</v>
      </c>
      <c r="BJ16" s="543">
        <v>30000</v>
      </c>
      <c r="BK16" s="544">
        <v>40501</v>
      </c>
      <c r="BL16" s="610">
        <v>40501</v>
      </c>
      <c r="BM16" s="553">
        <v>40001</v>
      </c>
      <c r="BN16" s="612">
        <v>40001</v>
      </c>
      <c r="BO16" s="544"/>
      <c r="BP16" s="610"/>
      <c r="BQ16" s="587"/>
      <c r="BR16" s="544"/>
      <c r="BS16" s="741"/>
      <c r="BT16" s="648"/>
      <c r="BU16" s="648"/>
      <c r="BV16" s="648"/>
      <c r="BW16" s="648"/>
      <c r="BX16" s="648"/>
      <c r="BY16" s="648"/>
      <c r="BZ16" s="648"/>
      <c r="CA16" s="648"/>
      <c r="CB16" s="648"/>
      <c r="CC16" s="648"/>
      <c r="CD16" s="597"/>
      <c r="CE16" s="733"/>
      <c r="CF16" s="642"/>
      <c r="CG16" s="642"/>
      <c r="CH16" s="642"/>
      <c r="CI16" s="642"/>
      <c r="CJ16" s="642"/>
      <c r="CK16" s="642"/>
      <c r="CL16" s="642"/>
      <c r="CM16" s="642"/>
      <c r="CN16" s="597"/>
      <c r="CO16" s="636">
        <v>70005</v>
      </c>
      <c r="CP16" s="636">
        <v>70005</v>
      </c>
      <c r="CQ16" s="636">
        <v>70005</v>
      </c>
      <c r="CR16" s="636">
        <v>70005</v>
      </c>
      <c r="CS16" s="636">
        <v>70005</v>
      </c>
      <c r="CT16" s="636">
        <v>70005</v>
      </c>
      <c r="CU16" s="644"/>
      <c r="CV16" s="636"/>
      <c r="CW16" s="636"/>
      <c r="CX16" s="636"/>
      <c r="CY16" s="636"/>
      <c r="CZ16" s="636"/>
      <c r="DA16" s="636"/>
      <c r="DB16" s="644"/>
      <c r="DC16" s="645">
        <v>80000</v>
      </c>
      <c r="DD16" s="645">
        <v>80000</v>
      </c>
      <c r="DE16" s="645">
        <v>80000</v>
      </c>
      <c r="DF16" s="645">
        <v>80000</v>
      </c>
      <c r="DG16" s="645">
        <v>80000</v>
      </c>
      <c r="DH16" s="645">
        <v>80000</v>
      </c>
      <c r="DI16" s="636"/>
      <c r="DJ16" s="636"/>
      <c r="DK16" s="636"/>
      <c r="DL16" s="636"/>
      <c r="DM16" s="636"/>
      <c r="DN16" s="636"/>
      <c r="DO16" s="636"/>
      <c r="DP16" s="543"/>
      <c r="DQ16" s="543"/>
      <c r="DR16" s="543"/>
      <c r="DS16" s="543">
        <v>61200</v>
      </c>
      <c r="DT16" s="543"/>
      <c r="DU16" s="543"/>
      <c r="DV16" s="543"/>
      <c r="DW16" s="543"/>
      <c r="DX16" s="543"/>
      <c r="DY16" s="543">
        <v>60901</v>
      </c>
      <c r="DZ16" s="543">
        <v>60901</v>
      </c>
      <c r="EA16" s="543"/>
      <c r="EB16" s="543"/>
      <c r="EC16" s="543"/>
      <c r="ED16" s="543">
        <v>60104</v>
      </c>
      <c r="EE16" s="543">
        <v>60104</v>
      </c>
      <c r="EF16" s="636"/>
      <c r="EG16" s="636"/>
      <c r="EH16" s="636"/>
    </row>
    <row r="17" spans="1:139" s="8" customFormat="1" x14ac:dyDescent="0.25">
      <c r="A17" s="8">
        <v>13</v>
      </c>
      <c r="B17" s="4" t="s">
        <v>702</v>
      </c>
      <c r="C17" s="4"/>
      <c r="D17" s="4" t="s">
        <v>52</v>
      </c>
      <c r="E17" s="4" t="s">
        <v>73</v>
      </c>
      <c r="F17" s="19" t="s">
        <v>8</v>
      </c>
      <c r="G17" s="19" t="s">
        <v>837</v>
      </c>
      <c r="H17" s="556" t="s">
        <v>837</v>
      </c>
      <c r="I17" s="556">
        <v>10002</v>
      </c>
      <c r="J17" s="556" t="s">
        <v>837</v>
      </c>
      <c r="K17" s="556">
        <v>10004</v>
      </c>
      <c r="L17" s="556">
        <v>10005</v>
      </c>
      <c r="M17" s="556" t="s">
        <v>837</v>
      </c>
      <c r="N17" s="556">
        <v>10002</v>
      </c>
      <c r="O17" s="556" t="s">
        <v>837</v>
      </c>
      <c r="P17" s="556">
        <v>10004</v>
      </c>
      <c r="Q17" s="556">
        <v>10005</v>
      </c>
      <c r="R17" s="556" t="s">
        <v>837</v>
      </c>
      <c r="S17" s="556">
        <v>10002</v>
      </c>
      <c r="T17" s="556" t="s">
        <v>837</v>
      </c>
      <c r="U17" s="556">
        <v>10004</v>
      </c>
      <c r="V17" s="556">
        <v>10005</v>
      </c>
      <c r="W17" s="556" t="s">
        <v>837</v>
      </c>
      <c r="X17" s="556">
        <v>10002</v>
      </c>
      <c r="Y17" s="556" t="s">
        <v>837</v>
      </c>
      <c r="Z17" s="556">
        <v>10004</v>
      </c>
      <c r="AA17" s="556" t="s">
        <v>837</v>
      </c>
      <c r="AB17" s="556" t="s">
        <v>837</v>
      </c>
      <c r="AC17" s="556">
        <v>10002</v>
      </c>
      <c r="AD17" s="556" t="s">
        <v>837</v>
      </c>
      <c r="AE17" s="556">
        <v>10004</v>
      </c>
      <c r="AF17" s="556">
        <v>10005</v>
      </c>
      <c r="AG17" s="556" t="s">
        <v>837</v>
      </c>
      <c r="AH17" s="556">
        <v>10002</v>
      </c>
      <c r="AI17" s="556" t="s">
        <v>837</v>
      </c>
      <c r="AJ17" s="556">
        <v>10004</v>
      </c>
      <c r="AK17" s="556">
        <v>10005</v>
      </c>
      <c r="AL17" s="556" t="s">
        <v>837</v>
      </c>
      <c r="AM17" s="556">
        <v>10002</v>
      </c>
      <c r="AN17" s="556" t="s">
        <v>837</v>
      </c>
      <c r="AO17" s="556">
        <v>10004</v>
      </c>
      <c r="AP17" s="556">
        <v>10005</v>
      </c>
      <c r="AQ17" s="556" t="s">
        <v>837</v>
      </c>
      <c r="AR17" s="556">
        <v>10002</v>
      </c>
      <c r="AS17" s="556" t="s">
        <v>837</v>
      </c>
      <c r="AT17" s="556">
        <v>10004</v>
      </c>
      <c r="AU17" s="556">
        <v>10005</v>
      </c>
      <c r="AV17" s="556" t="s">
        <v>837</v>
      </c>
      <c r="AW17" s="556" t="s">
        <v>837</v>
      </c>
      <c r="AX17" s="556" t="s">
        <v>837</v>
      </c>
      <c r="AY17" s="556" t="s">
        <v>837</v>
      </c>
      <c r="AZ17" s="556" t="s">
        <v>837</v>
      </c>
      <c r="BA17" s="556" t="s">
        <v>837</v>
      </c>
      <c r="BB17" s="556">
        <v>10002</v>
      </c>
      <c r="BC17" s="556" t="s">
        <v>837</v>
      </c>
      <c r="BD17" s="556">
        <v>10004</v>
      </c>
      <c r="BE17" s="556">
        <v>10005</v>
      </c>
      <c r="BF17" s="636"/>
      <c r="BG17" s="636"/>
      <c r="BH17" s="636">
        <v>20001</v>
      </c>
      <c r="BI17" s="543">
        <v>30000</v>
      </c>
      <c r="BJ17" s="543">
        <v>30000</v>
      </c>
      <c r="BK17" s="544"/>
      <c r="BL17" s="610"/>
      <c r="BM17" s="553">
        <v>40001</v>
      </c>
      <c r="BN17" s="612">
        <v>40001</v>
      </c>
      <c r="BO17" s="544">
        <v>41301</v>
      </c>
      <c r="BP17" s="610">
        <v>41301</v>
      </c>
      <c r="BQ17" s="587"/>
      <c r="BR17" s="544"/>
      <c r="BS17" s="741"/>
      <c r="BT17" s="648"/>
      <c r="BU17" s="648"/>
      <c r="BV17" s="648"/>
      <c r="BW17" s="648"/>
      <c r="BX17" s="648"/>
      <c r="BY17" s="648"/>
      <c r="BZ17" s="648"/>
      <c r="CA17" s="648"/>
      <c r="CB17" s="648"/>
      <c r="CC17" s="648"/>
      <c r="CD17" s="597"/>
      <c r="CE17" s="733"/>
      <c r="CF17" s="642"/>
      <c r="CG17" s="642"/>
      <c r="CH17" s="642"/>
      <c r="CI17" s="642"/>
      <c r="CJ17" s="642"/>
      <c r="CK17" s="642"/>
      <c r="CL17" s="642"/>
      <c r="CM17" s="642"/>
      <c r="CN17" s="597"/>
      <c r="CO17" s="636"/>
      <c r="CP17" s="636"/>
      <c r="CQ17" s="636"/>
      <c r="CR17" s="636"/>
      <c r="CS17" s="636"/>
      <c r="CT17" s="636"/>
      <c r="CU17" s="644"/>
      <c r="CV17" s="623">
        <v>70006</v>
      </c>
      <c r="CW17" s="623">
        <v>70006</v>
      </c>
      <c r="CX17" s="623">
        <v>70006</v>
      </c>
      <c r="CY17" s="623">
        <v>70006</v>
      </c>
      <c r="CZ17" s="623">
        <v>70006</v>
      </c>
      <c r="DA17" s="623">
        <v>70006</v>
      </c>
      <c r="DB17" s="645"/>
      <c r="DC17" s="645">
        <v>80000</v>
      </c>
      <c r="DD17" s="645">
        <v>80000</v>
      </c>
      <c r="DE17" s="645">
        <v>80000</v>
      </c>
      <c r="DF17" s="645">
        <v>80000</v>
      </c>
      <c r="DG17" s="645">
        <v>80000</v>
      </c>
      <c r="DH17" s="645">
        <v>80000</v>
      </c>
      <c r="DI17" s="550">
        <v>50002</v>
      </c>
      <c r="DJ17" s="550">
        <v>50002</v>
      </c>
      <c r="DK17" s="550">
        <v>50002</v>
      </c>
      <c r="DL17" s="550">
        <v>50002</v>
      </c>
      <c r="DM17" s="550">
        <v>50002</v>
      </c>
      <c r="DN17" s="550">
        <v>50002</v>
      </c>
      <c r="DO17" s="550">
        <v>50002</v>
      </c>
      <c r="DP17" s="550">
        <v>50002</v>
      </c>
      <c r="DQ17" s="550">
        <v>50002</v>
      </c>
      <c r="DR17" s="550">
        <v>50002</v>
      </c>
      <c r="DS17" s="543">
        <v>61300</v>
      </c>
      <c r="DT17" s="543"/>
      <c r="DU17" s="543"/>
      <c r="DV17" s="543"/>
      <c r="DW17" s="543"/>
      <c r="DX17" s="543"/>
      <c r="DY17" s="543">
        <v>61301</v>
      </c>
      <c r="DZ17" s="543">
        <v>61301</v>
      </c>
      <c r="EA17" s="543">
        <v>61302</v>
      </c>
      <c r="EB17" s="543">
        <v>61302</v>
      </c>
      <c r="EC17" s="543">
        <v>61302</v>
      </c>
      <c r="ED17" s="543"/>
      <c r="EE17" s="543"/>
      <c r="EF17" s="636">
        <v>80000</v>
      </c>
      <c r="EG17" s="636">
        <v>80000</v>
      </c>
      <c r="EH17" s="636">
        <v>80000</v>
      </c>
    </row>
    <row r="18" spans="1:139" s="8" customFormat="1" x14ac:dyDescent="0.25">
      <c r="A18" s="8">
        <v>14</v>
      </c>
      <c r="B18" s="4" t="s">
        <v>88</v>
      </c>
      <c r="C18" s="4"/>
      <c r="D18" s="4" t="s">
        <v>52</v>
      </c>
      <c r="E18" s="4" t="s">
        <v>73</v>
      </c>
      <c r="F18" s="19" t="s">
        <v>8</v>
      </c>
      <c r="G18" s="19" t="s">
        <v>837</v>
      </c>
      <c r="H18" s="556" t="s">
        <v>837</v>
      </c>
      <c r="I18" s="556">
        <v>10002</v>
      </c>
      <c r="J18" s="556" t="s">
        <v>837</v>
      </c>
      <c r="K18" s="556">
        <v>10004</v>
      </c>
      <c r="L18" s="556">
        <v>10005</v>
      </c>
      <c r="M18" s="556" t="s">
        <v>837</v>
      </c>
      <c r="N18" s="556">
        <v>10002</v>
      </c>
      <c r="O18" s="556" t="s">
        <v>837</v>
      </c>
      <c r="P18" s="556">
        <v>10004</v>
      </c>
      <c r="Q18" s="556">
        <v>10005</v>
      </c>
      <c r="R18" s="556" t="s">
        <v>837</v>
      </c>
      <c r="S18" s="556">
        <v>10002</v>
      </c>
      <c r="T18" s="556" t="s">
        <v>837</v>
      </c>
      <c r="U18" s="556">
        <v>10004</v>
      </c>
      <c r="V18" s="556">
        <v>10005</v>
      </c>
      <c r="W18" s="556" t="s">
        <v>837</v>
      </c>
      <c r="X18" s="556" t="s">
        <v>837</v>
      </c>
      <c r="Y18" s="556" t="s">
        <v>837</v>
      </c>
      <c r="Z18" s="556" t="s">
        <v>837</v>
      </c>
      <c r="AA18" s="556" t="s">
        <v>837</v>
      </c>
      <c r="AB18" s="556" t="s">
        <v>837</v>
      </c>
      <c r="AC18" s="556">
        <v>10002</v>
      </c>
      <c r="AD18" s="556" t="s">
        <v>837</v>
      </c>
      <c r="AE18" s="556">
        <v>10004</v>
      </c>
      <c r="AF18" s="556">
        <v>10005</v>
      </c>
      <c r="AG18" s="556" t="s">
        <v>837</v>
      </c>
      <c r="AH18" s="556">
        <v>10002</v>
      </c>
      <c r="AI18" s="556" t="s">
        <v>837</v>
      </c>
      <c r="AJ18" s="556">
        <v>10004</v>
      </c>
      <c r="AK18" s="556">
        <v>10005</v>
      </c>
      <c r="AL18" s="556" t="s">
        <v>837</v>
      </c>
      <c r="AM18" s="556">
        <v>10002</v>
      </c>
      <c r="AN18" s="556" t="s">
        <v>837</v>
      </c>
      <c r="AO18" s="556">
        <v>10004</v>
      </c>
      <c r="AP18" s="556">
        <v>10005</v>
      </c>
      <c r="AQ18" s="556" t="s">
        <v>837</v>
      </c>
      <c r="AR18" s="556">
        <v>10002</v>
      </c>
      <c r="AS18" s="556" t="s">
        <v>837</v>
      </c>
      <c r="AT18" s="556">
        <v>10004</v>
      </c>
      <c r="AU18" s="556">
        <v>10005</v>
      </c>
      <c r="AV18" s="556" t="s">
        <v>837</v>
      </c>
      <c r="AW18" s="556" t="s">
        <v>837</v>
      </c>
      <c r="AX18" s="556" t="s">
        <v>837</v>
      </c>
      <c r="AY18" s="556" t="s">
        <v>837</v>
      </c>
      <c r="AZ18" s="556" t="s">
        <v>837</v>
      </c>
      <c r="BA18" s="556" t="s">
        <v>837</v>
      </c>
      <c r="BB18" s="556">
        <v>10002</v>
      </c>
      <c r="BC18" s="556" t="s">
        <v>837</v>
      </c>
      <c r="BD18" s="556">
        <v>10004</v>
      </c>
      <c r="BE18" s="556">
        <v>10005</v>
      </c>
      <c r="BF18" s="636"/>
      <c r="BG18" s="636"/>
      <c r="BH18" s="636">
        <v>20001</v>
      </c>
      <c r="BI18" s="543">
        <v>30000</v>
      </c>
      <c r="BJ18" s="543">
        <v>30000</v>
      </c>
      <c r="BK18" s="544">
        <v>41402</v>
      </c>
      <c r="BL18" s="610">
        <v>41402</v>
      </c>
      <c r="BM18" s="553">
        <v>40001</v>
      </c>
      <c r="BN18" s="612">
        <v>40001</v>
      </c>
      <c r="BO18" s="544"/>
      <c r="BP18" s="610"/>
      <c r="BQ18" s="587"/>
      <c r="BR18" s="544"/>
      <c r="BS18" s="741"/>
      <c r="BT18" s="648"/>
      <c r="BU18" s="648"/>
      <c r="BV18" s="648"/>
      <c r="BW18" s="648"/>
      <c r="BX18" s="648"/>
      <c r="BY18" s="648"/>
      <c r="BZ18" s="648"/>
      <c r="CA18" s="648"/>
      <c r="CB18" s="648"/>
      <c r="CC18" s="648"/>
      <c r="CD18" s="654"/>
      <c r="CE18" s="733"/>
      <c r="CF18" s="642"/>
      <c r="CG18" s="642"/>
      <c r="CH18" s="642"/>
      <c r="CI18" s="642"/>
      <c r="CJ18" s="642"/>
      <c r="CK18" s="642"/>
      <c r="CL18" s="642"/>
      <c r="CM18" s="642"/>
      <c r="CN18" s="597"/>
      <c r="CO18" s="636">
        <v>70001</v>
      </c>
      <c r="CP18" s="636">
        <v>70001</v>
      </c>
      <c r="CQ18" s="636">
        <v>70001</v>
      </c>
      <c r="CR18" s="636">
        <v>70001</v>
      </c>
      <c r="CS18" s="636">
        <v>70001</v>
      </c>
      <c r="CT18" s="636">
        <v>70001</v>
      </c>
      <c r="CU18" s="644"/>
      <c r="CV18" s="636"/>
      <c r="CW18" s="636"/>
      <c r="CX18" s="636"/>
      <c r="CY18" s="636"/>
      <c r="CZ18" s="636"/>
      <c r="DA18" s="636"/>
      <c r="DB18" s="644"/>
      <c r="DC18" s="645">
        <v>80000</v>
      </c>
      <c r="DD18" s="645">
        <v>80000</v>
      </c>
      <c r="DE18" s="645">
        <v>80000</v>
      </c>
      <c r="DF18" s="645">
        <v>80000</v>
      </c>
      <c r="DG18" s="645">
        <v>80000</v>
      </c>
      <c r="DH18" s="645">
        <v>80000</v>
      </c>
      <c r="DI18" s="550">
        <v>50002</v>
      </c>
      <c r="DJ18" s="550">
        <v>50002</v>
      </c>
      <c r="DK18" s="550">
        <v>50002</v>
      </c>
      <c r="DL18" s="550">
        <v>50002</v>
      </c>
      <c r="DM18" s="550">
        <v>50002</v>
      </c>
      <c r="DN18" s="550">
        <v>50002</v>
      </c>
      <c r="DO18" s="550">
        <v>50002</v>
      </c>
      <c r="DP18" s="550">
        <v>50002</v>
      </c>
      <c r="DQ18" s="550">
        <v>50002</v>
      </c>
      <c r="DR18" s="550">
        <v>50002</v>
      </c>
      <c r="DS18" s="543">
        <v>61400</v>
      </c>
      <c r="DT18" s="543"/>
      <c r="DU18" s="543"/>
      <c r="DV18" s="543"/>
      <c r="DW18" s="543"/>
      <c r="DX18" s="543"/>
      <c r="DY18" s="543">
        <v>61401</v>
      </c>
      <c r="DZ18" s="543">
        <v>61401</v>
      </c>
      <c r="EA18" s="543">
        <v>61402</v>
      </c>
      <c r="EB18" s="543">
        <v>61402</v>
      </c>
      <c r="EC18" s="543">
        <v>61402</v>
      </c>
      <c r="ED18" s="543">
        <v>60104</v>
      </c>
      <c r="EE18" s="543">
        <v>60104</v>
      </c>
      <c r="EF18" s="636"/>
      <c r="EG18" s="636"/>
      <c r="EH18" s="636"/>
    </row>
    <row r="19" spans="1:139" s="8" customFormat="1" x14ac:dyDescent="0.25">
      <c r="A19" s="8">
        <v>15</v>
      </c>
      <c r="B19" s="4" t="s">
        <v>11</v>
      </c>
      <c r="C19" s="4" t="s">
        <v>90</v>
      </c>
      <c r="D19" s="4" t="s">
        <v>51</v>
      </c>
      <c r="E19" s="4" t="s">
        <v>73</v>
      </c>
      <c r="F19" s="19" t="s">
        <v>8</v>
      </c>
      <c r="G19" s="19" t="s">
        <v>837</v>
      </c>
      <c r="H19" s="556" t="s">
        <v>837</v>
      </c>
      <c r="I19" s="556">
        <v>10002</v>
      </c>
      <c r="J19" s="556" t="s">
        <v>837</v>
      </c>
      <c r="K19" s="556">
        <v>10004</v>
      </c>
      <c r="L19" s="556" t="s">
        <v>837</v>
      </c>
      <c r="M19" s="556" t="s">
        <v>837</v>
      </c>
      <c r="N19" s="556">
        <v>10002</v>
      </c>
      <c r="O19" s="556" t="s">
        <v>837</v>
      </c>
      <c r="P19" s="556">
        <v>10004</v>
      </c>
      <c r="Q19" s="556" t="s">
        <v>837</v>
      </c>
      <c r="R19" s="556" t="s">
        <v>837</v>
      </c>
      <c r="S19" s="556">
        <v>10002</v>
      </c>
      <c r="T19" s="556" t="s">
        <v>837</v>
      </c>
      <c r="U19" s="556">
        <v>10004</v>
      </c>
      <c r="V19" s="556" t="s">
        <v>837</v>
      </c>
      <c r="W19" s="556" t="s">
        <v>837</v>
      </c>
      <c r="X19" s="556" t="s">
        <v>837</v>
      </c>
      <c r="Y19" s="556" t="s">
        <v>837</v>
      </c>
      <c r="Z19" s="556" t="s">
        <v>837</v>
      </c>
      <c r="AA19" s="556" t="s">
        <v>837</v>
      </c>
      <c r="AB19" s="556" t="s">
        <v>837</v>
      </c>
      <c r="AC19" s="556">
        <v>10002</v>
      </c>
      <c r="AD19" s="556" t="s">
        <v>837</v>
      </c>
      <c r="AE19" s="556">
        <v>10004</v>
      </c>
      <c r="AF19" s="556" t="s">
        <v>837</v>
      </c>
      <c r="AG19" s="556" t="s">
        <v>837</v>
      </c>
      <c r="AH19" s="556">
        <v>10002</v>
      </c>
      <c r="AI19" s="556" t="s">
        <v>837</v>
      </c>
      <c r="AJ19" s="556">
        <v>10004</v>
      </c>
      <c r="AK19" s="556" t="s">
        <v>837</v>
      </c>
      <c r="AL19" s="556" t="s">
        <v>837</v>
      </c>
      <c r="AM19" s="556">
        <v>10002</v>
      </c>
      <c r="AN19" s="556" t="s">
        <v>837</v>
      </c>
      <c r="AO19" s="556">
        <v>10004</v>
      </c>
      <c r="AP19" s="556" t="s">
        <v>837</v>
      </c>
      <c r="AQ19" s="556" t="s">
        <v>837</v>
      </c>
      <c r="AR19" s="556">
        <v>10002</v>
      </c>
      <c r="AS19" s="556" t="s">
        <v>837</v>
      </c>
      <c r="AT19" s="556">
        <v>10004</v>
      </c>
      <c r="AU19" s="556" t="s">
        <v>837</v>
      </c>
      <c r="AV19" s="556" t="s">
        <v>837</v>
      </c>
      <c r="AW19" s="556" t="s">
        <v>837</v>
      </c>
      <c r="AX19" s="556" t="s">
        <v>837</v>
      </c>
      <c r="AY19" s="556" t="s">
        <v>837</v>
      </c>
      <c r="AZ19" s="556" t="s">
        <v>837</v>
      </c>
      <c r="BA19" s="556" t="s">
        <v>837</v>
      </c>
      <c r="BB19" s="556">
        <v>10002</v>
      </c>
      <c r="BC19" s="556" t="s">
        <v>837</v>
      </c>
      <c r="BD19" s="556">
        <v>10004</v>
      </c>
      <c r="BE19" s="556" t="s">
        <v>837</v>
      </c>
      <c r="BF19" s="636"/>
      <c r="BG19" s="636"/>
      <c r="BH19" s="636"/>
      <c r="BI19" s="543">
        <v>30000</v>
      </c>
      <c r="BJ19" s="543">
        <v>30000</v>
      </c>
      <c r="BK19" s="544"/>
      <c r="BL19" s="610"/>
      <c r="BM19" s="553">
        <v>40001</v>
      </c>
      <c r="BN19" s="612">
        <v>40001</v>
      </c>
      <c r="BO19" s="544">
        <v>41501</v>
      </c>
      <c r="BP19" s="610">
        <v>41501</v>
      </c>
      <c r="BQ19" s="587"/>
      <c r="BR19" s="544"/>
      <c r="BS19" s="741"/>
      <c r="BT19" s="648"/>
      <c r="BU19" s="648"/>
      <c r="BV19" s="648"/>
      <c r="BW19" s="648"/>
      <c r="BX19" s="648"/>
      <c r="BY19" s="648"/>
      <c r="BZ19" s="648"/>
      <c r="CA19" s="648"/>
      <c r="CB19" s="648"/>
      <c r="CC19" s="648"/>
      <c r="CD19" s="597"/>
      <c r="CE19" s="733"/>
      <c r="CF19" s="642"/>
      <c r="CG19" s="642"/>
      <c r="CH19" s="642"/>
      <c r="CI19" s="642"/>
      <c r="CJ19" s="642"/>
      <c r="CK19" s="642"/>
      <c r="CL19" s="642"/>
      <c r="CM19" s="642"/>
      <c r="CN19" s="597"/>
      <c r="CO19" s="636"/>
      <c r="CP19" s="636"/>
      <c r="CQ19" s="636"/>
      <c r="CR19" s="636"/>
      <c r="CS19" s="636"/>
      <c r="CT19" s="636"/>
      <c r="CU19" s="644"/>
      <c r="CV19" s="623">
        <v>70007</v>
      </c>
      <c r="CW19" s="623">
        <v>70007</v>
      </c>
      <c r="CX19" s="623">
        <v>70007</v>
      </c>
      <c r="CY19" s="623">
        <v>70007</v>
      </c>
      <c r="CZ19" s="623">
        <v>70007</v>
      </c>
      <c r="DA19" s="623">
        <v>70007</v>
      </c>
      <c r="DB19" s="645"/>
      <c r="DC19" s="645">
        <v>80000</v>
      </c>
      <c r="DD19" s="645">
        <v>80000</v>
      </c>
      <c r="DE19" s="645">
        <v>80000</v>
      </c>
      <c r="DF19" s="645">
        <v>80000</v>
      </c>
      <c r="DG19" s="645">
        <v>80000</v>
      </c>
      <c r="DH19" s="645">
        <v>80000</v>
      </c>
      <c r="DI19" s="550"/>
      <c r="DJ19" s="550"/>
      <c r="DK19" s="550"/>
      <c r="DL19" s="550"/>
      <c r="DM19" s="550"/>
      <c r="DN19" s="550"/>
      <c r="DO19" s="550"/>
      <c r="DP19" s="550"/>
      <c r="DQ19" s="550"/>
      <c r="DR19" s="550"/>
      <c r="DS19" s="543">
        <v>61500</v>
      </c>
      <c r="DT19" s="543"/>
      <c r="DU19" s="543"/>
      <c r="DV19" s="543"/>
      <c r="DW19" s="543"/>
      <c r="DX19" s="543"/>
      <c r="DY19" s="543">
        <v>61501</v>
      </c>
      <c r="DZ19" s="543">
        <v>61501</v>
      </c>
      <c r="EA19" s="543"/>
      <c r="EB19" s="543"/>
      <c r="EC19" s="543"/>
      <c r="ED19" s="543"/>
      <c r="EE19" s="543"/>
      <c r="EF19" s="636">
        <v>80000</v>
      </c>
      <c r="EG19" s="636">
        <v>80000</v>
      </c>
      <c r="EH19" s="636">
        <v>80000</v>
      </c>
    </row>
    <row r="20" spans="1:139" s="8" customFormat="1" x14ac:dyDescent="0.25">
      <c r="A20" s="8">
        <v>16</v>
      </c>
      <c r="B20" s="5" t="s">
        <v>9</v>
      </c>
      <c r="C20" s="5"/>
      <c r="D20" s="4" t="s">
        <v>53</v>
      </c>
      <c r="E20" s="4" t="s">
        <v>73</v>
      </c>
      <c r="F20" s="19" t="s">
        <v>8</v>
      </c>
      <c r="G20" s="19" t="s">
        <v>837</v>
      </c>
      <c r="H20" s="556" t="s">
        <v>837</v>
      </c>
      <c r="I20" s="556">
        <v>10002</v>
      </c>
      <c r="J20" s="556">
        <v>10003</v>
      </c>
      <c r="K20" s="556">
        <v>10004</v>
      </c>
      <c r="L20" s="556">
        <v>10005</v>
      </c>
      <c r="M20" s="556" t="s">
        <v>837</v>
      </c>
      <c r="N20" s="556">
        <v>10002</v>
      </c>
      <c r="O20" s="556">
        <v>10003</v>
      </c>
      <c r="P20" s="556">
        <v>10004</v>
      </c>
      <c r="Q20" s="556">
        <v>10005</v>
      </c>
      <c r="R20" s="556" t="s">
        <v>837</v>
      </c>
      <c r="S20" s="556">
        <v>10002</v>
      </c>
      <c r="T20" s="556">
        <v>10003</v>
      </c>
      <c r="U20" s="556">
        <v>10004</v>
      </c>
      <c r="V20" s="556">
        <v>10005</v>
      </c>
      <c r="W20" s="556" t="s">
        <v>837</v>
      </c>
      <c r="X20" s="556" t="s">
        <v>837</v>
      </c>
      <c r="Y20" s="556" t="s">
        <v>837</v>
      </c>
      <c r="Z20" s="556" t="s">
        <v>837</v>
      </c>
      <c r="AA20" s="556" t="s">
        <v>837</v>
      </c>
      <c r="AB20" s="556" t="s">
        <v>837</v>
      </c>
      <c r="AC20" s="556">
        <v>10002</v>
      </c>
      <c r="AD20" s="556">
        <v>10003</v>
      </c>
      <c r="AE20" s="556">
        <v>10004</v>
      </c>
      <c r="AF20" s="556">
        <v>10005</v>
      </c>
      <c r="AG20" s="556" t="s">
        <v>837</v>
      </c>
      <c r="AH20" s="556" t="s">
        <v>837</v>
      </c>
      <c r="AI20" s="556" t="s">
        <v>837</v>
      </c>
      <c r="AJ20" s="556" t="s">
        <v>837</v>
      </c>
      <c r="AK20" s="556" t="s">
        <v>837</v>
      </c>
      <c r="AL20" s="556" t="s">
        <v>837</v>
      </c>
      <c r="AM20" s="556" t="s">
        <v>837</v>
      </c>
      <c r="AN20" s="556" t="s">
        <v>837</v>
      </c>
      <c r="AO20" s="556" t="s">
        <v>837</v>
      </c>
      <c r="AP20" s="556" t="s">
        <v>837</v>
      </c>
      <c r="AQ20" s="556" t="s">
        <v>837</v>
      </c>
      <c r="AR20" s="556" t="s">
        <v>837</v>
      </c>
      <c r="AS20" s="556" t="s">
        <v>837</v>
      </c>
      <c r="AT20" s="556" t="s">
        <v>837</v>
      </c>
      <c r="AU20" s="556" t="s">
        <v>837</v>
      </c>
      <c r="AV20" s="556" t="s">
        <v>837</v>
      </c>
      <c r="AW20" s="556" t="s">
        <v>837</v>
      </c>
      <c r="AX20" s="556" t="s">
        <v>837</v>
      </c>
      <c r="AY20" s="556" t="s">
        <v>837</v>
      </c>
      <c r="AZ20" s="556" t="s">
        <v>837</v>
      </c>
      <c r="BA20" s="556" t="s">
        <v>837</v>
      </c>
      <c r="BB20" s="556" t="s">
        <v>837</v>
      </c>
      <c r="BC20" s="556" t="s">
        <v>837</v>
      </c>
      <c r="BD20" s="556" t="s">
        <v>837</v>
      </c>
      <c r="BE20" s="556" t="s">
        <v>837</v>
      </c>
      <c r="BF20" s="636"/>
      <c r="BG20" s="636"/>
      <c r="BH20" s="636"/>
      <c r="BI20" s="543"/>
      <c r="BJ20" s="543"/>
      <c r="BK20" s="544"/>
      <c r="BL20" s="610"/>
      <c r="BM20" s="553">
        <v>40001</v>
      </c>
      <c r="BN20" s="612">
        <v>40001</v>
      </c>
      <c r="BO20" s="544">
        <v>41601</v>
      </c>
      <c r="BP20" s="610">
        <v>41601</v>
      </c>
      <c r="BQ20" s="587"/>
      <c r="BR20" s="544"/>
      <c r="BS20" s="755">
        <v>80000</v>
      </c>
      <c r="BT20" s="756">
        <v>80000</v>
      </c>
      <c r="BU20" s="756">
        <v>80000</v>
      </c>
      <c r="BV20" s="756">
        <v>80000</v>
      </c>
      <c r="BW20" s="756">
        <v>80000</v>
      </c>
      <c r="BX20" s="756">
        <v>80000</v>
      </c>
      <c r="BY20" s="756">
        <v>80000</v>
      </c>
      <c r="BZ20" s="756">
        <v>80000</v>
      </c>
      <c r="CA20" s="756">
        <v>80000</v>
      </c>
      <c r="CB20" s="756">
        <v>80000</v>
      </c>
      <c r="CC20" s="756">
        <v>80000</v>
      </c>
      <c r="CD20" s="757"/>
      <c r="CE20" s="755">
        <v>80000</v>
      </c>
      <c r="CF20" s="756">
        <v>80000</v>
      </c>
      <c r="CG20" s="756">
        <v>80000</v>
      </c>
      <c r="CH20" s="756">
        <v>80000</v>
      </c>
      <c r="CI20" s="756">
        <v>80000</v>
      </c>
      <c r="CJ20" s="756">
        <v>80000</v>
      </c>
      <c r="CK20" s="756">
        <v>80000</v>
      </c>
      <c r="CL20" s="756">
        <v>80000</v>
      </c>
      <c r="CM20" s="756">
        <v>80000</v>
      </c>
      <c r="CN20" s="757">
        <v>80000</v>
      </c>
      <c r="CO20" s="636">
        <v>70004</v>
      </c>
      <c r="CP20" s="636">
        <v>70004</v>
      </c>
      <c r="CQ20" s="636">
        <v>70004</v>
      </c>
      <c r="CR20" s="636">
        <v>70004</v>
      </c>
      <c r="CS20" s="636">
        <v>70004</v>
      </c>
      <c r="CT20" s="636">
        <v>70004</v>
      </c>
      <c r="CU20" s="644"/>
      <c r="CV20" s="636">
        <v>70003</v>
      </c>
      <c r="CW20" s="636">
        <v>70003</v>
      </c>
      <c r="CX20" s="636">
        <v>70003</v>
      </c>
      <c r="CY20" s="636">
        <v>70003</v>
      </c>
      <c r="CZ20" s="636">
        <v>70003</v>
      </c>
      <c r="DA20" s="636">
        <v>70003</v>
      </c>
      <c r="DB20" s="623"/>
      <c r="DC20" s="645">
        <v>80000</v>
      </c>
      <c r="DD20" s="645">
        <v>80000</v>
      </c>
      <c r="DE20" s="645">
        <v>80000</v>
      </c>
      <c r="DF20" s="645">
        <v>80000</v>
      </c>
      <c r="DG20" s="645">
        <v>80000</v>
      </c>
      <c r="DH20" s="645">
        <v>80000</v>
      </c>
      <c r="DI20" s="550">
        <v>50003</v>
      </c>
      <c r="DJ20" s="550">
        <v>50003</v>
      </c>
      <c r="DK20" s="550">
        <v>50003</v>
      </c>
      <c r="DL20" s="550">
        <v>50003</v>
      </c>
      <c r="DM20" s="550">
        <v>50003</v>
      </c>
      <c r="DN20" s="550">
        <v>50003</v>
      </c>
      <c r="DO20" s="550">
        <v>50003</v>
      </c>
      <c r="DP20" s="550">
        <v>50003</v>
      </c>
      <c r="DQ20" s="550">
        <v>50003</v>
      </c>
      <c r="DR20" s="550">
        <v>50003</v>
      </c>
      <c r="DS20" s="543">
        <v>61600</v>
      </c>
      <c r="DT20" s="543"/>
      <c r="DU20" s="543"/>
      <c r="DV20" s="543"/>
      <c r="DW20" s="543"/>
      <c r="DX20" s="543"/>
      <c r="DY20" s="543">
        <v>61601</v>
      </c>
      <c r="DZ20" s="543">
        <v>61601</v>
      </c>
      <c r="EA20" s="543"/>
      <c r="EB20" s="543"/>
      <c r="EC20" s="543"/>
      <c r="ED20" s="543">
        <v>60104</v>
      </c>
      <c r="EE20" s="543">
        <v>60104</v>
      </c>
      <c r="EF20" s="636">
        <v>80000</v>
      </c>
      <c r="EG20" s="636">
        <v>80000</v>
      </c>
      <c r="EH20" s="636">
        <v>80000</v>
      </c>
    </row>
    <row r="21" spans="1:139" s="8" customFormat="1" x14ac:dyDescent="0.25">
      <c r="A21" s="8">
        <v>17</v>
      </c>
      <c r="B21" s="4" t="s">
        <v>10</v>
      </c>
      <c r="C21" s="4"/>
      <c r="D21" s="4" t="s">
        <v>77</v>
      </c>
      <c r="E21" s="4" t="s">
        <v>73</v>
      </c>
      <c r="F21" s="19" t="s">
        <v>8</v>
      </c>
      <c r="G21" s="19" t="s">
        <v>837</v>
      </c>
      <c r="H21" s="556">
        <v>10001</v>
      </c>
      <c r="I21" s="556">
        <v>10002</v>
      </c>
      <c r="J21" s="556">
        <v>10003</v>
      </c>
      <c r="K21" s="556">
        <v>10004</v>
      </c>
      <c r="L21" s="556">
        <v>10005</v>
      </c>
      <c r="M21" s="556">
        <v>10001</v>
      </c>
      <c r="N21" s="556">
        <v>10002</v>
      </c>
      <c r="O21" s="556">
        <v>10003</v>
      </c>
      <c r="P21" s="556">
        <v>10004</v>
      </c>
      <c r="Q21" s="556">
        <v>10005</v>
      </c>
      <c r="R21" s="556">
        <v>10001</v>
      </c>
      <c r="S21" s="556">
        <v>10002</v>
      </c>
      <c r="T21" s="556">
        <v>10003</v>
      </c>
      <c r="U21" s="556">
        <v>10004</v>
      </c>
      <c r="V21" s="556">
        <v>10005</v>
      </c>
      <c r="W21" s="556" t="s">
        <v>837</v>
      </c>
      <c r="X21" s="556" t="s">
        <v>837</v>
      </c>
      <c r="Y21" s="556" t="s">
        <v>837</v>
      </c>
      <c r="Z21" s="556" t="s">
        <v>837</v>
      </c>
      <c r="AA21" s="556" t="s">
        <v>837</v>
      </c>
      <c r="AB21" s="556">
        <v>10001</v>
      </c>
      <c r="AC21" s="556">
        <v>10002</v>
      </c>
      <c r="AD21" s="556">
        <v>10003</v>
      </c>
      <c r="AE21" s="556">
        <v>10004</v>
      </c>
      <c r="AF21" s="556">
        <v>10005</v>
      </c>
      <c r="AG21" s="556" t="s">
        <v>837</v>
      </c>
      <c r="AH21" s="556" t="s">
        <v>837</v>
      </c>
      <c r="AI21" s="556" t="s">
        <v>837</v>
      </c>
      <c r="AJ21" s="556" t="s">
        <v>837</v>
      </c>
      <c r="AK21" s="556" t="s">
        <v>837</v>
      </c>
      <c r="AL21" s="556" t="s">
        <v>837</v>
      </c>
      <c r="AM21" s="556" t="s">
        <v>837</v>
      </c>
      <c r="AN21" s="556" t="s">
        <v>837</v>
      </c>
      <c r="AO21" s="556" t="s">
        <v>837</v>
      </c>
      <c r="AP21" s="556" t="s">
        <v>837</v>
      </c>
      <c r="AQ21" s="556" t="s">
        <v>837</v>
      </c>
      <c r="AR21" s="556" t="s">
        <v>837</v>
      </c>
      <c r="AS21" s="556" t="s">
        <v>837</v>
      </c>
      <c r="AT21" s="556" t="s">
        <v>837</v>
      </c>
      <c r="AU21" s="556" t="s">
        <v>837</v>
      </c>
      <c r="AV21" s="556" t="s">
        <v>837</v>
      </c>
      <c r="AW21" s="556" t="s">
        <v>837</v>
      </c>
      <c r="AX21" s="556" t="s">
        <v>837</v>
      </c>
      <c r="AY21" s="556" t="s">
        <v>837</v>
      </c>
      <c r="AZ21" s="556" t="s">
        <v>837</v>
      </c>
      <c r="BA21" s="556" t="s">
        <v>837</v>
      </c>
      <c r="BB21" s="556" t="s">
        <v>837</v>
      </c>
      <c r="BC21" s="556" t="s">
        <v>837</v>
      </c>
      <c r="BD21" s="556" t="s">
        <v>837</v>
      </c>
      <c r="BE21" s="556" t="s">
        <v>837</v>
      </c>
      <c r="BF21" s="636"/>
      <c r="BG21" s="636"/>
      <c r="BH21" s="636"/>
      <c r="BI21" s="543"/>
      <c r="BJ21" s="543"/>
      <c r="BK21" s="544"/>
      <c r="BL21" s="610"/>
      <c r="BM21" s="553">
        <v>40001</v>
      </c>
      <c r="BN21" s="612">
        <v>40001</v>
      </c>
      <c r="BO21" s="544">
        <v>41701</v>
      </c>
      <c r="BP21" s="610">
        <v>41701</v>
      </c>
      <c r="BQ21" s="587"/>
      <c r="BR21" s="544"/>
      <c r="BS21" s="741"/>
      <c r="BT21" s="648"/>
      <c r="BU21" s="648"/>
      <c r="BV21" s="648"/>
      <c r="BW21" s="648"/>
      <c r="BX21" s="648"/>
      <c r="BY21" s="648"/>
      <c r="BZ21" s="648"/>
      <c r="CA21" s="648"/>
      <c r="CB21" s="648"/>
      <c r="CC21" s="648"/>
      <c r="CD21" s="597"/>
      <c r="CE21" s="733"/>
      <c r="CF21" s="642"/>
      <c r="CG21" s="642"/>
      <c r="CH21" s="642"/>
      <c r="CI21" s="642"/>
      <c r="CJ21" s="642"/>
      <c r="CK21" s="642"/>
      <c r="CL21" s="642"/>
      <c r="CM21" s="642"/>
      <c r="CN21" s="597"/>
      <c r="CO21" s="623"/>
      <c r="CP21" s="623"/>
      <c r="CQ21" s="623"/>
      <c r="CR21" s="623"/>
      <c r="CS21" s="623"/>
      <c r="CT21" s="623"/>
      <c r="CU21" s="623"/>
      <c r="CV21" s="623"/>
      <c r="CW21" s="623"/>
      <c r="CX21" s="623"/>
      <c r="CY21" s="623"/>
      <c r="CZ21" s="623"/>
      <c r="DA21" s="623"/>
      <c r="DB21" s="623"/>
      <c r="DC21" s="623"/>
      <c r="DD21" s="623"/>
      <c r="DE21" s="623"/>
      <c r="DF21" s="623"/>
      <c r="DG21" s="623"/>
      <c r="DH21" s="623"/>
      <c r="DI21" s="550"/>
      <c r="DJ21" s="550"/>
      <c r="DK21" s="550"/>
      <c r="DL21" s="550"/>
      <c r="DM21" s="550"/>
      <c r="DN21" s="550"/>
      <c r="DO21" s="550"/>
      <c r="DP21" s="550"/>
      <c r="DQ21" s="550"/>
      <c r="DR21" s="550"/>
      <c r="DS21" s="543">
        <v>61700</v>
      </c>
      <c r="DT21" s="543"/>
      <c r="DU21" s="543"/>
      <c r="DV21" s="543">
        <v>61701</v>
      </c>
      <c r="DW21" s="543">
        <v>61701</v>
      </c>
      <c r="DX21" s="543">
        <v>61701</v>
      </c>
      <c r="DY21" s="543"/>
      <c r="DZ21" s="543"/>
      <c r="EA21" s="543"/>
      <c r="EB21" s="543"/>
      <c r="EC21" s="543"/>
      <c r="ED21" s="543"/>
      <c r="EE21" s="543"/>
      <c r="EF21" s="636"/>
      <c r="EG21" s="636"/>
      <c r="EH21" s="636"/>
      <c r="EI21" s="13"/>
    </row>
    <row r="22" spans="1:139" s="8" customFormat="1" x14ac:dyDescent="0.25">
      <c r="A22" s="8">
        <v>18</v>
      </c>
      <c r="B22" s="4" t="s">
        <v>699</v>
      </c>
      <c r="C22" s="4"/>
      <c r="D22" s="4" t="s">
        <v>51</v>
      </c>
      <c r="E22" s="4" t="s">
        <v>73</v>
      </c>
      <c r="F22" s="19" t="s">
        <v>8</v>
      </c>
      <c r="G22" s="19" t="s">
        <v>837</v>
      </c>
      <c r="H22" s="556" t="s">
        <v>837</v>
      </c>
      <c r="I22" s="556">
        <v>10002</v>
      </c>
      <c r="J22" s="556" t="s">
        <v>837</v>
      </c>
      <c r="K22" s="556">
        <v>10004</v>
      </c>
      <c r="L22" s="556">
        <v>10005</v>
      </c>
      <c r="M22" s="556" t="s">
        <v>837</v>
      </c>
      <c r="N22" s="556">
        <v>10002</v>
      </c>
      <c r="O22" s="556" t="s">
        <v>837</v>
      </c>
      <c r="P22" s="556">
        <v>10004</v>
      </c>
      <c r="Q22" s="556">
        <v>10005</v>
      </c>
      <c r="R22" s="556" t="s">
        <v>837</v>
      </c>
      <c r="S22" s="556">
        <v>10002</v>
      </c>
      <c r="T22" s="556" t="s">
        <v>837</v>
      </c>
      <c r="U22" s="556">
        <v>10004</v>
      </c>
      <c r="V22" s="556">
        <v>10005</v>
      </c>
      <c r="W22" s="556" t="s">
        <v>837</v>
      </c>
      <c r="X22" s="556">
        <v>10002</v>
      </c>
      <c r="Y22" s="556" t="s">
        <v>837</v>
      </c>
      <c r="Z22" s="556" t="s">
        <v>837</v>
      </c>
      <c r="AA22" s="556" t="s">
        <v>837</v>
      </c>
      <c r="AB22" s="556" t="s">
        <v>837</v>
      </c>
      <c r="AC22" s="556">
        <v>10002</v>
      </c>
      <c r="AD22" s="556" t="s">
        <v>837</v>
      </c>
      <c r="AE22" s="556">
        <v>10004</v>
      </c>
      <c r="AF22" s="556">
        <v>10005</v>
      </c>
      <c r="AG22" s="556" t="s">
        <v>837</v>
      </c>
      <c r="AH22" s="556">
        <v>10002</v>
      </c>
      <c r="AI22" s="556" t="s">
        <v>837</v>
      </c>
      <c r="AJ22" s="556">
        <v>10004</v>
      </c>
      <c r="AK22" s="556" t="s">
        <v>837</v>
      </c>
      <c r="AL22" s="556" t="s">
        <v>837</v>
      </c>
      <c r="AM22" s="556">
        <v>10002</v>
      </c>
      <c r="AN22" s="556" t="s">
        <v>837</v>
      </c>
      <c r="AO22" s="556">
        <v>10004</v>
      </c>
      <c r="AP22" s="556" t="s">
        <v>837</v>
      </c>
      <c r="AQ22" s="556" t="s">
        <v>837</v>
      </c>
      <c r="AR22" s="556">
        <v>10002</v>
      </c>
      <c r="AS22" s="556" t="s">
        <v>837</v>
      </c>
      <c r="AT22" s="556">
        <v>10004</v>
      </c>
      <c r="AU22" s="556" t="s">
        <v>837</v>
      </c>
      <c r="AV22" s="556" t="s">
        <v>837</v>
      </c>
      <c r="AW22" s="556">
        <v>10002</v>
      </c>
      <c r="AX22" s="556" t="s">
        <v>837</v>
      </c>
      <c r="AY22" s="556" t="s">
        <v>837</v>
      </c>
      <c r="AZ22" s="556" t="s">
        <v>837</v>
      </c>
      <c r="BA22" s="556" t="s">
        <v>837</v>
      </c>
      <c r="BB22" s="556">
        <v>10002</v>
      </c>
      <c r="BC22" s="556" t="s">
        <v>837</v>
      </c>
      <c r="BD22" s="556">
        <v>10004</v>
      </c>
      <c r="BE22" s="556" t="s">
        <v>837</v>
      </c>
      <c r="BF22" s="636"/>
      <c r="BG22" s="636"/>
      <c r="BH22" s="636">
        <v>20001</v>
      </c>
      <c r="BI22" s="543">
        <v>30000</v>
      </c>
      <c r="BJ22" s="543">
        <v>30000</v>
      </c>
      <c r="BK22" s="558">
        <v>41002</v>
      </c>
      <c r="BL22" s="613">
        <v>41002</v>
      </c>
      <c r="BM22" s="553">
        <v>40001</v>
      </c>
      <c r="BN22" s="612">
        <v>40001</v>
      </c>
      <c r="BO22" s="558"/>
      <c r="BP22" s="613"/>
      <c r="BQ22" s="558"/>
      <c r="BR22" s="558"/>
      <c r="BS22" s="755">
        <v>80000</v>
      </c>
      <c r="BT22" s="756">
        <v>80000</v>
      </c>
      <c r="BU22" s="756">
        <v>80000</v>
      </c>
      <c r="BV22" s="756">
        <v>80000</v>
      </c>
      <c r="BW22" s="756">
        <v>80000</v>
      </c>
      <c r="BX22" s="756">
        <v>80000</v>
      </c>
      <c r="BY22" s="756">
        <v>80000</v>
      </c>
      <c r="BZ22" s="756">
        <v>80000</v>
      </c>
      <c r="CA22" s="756">
        <v>80000</v>
      </c>
      <c r="CB22" s="756">
        <v>80000</v>
      </c>
      <c r="CC22" s="756">
        <v>80000</v>
      </c>
      <c r="CD22" s="757"/>
      <c r="CE22" s="755">
        <v>80000</v>
      </c>
      <c r="CF22" s="756">
        <v>80000</v>
      </c>
      <c r="CG22" s="756">
        <v>80000</v>
      </c>
      <c r="CH22" s="756">
        <v>80000</v>
      </c>
      <c r="CI22" s="756">
        <v>80000</v>
      </c>
      <c r="CJ22" s="756">
        <v>80000</v>
      </c>
      <c r="CK22" s="756">
        <v>80000</v>
      </c>
      <c r="CL22" s="756">
        <v>80000</v>
      </c>
      <c r="CM22" s="756">
        <v>80000</v>
      </c>
      <c r="CN22" s="757">
        <v>80000</v>
      </c>
      <c r="CO22" s="636"/>
      <c r="CP22" s="636"/>
      <c r="CQ22" s="636"/>
      <c r="CR22" s="636"/>
      <c r="CS22" s="636"/>
      <c r="CT22" s="636"/>
      <c r="CU22" s="644"/>
      <c r="CV22" s="624">
        <v>70009</v>
      </c>
      <c r="CW22" s="624">
        <v>70009</v>
      </c>
      <c r="CX22" s="624">
        <v>70009</v>
      </c>
      <c r="CY22" s="624">
        <v>70009</v>
      </c>
      <c r="CZ22" s="624">
        <v>70009</v>
      </c>
      <c r="DA22" s="624">
        <v>70009</v>
      </c>
      <c r="DB22" s="645"/>
      <c r="DC22" s="645">
        <v>80000</v>
      </c>
      <c r="DD22" s="645">
        <v>80000</v>
      </c>
      <c r="DE22" s="645">
        <v>80000</v>
      </c>
      <c r="DF22" s="645">
        <v>80000</v>
      </c>
      <c r="DG22" s="645">
        <v>80000</v>
      </c>
      <c r="DH22" s="645">
        <v>80000</v>
      </c>
      <c r="DI22" s="550">
        <v>50002</v>
      </c>
      <c r="DJ22" s="550">
        <v>50002</v>
      </c>
      <c r="DK22" s="550">
        <v>50002</v>
      </c>
      <c r="DL22" s="550">
        <v>50002</v>
      </c>
      <c r="DM22" s="550">
        <v>50002</v>
      </c>
      <c r="DN22" s="550">
        <v>50002</v>
      </c>
      <c r="DO22" s="550">
        <v>50002</v>
      </c>
      <c r="DP22" s="550">
        <v>50002</v>
      </c>
      <c r="DQ22" s="550">
        <v>50002</v>
      </c>
      <c r="DR22" s="550">
        <v>50002</v>
      </c>
      <c r="DS22" s="543">
        <v>61800</v>
      </c>
      <c r="DT22" s="543"/>
      <c r="DU22" s="543"/>
      <c r="DV22" s="543"/>
      <c r="DW22" s="543"/>
      <c r="DX22" s="543"/>
      <c r="DY22" s="543">
        <v>61001</v>
      </c>
      <c r="DZ22" s="543">
        <v>61001</v>
      </c>
      <c r="EA22" s="543"/>
      <c r="EB22" s="543"/>
      <c r="EC22" s="543"/>
      <c r="ED22" s="543"/>
      <c r="EE22" s="543"/>
      <c r="EF22" s="636">
        <v>80000</v>
      </c>
      <c r="EG22" s="636">
        <v>80000</v>
      </c>
      <c r="EH22" s="636">
        <v>80000</v>
      </c>
    </row>
    <row r="23" spans="1:139" x14ac:dyDescent="0.25">
      <c r="A23" s="8">
        <v>19</v>
      </c>
      <c r="B23" s="4" t="s">
        <v>703</v>
      </c>
      <c r="C23" s="4"/>
      <c r="D23" s="4" t="s">
        <v>51</v>
      </c>
      <c r="E23" s="4" t="s">
        <v>73</v>
      </c>
      <c r="F23" s="19" t="s">
        <v>8</v>
      </c>
      <c r="G23" s="19" t="s">
        <v>837</v>
      </c>
      <c r="H23" s="556" t="s">
        <v>837</v>
      </c>
      <c r="I23" s="556" t="s">
        <v>837</v>
      </c>
      <c r="J23" s="556" t="s">
        <v>837</v>
      </c>
      <c r="K23" s="556" t="s">
        <v>837</v>
      </c>
      <c r="L23" s="556" t="s">
        <v>837</v>
      </c>
      <c r="M23" s="556" t="s">
        <v>837</v>
      </c>
      <c r="N23" s="556" t="s">
        <v>837</v>
      </c>
      <c r="O23" s="556" t="s">
        <v>837</v>
      </c>
      <c r="P23" s="556" t="s">
        <v>837</v>
      </c>
      <c r="Q23" s="556" t="s">
        <v>837</v>
      </c>
      <c r="R23" s="556" t="s">
        <v>837</v>
      </c>
      <c r="S23" s="556" t="s">
        <v>837</v>
      </c>
      <c r="T23" s="556" t="s">
        <v>837</v>
      </c>
      <c r="U23" s="556" t="s">
        <v>837</v>
      </c>
      <c r="V23" s="556" t="s">
        <v>837</v>
      </c>
      <c r="W23" s="556" t="s">
        <v>837</v>
      </c>
      <c r="X23" s="556" t="s">
        <v>837</v>
      </c>
      <c r="Y23" s="556" t="s">
        <v>837</v>
      </c>
      <c r="Z23" s="556" t="s">
        <v>837</v>
      </c>
      <c r="AA23" s="556" t="s">
        <v>837</v>
      </c>
      <c r="AB23" s="556" t="s">
        <v>837</v>
      </c>
      <c r="AC23" s="556" t="s">
        <v>837</v>
      </c>
      <c r="AD23" s="556" t="s">
        <v>837</v>
      </c>
      <c r="AE23" s="556" t="s">
        <v>837</v>
      </c>
      <c r="AF23" s="556" t="s">
        <v>837</v>
      </c>
      <c r="AG23" s="556" t="s">
        <v>837</v>
      </c>
      <c r="AH23" s="556" t="s">
        <v>837</v>
      </c>
      <c r="AI23" s="556" t="s">
        <v>837</v>
      </c>
      <c r="AJ23" s="556" t="s">
        <v>837</v>
      </c>
      <c r="AK23" s="556" t="s">
        <v>837</v>
      </c>
      <c r="AL23" s="556" t="s">
        <v>837</v>
      </c>
      <c r="AM23" s="556" t="s">
        <v>837</v>
      </c>
      <c r="AN23" s="556" t="s">
        <v>837</v>
      </c>
      <c r="AO23" s="556" t="s">
        <v>837</v>
      </c>
      <c r="AP23" s="556" t="s">
        <v>837</v>
      </c>
      <c r="AQ23" s="556" t="s">
        <v>837</v>
      </c>
      <c r="AR23" s="556" t="s">
        <v>837</v>
      </c>
      <c r="AS23" s="556" t="s">
        <v>837</v>
      </c>
      <c r="AT23" s="556" t="s">
        <v>837</v>
      </c>
      <c r="AU23" s="556" t="s">
        <v>837</v>
      </c>
      <c r="AV23" s="556" t="s">
        <v>837</v>
      </c>
      <c r="AW23" s="556" t="s">
        <v>837</v>
      </c>
      <c r="AX23" s="556" t="s">
        <v>837</v>
      </c>
      <c r="AY23" s="556" t="s">
        <v>837</v>
      </c>
      <c r="AZ23" s="556" t="s">
        <v>837</v>
      </c>
      <c r="BA23" s="556" t="s">
        <v>837</v>
      </c>
      <c r="BB23" s="556" t="s">
        <v>837</v>
      </c>
      <c r="BC23" s="556" t="s">
        <v>837</v>
      </c>
      <c r="BD23" s="556" t="s">
        <v>837</v>
      </c>
      <c r="BE23" s="556" t="s">
        <v>837</v>
      </c>
      <c r="BF23" s="636"/>
      <c r="BG23" s="636"/>
      <c r="BH23" s="636">
        <v>20001</v>
      </c>
      <c r="BI23" s="543">
        <v>30000</v>
      </c>
      <c r="BJ23" s="543">
        <v>30000</v>
      </c>
      <c r="BK23" s="543">
        <v>41001</v>
      </c>
      <c r="BL23" s="609">
        <v>41001</v>
      </c>
      <c r="BM23" s="553">
        <v>40001</v>
      </c>
      <c r="BN23" s="612">
        <v>40001</v>
      </c>
      <c r="BO23" s="543"/>
      <c r="BP23" s="609"/>
      <c r="BQ23" s="550"/>
      <c r="BR23" s="543"/>
      <c r="BS23" s="755">
        <v>80000</v>
      </c>
      <c r="BT23" s="756">
        <v>80000</v>
      </c>
      <c r="BU23" s="756">
        <v>80000</v>
      </c>
      <c r="BV23" s="756">
        <v>80000</v>
      </c>
      <c r="BW23" s="756">
        <v>80000</v>
      </c>
      <c r="BX23" s="756">
        <v>80000</v>
      </c>
      <c r="BY23" s="756">
        <v>80000</v>
      </c>
      <c r="BZ23" s="756">
        <v>80000</v>
      </c>
      <c r="CA23" s="756">
        <v>80000</v>
      </c>
      <c r="CB23" s="756">
        <v>80000</v>
      </c>
      <c r="CC23" s="756">
        <v>80000</v>
      </c>
      <c r="CD23" s="757"/>
      <c r="CE23" s="755">
        <v>80000</v>
      </c>
      <c r="CF23" s="756">
        <v>80000</v>
      </c>
      <c r="CG23" s="756">
        <v>80000</v>
      </c>
      <c r="CH23" s="756">
        <v>80000</v>
      </c>
      <c r="CI23" s="756">
        <v>80000</v>
      </c>
      <c r="CJ23" s="756">
        <v>80000</v>
      </c>
      <c r="CK23" s="756">
        <v>80000</v>
      </c>
      <c r="CL23" s="756">
        <v>80000</v>
      </c>
      <c r="CM23" s="756">
        <v>80000</v>
      </c>
      <c r="CN23" s="757">
        <v>80000</v>
      </c>
      <c r="CO23" s="636"/>
      <c r="CP23" s="636"/>
      <c r="CQ23" s="636"/>
      <c r="CR23" s="636"/>
      <c r="CS23" s="636"/>
      <c r="CT23" s="636"/>
      <c r="CU23" s="644"/>
      <c r="CV23" s="638">
        <v>70008</v>
      </c>
      <c r="CW23" s="638">
        <v>70008</v>
      </c>
      <c r="CX23" s="638">
        <v>70008</v>
      </c>
      <c r="CY23" s="638">
        <v>70008</v>
      </c>
      <c r="CZ23" s="638">
        <v>70008</v>
      </c>
      <c r="DA23" s="638">
        <v>70008</v>
      </c>
      <c r="DB23" s="645"/>
      <c r="DC23" s="645">
        <v>80000</v>
      </c>
      <c r="DD23" s="645">
        <v>80000</v>
      </c>
      <c r="DE23" s="645">
        <v>80000</v>
      </c>
      <c r="DF23" s="645">
        <v>80000</v>
      </c>
      <c r="DG23" s="645">
        <v>80000</v>
      </c>
      <c r="DH23" s="645">
        <v>80000</v>
      </c>
      <c r="DI23" s="550">
        <v>50002</v>
      </c>
      <c r="DJ23" s="550">
        <v>50002</v>
      </c>
      <c r="DK23" s="550">
        <v>50002</v>
      </c>
      <c r="DL23" s="550">
        <v>50002</v>
      </c>
      <c r="DM23" s="550">
        <v>50002</v>
      </c>
      <c r="DN23" s="550">
        <v>50002</v>
      </c>
      <c r="DO23" s="550">
        <v>50002</v>
      </c>
      <c r="DP23" s="550">
        <v>50002</v>
      </c>
      <c r="DQ23" s="550">
        <v>50002</v>
      </c>
      <c r="DR23" s="550">
        <v>50002</v>
      </c>
      <c r="DS23" s="543">
        <v>61900</v>
      </c>
      <c r="DT23" s="543"/>
      <c r="DU23" s="543"/>
      <c r="DV23" s="543"/>
      <c r="DW23" s="543"/>
      <c r="DX23" s="543"/>
      <c r="DY23" s="543">
        <v>61901</v>
      </c>
      <c r="DZ23" s="543">
        <v>61901</v>
      </c>
      <c r="EA23" s="543">
        <v>61902</v>
      </c>
      <c r="EB23" s="543">
        <v>61902</v>
      </c>
      <c r="EC23" s="543">
        <v>61902</v>
      </c>
      <c r="ED23" s="543"/>
      <c r="EE23" s="543"/>
      <c r="EF23" s="636">
        <v>80000</v>
      </c>
      <c r="EG23" s="636">
        <v>80000</v>
      </c>
      <c r="EH23" s="636">
        <v>80000</v>
      </c>
      <c r="EI23" s="8"/>
    </row>
    <row r="24" spans="1:139" s="14" customFormat="1" x14ac:dyDescent="0.25">
      <c r="A24" s="8">
        <v>20</v>
      </c>
      <c r="B24" s="18" t="s">
        <v>72</v>
      </c>
      <c r="C24" s="18"/>
      <c r="D24" s="19" t="s">
        <v>53</v>
      </c>
      <c r="E24" s="19" t="s">
        <v>73</v>
      </c>
      <c r="F24" s="19" t="s">
        <v>8</v>
      </c>
      <c r="G24" s="19" t="s">
        <v>837</v>
      </c>
      <c r="H24" s="556">
        <v>10001</v>
      </c>
      <c r="I24" s="556">
        <v>10002</v>
      </c>
      <c r="J24" s="556">
        <v>10003</v>
      </c>
      <c r="K24" s="556">
        <v>10004</v>
      </c>
      <c r="L24" s="556">
        <v>10005</v>
      </c>
      <c r="M24" s="556">
        <v>10001</v>
      </c>
      <c r="N24" s="556">
        <v>10002</v>
      </c>
      <c r="O24" s="556">
        <v>10003</v>
      </c>
      <c r="P24" s="556">
        <v>10004</v>
      </c>
      <c r="Q24" s="556">
        <v>10005</v>
      </c>
      <c r="R24" s="556">
        <v>10001</v>
      </c>
      <c r="S24" s="556">
        <v>10002</v>
      </c>
      <c r="T24" s="556">
        <v>10003</v>
      </c>
      <c r="U24" s="556">
        <v>10004</v>
      </c>
      <c r="V24" s="556">
        <v>10005</v>
      </c>
      <c r="W24" s="556" t="s">
        <v>837</v>
      </c>
      <c r="X24" s="556" t="s">
        <v>837</v>
      </c>
      <c r="Y24" s="556" t="s">
        <v>837</v>
      </c>
      <c r="Z24" s="556" t="s">
        <v>837</v>
      </c>
      <c r="AA24" s="556" t="s">
        <v>837</v>
      </c>
      <c r="AB24" s="556">
        <v>10001</v>
      </c>
      <c r="AC24" s="556">
        <v>10002</v>
      </c>
      <c r="AD24" s="556">
        <v>10003</v>
      </c>
      <c r="AE24" s="556">
        <v>10004</v>
      </c>
      <c r="AF24" s="556">
        <v>10005</v>
      </c>
      <c r="AG24" s="556" t="s">
        <v>837</v>
      </c>
      <c r="AH24" s="556" t="s">
        <v>837</v>
      </c>
      <c r="AI24" s="556" t="s">
        <v>837</v>
      </c>
      <c r="AJ24" s="556" t="s">
        <v>837</v>
      </c>
      <c r="AK24" s="556" t="s">
        <v>837</v>
      </c>
      <c r="AL24" s="556" t="s">
        <v>837</v>
      </c>
      <c r="AM24" s="556" t="s">
        <v>837</v>
      </c>
      <c r="AN24" s="556" t="s">
        <v>837</v>
      </c>
      <c r="AO24" s="556" t="s">
        <v>837</v>
      </c>
      <c r="AP24" s="556" t="s">
        <v>837</v>
      </c>
      <c r="AQ24" s="556" t="s">
        <v>837</v>
      </c>
      <c r="AR24" s="556" t="s">
        <v>837</v>
      </c>
      <c r="AS24" s="556" t="s">
        <v>837</v>
      </c>
      <c r="AT24" s="556" t="s">
        <v>837</v>
      </c>
      <c r="AU24" s="556" t="s">
        <v>837</v>
      </c>
      <c r="AV24" s="556" t="s">
        <v>837</v>
      </c>
      <c r="AW24" s="556" t="s">
        <v>837</v>
      </c>
      <c r="AX24" s="556" t="s">
        <v>837</v>
      </c>
      <c r="AY24" s="556" t="s">
        <v>837</v>
      </c>
      <c r="AZ24" s="556" t="s">
        <v>837</v>
      </c>
      <c r="BA24" s="556" t="s">
        <v>837</v>
      </c>
      <c r="BB24" s="556" t="s">
        <v>837</v>
      </c>
      <c r="BC24" s="556" t="s">
        <v>837</v>
      </c>
      <c r="BD24" s="556" t="s">
        <v>837</v>
      </c>
      <c r="BE24" s="556" t="s">
        <v>837</v>
      </c>
      <c r="BF24" s="636">
        <v>20003</v>
      </c>
      <c r="BG24" s="636">
        <v>20002</v>
      </c>
      <c r="BH24" s="636">
        <v>20001</v>
      </c>
      <c r="BI24" s="570"/>
      <c r="BJ24" s="570"/>
      <c r="BK24" s="571">
        <v>42001</v>
      </c>
      <c r="BL24" s="617">
        <v>42001</v>
      </c>
      <c r="BM24" s="553">
        <v>40001</v>
      </c>
      <c r="BN24" s="612">
        <v>40001</v>
      </c>
      <c r="BO24" s="572"/>
      <c r="BP24" s="618"/>
      <c r="BQ24" s="570"/>
      <c r="BR24" s="573"/>
      <c r="BS24" s="755">
        <v>80000</v>
      </c>
      <c r="BT24" s="756">
        <v>80000</v>
      </c>
      <c r="BU24" s="756">
        <v>80000</v>
      </c>
      <c r="BV24" s="756">
        <v>80000</v>
      </c>
      <c r="BW24" s="756">
        <v>80000</v>
      </c>
      <c r="BX24" s="756">
        <v>80000</v>
      </c>
      <c r="BY24" s="756">
        <v>80000</v>
      </c>
      <c r="BZ24" s="756">
        <v>80000</v>
      </c>
      <c r="CA24" s="756">
        <v>80000</v>
      </c>
      <c r="CB24" s="756">
        <v>80000</v>
      </c>
      <c r="CC24" s="756">
        <v>80000</v>
      </c>
      <c r="CD24" s="757"/>
      <c r="CE24" s="755">
        <v>80000</v>
      </c>
      <c r="CF24" s="756">
        <v>80000</v>
      </c>
      <c r="CG24" s="756">
        <v>80000</v>
      </c>
      <c r="CH24" s="756">
        <v>80000</v>
      </c>
      <c r="CI24" s="756">
        <v>80000</v>
      </c>
      <c r="CJ24" s="756">
        <v>80000</v>
      </c>
      <c r="CK24" s="756">
        <v>80000</v>
      </c>
      <c r="CL24" s="756">
        <v>80000</v>
      </c>
      <c r="CM24" s="756">
        <v>80000</v>
      </c>
      <c r="CN24" s="757">
        <v>80000</v>
      </c>
      <c r="CO24" s="623"/>
      <c r="CP24" s="623"/>
      <c r="CQ24" s="623"/>
      <c r="CR24" s="623"/>
      <c r="CS24" s="623"/>
      <c r="CT24" s="623"/>
      <c r="CU24" s="623"/>
      <c r="CV24" s="623"/>
      <c r="CW24" s="623"/>
      <c r="CX24" s="623"/>
      <c r="CY24" s="623"/>
      <c r="CZ24" s="623"/>
      <c r="DA24" s="623"/>
      <c r="DB24" s="623"/>
      <c r="DC24" s="623"/>
      <c r="DD24" s="623"/>
      <c r="DE24" s="623"/>
      <c r="DF24" s="623"/>
      <c r="DG24" s="623"/>
      <c r="DH24" s="623"/>
      <c r="DI24" s="640">
        <v>50001</v>
      </c>
      <c r="DJ24" s="640">
        <v>50001</v>
      </c>
      <c r="DK24" s="640">
        <v>50001</v>
      </c>
      <c r="DL24" s="640">
        <v>50001</v>
      </c>
      <c r="DM24" s="640">
        <v>50001</v>
      </c>
      <c r="DN24" s="640">
        <v>50001</v>
      </c>
      <c r="DO24" s="640">
        <v>50001</v>
      </c>
      <c r="DP24" s="570">
        <v>50001</v>
      </c>
      <c r="DQ24" s="570">
        <v>50001</v>
      </c>
      <c r="DR24" s="570">
        <v>50001</v>
      </c>
      <c r="DS24" s="570">
        <v>62000</v>
      </c>
      <c r="DT24" s="570">
        <v>62001</v>
      </c>
      <c r="DU24" s="570">
        <v>62001</v>
      </c>
      <c r="DV24" s="570">
        <v>62001</v>
      </c>
      <c r="DW24" s="570">
        <v>62001</v>
      </c>
      <c r="DX24" s="570">
        <v>62001</v>
      </c>
      <c r="DY24" s="570">
        <v>62002</v>
      </c>
      <c r="DZ24" s="570">
        <v>62002</v>
      </c>
      <c r="EA24" s="570">
        <v>62003</v>
      </c>
      <c r="EB24" s="570">
        <v>62003</v>
      </c>
      <c r="EC24" s="570">
        <v>62003</v>
      </c>
      <c r="ED24" s="543">
        <v>60104</v>
      </c>
      <c r="EE24" s="543">
        <v>60104</v>
      </c>
      <c r="EF24" s="570"/>
      <c r="EG24" s="570"/>
      <c r="EH24" s="570"/>
      <c r="EI24" s="8"/>
    </row>
    <row r="25" spans="1:139" s="14" customFormat="1" x14ac:dyDescent="0.25">
      <c r="A25" s="8">
        <v>21</v>
      </c>
      <c r="B25" s="19" t="s">
        <v>71</v>
      </c>
      <c r="C25" s="19"/>
      <c r="D25" s="19" t="s">
        <v>53</v>
      </c>
      <c r="E25" s="19" t="s">
        <v>73</v>
      </c>
      <c r="F25" s="19" t="s">
        <v>8</v>
      </c>
      <c r="G25" s="19" t="s">
        <v>6</v>
      </c>
      <c r="H25" s="556">
        <v>10001</v>
      </c>
      <c r="I25" s="556">
        <v>10002</v>
      </c>
      <c r="J25" s="556">
        <v>10003</v>
      </c>
      <c r="K25" s="556">
        <v>10004</v>
      </c>
      <c r="L25" s="556">
        <v>10005</v>
      </c>
      <c r="M25" s="556">
        <v>10001</v>
      </c>
      <c r="N25" s="556">
        <v>10002</v>
      </c>
      <c r="O25" s="556">
        <v>10003</v>
      </c>
      <c r="P25" s="556">
        <v>10004</v>
      </c>
      <c r="Q25" s="556">
        <v>10005</v>
      </c>
      <c r="R25" s="556"/>
      <c r="S25" s="556" t="s">
        <v>837</v>
      </c>
      <c r="T25" s="556"/>
      <c r="U25" s="556" t="s">
        <v>837</v>
      </c>
      <c r="V25" s="556" t="s">
        <v>837</v>
      </c>
      <c r="W25" s="556" t="s">
        <v>837</v>
      </c>
      <c r="X25" s="556">
        <v>10002</v>
      </c>
      <c r="Y25" s="556" t="s">
        <v>837</v>
      </c>
      <c r="Z25" s="556">
        <v>10004</v>
      </c>
      <c r="AA25" s="556">
        <v>10005</v>
      </c>
      <c r="AB25" s="556">
        <v>10001</v>
      </c>
      <c r="AC25" s="556">
        <v>10002</v>
      </c>
      <c r="AD25" s="556">
        <v>10003</v>
      </c>
      <c r="AE25" s="556">
        <v>10004</v>
      </c>
      <c r="AF25" s="556">
        <v>10005</v>
      </c>
      <c r="AG25" s="556" t="s">
        <v>837</v>
      </c>
      <c r="AH25" s="556" t="s">
        <v>837</v>
      </c>
      <c r="AI25" s="556" t="s">
        <v>837</v>
      </c>
      <c r="AJ25" s="556" t="s">
        <v>837</v>
      </c>
      <c r="AK25" s="556" t="s">
        <v>837</v>
      </c>
      <c r="AL25" s="556" t="s">
        <v>837</v>
      </c>
      <c r="AM25" s="556" t="s">
        <v>837</v>
      </c>
      <c r="AN25" s="556" t="s">
        <v>837</v>
      </c>
      <c r="AO25" s="556" t="s">
        <v>837</v>
      </c>
      <c r="AP25" s="556" t="s">
        <v>837</v>
      </c>
      <c r="AQ25" s="556" t="s">
        <v>837</v>
      </c>
      <c r="AR25" s="556" t="s">
        <v>837</v>
      </c>
      <c r="AS25" s="556" t="s">
        <v>837</v>
      </c>
      <c r="AT25" s="556" t="s">
        <v>837</v>
      </c>
      <c r="AU25" s="556" t="s">
        <v>837</v>
      </c>
      <c r="AV25" s="556" t="s">
        <v>837</v>
      </c>
      <c r="AW25" s="556" t="s">
        <v>837</v>
      </c>
      <c r="AX25" s="556" t="s">
        <v>837</v>
      </c>
      <c r="AY25" s="556" t="s">
        <v>837</v>
      </c>
      <c r="AZ25" s="556" t="s">
        <v>837</v>
      </c>
      <c r="BA25" s="556" t="s">
        <v>837</v>
      </c>
      <c r="BB25" s="556" t="s">
        <v>837</v>
      </c>
      <c r="BC25" s="556" t="s">
        <v>837</v>
      </c>
      <c r="BD25" s="556" t="s">
        <v>837</v>
      </c>
      <c r="BE25" s="556" t="s">
        <v>837</v>
      </c>
      <c r="BF25" s="636">
        <v>20003</v>
      </c>
      <c r="BG25" s="636">
        <v>20002</v>
      </c>
      <c r="BH25" s="636">
        <v>20001</v>
      </c>
      <c r="BI25" s="570"/>
      <c r="BJ25" s="570"/>
      <c r="BK25" s="570">
        <v>42001</v>
      </c>
      <c r="BL25" s="616">
        <v>42001</v>
      </c>
      <c r="BM25" s="553">
        <v>40001</v>
      </c>
      <c r="BN25" s="612">
        <v>40001</v>
      </c>
      <c r="BO25" s="570"/>
      <c r="BP25" s="616"/>
      <c r="BQ25" s="570"/>
      <c r="BR25" s="573"/>
      <c r="BS25" s="755">
        <v>80000</v>
      </c>
      <c r="BT25" s="756">
        <v>80000</v>
      </c>
      <c r="BU25" s="756">
        <v>80000</v>
      </c>
      <c r="BV25" s="756">
        <v>80000</v>
      </c>
      <c r="BW25" s="756">
        <v>80000</v>
      </c>
      <c r="BX25" s="756">
        <v>80000</v>
      </c>
      <c r="BY25" s="756">
        <v>80000</v>
      </c>
      <c r="BZ25" s="756">
        <v>80000</v>
      </c>
      <c r="CA25" s="756">
        <v>80000</v>
      </c>
      <c r="CB25" s="756">
        <v>80000</v>
      </c>
      <c r="CC25" s="756">
        <v>80000</v>
      </c>
      <c r="CD25" s="757"/>
      <c r="CE25" s="755">
        <v>80000</v>
      </c>
      <c r="CF25" s="756">
        <v>80000</v>
      </c>
      <c r="CG25" s="756">
        <v>80000</v>
      </c>
      <c r="CH25" s="756">
        <v>80000</v>
      </c>
      <c r="CI25" s="756">
        <v>80000</v>
      </c>
      <c r="CJ25" s="756">
        <v>80000</v>
      </c>
      <c r="CK25" s="756">
        <v>80000</v>
      </c>
      <c r="CL25" s="756">
        <v>80000</v>
      </c>
      <c r="CM25" s="756">
        <v>80000</v>
      </c>
      <c r="CN25" s="757">
        <v>80000</v>
      </c>
      <c r="CO25" s="623"/>
      <c r="CP25" s="623"/>
      <c r="CQ25" s="623"/>
      <c r="CR25" s="623"/>
      <c r="CS25" s="623"/>
      <c r="CT25" s="623"/>
      <c r="CU25" s="623"/>
      <c r="CV25" s="623"/>
      <c r="CW25" s="623"/>
      <c r="CX25" s="623"/>
      <c r="CY25" s="623"/>
      <c r="CZ25" s="623"/>
      <c r="DA25" s="623"/>
      <c r="DB25" s="623"/>
      <c r="DC25" s="623"/>
      <c r="DD25" s="623"/>
      <c r="DE25" s="623"/>
      <c r="DF25" s="623"/>
      <c r="DG25" s="623"/>
      <c r="DH25" s="623"/>
      <c r="DI25" s="640">
        <v>50001</v>
      </c>
      <c r="DJ25" s="640">
        <v>50001</v>
      </c>
      <c r="DK25" s="640">
        <v>50001</v>
      </c>
      <c r="DL25" s="640">
        <v>50001</v>
      </c>
      <c r="DM25" s="640">
        <v>50001</v>
      </c>
      <c r="DN25" s="640">
        <v>50001</v>
      </c>
      <c r="DO25" s="640">
        <v>50001</v>
      </c>
      <c r="DP25" s="570">
        <v>50001</v>
      </c>
      <c r="DQ25" s="570">
        <v>50001</v>
      </c>
      <c r="DR25" s="570">
        <v>50001</v>
      </c>
      <c r="DS25" s="570">
        <v>62100</v>
      </c>
      <c r="DT25" s="570">
        <v>62001</v>
      </c>
      <c r="DU25" s="570">
        <v>62001</v>
      </c>
      <c r="DV25" s="570">
        <v>62001</v>
      </c>
      <c r="DW25" s="570">
        <v>62001</v>
      </c>
      <c r="DX25" s="570">
        <v>62001</v>
      </c>
      <c r="DY25" s="570">
        <v>62002</v>
      </c>
      <c r="DZ25" s="570">
        <v>62002</v>
      </c>
      <c r="EA25" s="570">
        <v>62003</v>
      </c>
      <c r="EB25" s="570">
        <v>62003</v>
      </c>
      <c r="EC25" s="570">
        <v>62003</v>
      </c>
      <c r="ED25" s="543">
        <v>60104</v>
      </c>
      <c r="EE25" s="543">
        <v>60104</v>
      </c>
      <c r="EF25" s="570"/>
      <c r="EG25" s="570"/>
      <c r="EH25" s="570"/>
      <c r="EI25" s="8"/>
    </row>
    <row r="26" spans="1:139" s="14" customFormat="1" x14ac:dyDescent="0.25">
      <c r="A26" s="8">
        <v>22</v>
      </c>
      <c r="B26" s="4" t="s">
        <v>697</v>
      </c>
      <c r="C26" s="4"/>
      <c r="D26" s="4" t="s">
        <v>78</v>
      </c>
      <c r="E26" s="4" t="s">
        <v>75</v>
      </c>
      <c r="F26" s="19" t="s">
        <v>8</v>
      </c>
      <c r="G26" s="19" t="s">
        <v>837</v>
      </c>
      <c r="H26" s="556" t="s">
        <v>837</v>
      </c>
      <c r="I26" s="556" t="s">
        <v>837</v>
      </c>
      <c r="J26" s="556" t="s">
        <v>837</v>
      </c>
      <c r="K26" s="556" t="s">
        <v>837</v>
      </c>
      <c r="L26" s="556" t="s">
        <v>837</v>
      </c>
      <c r="M26" s="556" t="s">
        <v>837</v>
      </c>
      <c r="N26" s="556" t="s">
        <v>837</v>
      </c>
      <c r="O26" s="556" t="s">
        <v>837</v>
      </c>
      <c r="P26" s="556" t="s">
        <v>837</v>
      </c>
      <c r="Q26" s="556" t="s">
        <v>837</v>
      </c>
      <c r="R26" s="556" t="s">
        <v>837</v>
      </c>
      <c r="S26" s="556" t="s">
        <v>837</v>
      </c>
      <c r="T26" s="556" t="s">
        <v>837</v>
      </c>
      <c r="U26" s="556" t="s">
        <v>837</v>
      </c>
      <c r="V26" s="556" t="s">
        <v>837</v>
      </c>
      <c r="W26" s="556" t="s">
        <v>837</v>
      </c>
      <c r="X26" s="556" t="s">
        <v>837</v>
      </c>
      <c r="Y26" s="556" t="s">
        <v>837</v>
      </c>
      <c r="Z26" s="556" t="s">
        <v>837</v>
      </c>
      <c r="AA26" s="556" t="s">
        <v>837</v>
      </c>
      <c r="AB26" s="556" t="s">
        <v>837</v>
      </c>
      <c r="AC26" s="556" t="s">
        <v>837</v>
      </c>
      <c r="AD26" s="556" t="s">
        <v>837</v>
      </c>
      <c r="AE26" s="556" t="s">
        <v>837</v>
      </c>
      <c r="AF26" s="556" t="s">
        <v>837</v>
      </c>
      <c r="AG26" s="556" t="s">
        <v>837</v>
      </c>
      <c r="AH26" s="556" t="s">
        <v>837</v>
      </c>
      <c r="AI26" s="556" t="s">
        <v>837</v>
      </c>
      <c r="AJ26" s="556" t="s">
        <v>837</v>
      </c>
      <c r="AK26" s="556" t="s">
        <v>837</v>
      </c>
      <c r="AL26" s="556" t="s">
        <v>837</v>
      </c>
      <c r="AM26" s="556" t="s">
        <v>837</v>
      </c>
      <c r="AN26" s="556" t="s">
        <v>837</v>
      </c>
      <c r="AO26" s="556" t="s">
        <v>837</v>
      </c>
      <c r="AP26" s="556" t="s">
        <v>837</v>
      </c>
      <c r="AQ26" s="556" t="s">
        <v>837</v>
      </c>
      <c r="AR26" s="556" t="s">
        <v>837</v>
      </c>
      <c r="AS26" s="556" t="s">
        <v>837</v>
      </c>
      <c r="AT26" s="556" t="s">
        <v>837</v>
      </c>
      <c r="AU26" s="556" t="s">
        <v>837</v>
      </c>
      <c r="AV26" s="556" t="s">
        <v>837</v>
      </c>
      <c r="AW26" s="556" t="s">
        <v>837</v>
      </c>
      <c r="AX26" s="556" t="s">
        <v>837</v>
      </c>
      <c r="AY26" s="556" t="s">
        <v>837</v>
      </c>
      <c r="AZ26" s="556" t="s">
        <v>837</v>
      </c>
      <c r="BA26" s="556" t="s">
        <v>837</v>
      </c>
      <c r="BB26" s="556" t="s">
        <v>837</v>
      </c>
      <c r="BC26" s="556" t="s">
        <v>837</v>
      </c>
      <c r="BD26" s="556" t="s">
        <v>837</v>
      </c>
      <c r="BE26" s="556" t="s">
        <v>837</v>
      </c>
      <c r="BF26" s="636"/>
      <c r="BG26" s="636"/>
      <c r="BH26" s="636"/>
      <c r="BI26" s="576"/>
      <c r="BJ26" s="576"/>
      <c r="BK26" s="576"/>
      <c r="BL26" s="602"/>
      <c r="BM26" s="553" t="s">
        <v>837</v>
      </c>
      <c r="BN26" s="612" t="s">
        <v>837</v>
      </c>
      <c r="BO26" s="576"/>
      <c r="BP26" s="606"/>
      <c r="BQ26" s="576"/>
      <c r="BR26" s="570"/>
      <c r="BS26" s="547"/>
      <c r="BT26" s="549"/>
      <c r="BU26" s="549"/>
      <c r="BV26" s="549"/>
      <c r="BW26" s="549"/>
      <c r="BX26" s="549"/>
      <c r="BY26" s="549"/>
      <c r="BZ26" s="549"/>
      <c r="CA26" s="549"/>
      <c r="CB26" s="549"/>
      <c r="CC26" s="549"/>
      <c r="CD26" s="548"/>
      <c r="CE26" s="547"/>
      <c r="CF26" s="549"/>
      <c r="CG26" s="549"/>
      <c r="CH26" s="549"/>
      <c r="CI26" s="549"/>
      <c r="CJ26" s="549"/>
      <c r="CK26" s="549"/>
      <c r="CL26" s="549"/>
      <c r="CM26" s="549"/>
      <c r="CN26" s="548"/>
      <c r="CO26" s="640"/>
      <c r="CP26" s="640"/>
      <c r="CQ26" s="640"/>
      <c r="CR26" s="640"/>
      <c r="CS26" s="640"/>
      <c r="CT26" s="640"/>
      <c r="CU26" s="640"/>
      <c r="CV26" s="640"/>
      <c r="CW26" s="640"/>
      <c r="CX26" s="640"/>
      <c r="CY26" s="640"/>
      <c r="CZ26" s="640"/>
      <c r="DA26" s="640"/>
      <c r="DB26" s="640"/>
      <c r="DC26" s="640"/>
      <c r="DD26" s="640"/>
      <c r="DE26" s="640"/>
      <c r="DF26" s="640"/>
      <c r="DG26" s="640"/>
      <c r="DH26" s="640"/>
      <c r="DI26" s="641"/>
      <c r="DJ26" s="641"/>
      <c r="DK26" s="641"/>
      <c r="DL26" s="641"/>
      <c r="DM26" s="641"/>
      <c r="DN26" s="641"/>
      <c r="DO26" s="641"/>
      <c r="DP26" s="576"/>
      <c r="DQ26" s="576"/>
      <c r="DR26" s="576"/>
      <c r="DS26" s="576"/>
      <c r="DT26" s="576"/>
      <c r="DU26" s="576"/>
      <c r="DV26" s="576"/>
      <c r="DW26" s="576"/>
      <c r="DX26" s="576"/>
      <c r="DY26" s="576"/>
      <c r="DZ26" s="576"/>
      <c r="EA26" s="576"/>
      <c r="EB26" s="576"/>
      <c r="EC26" s="576"/>
      <c r="ED26" s="576"/>
      <c r="EE26" s="576"/>
      <c r="EF26" s="576"/>
      <c r="EG26" s="576"/>
      <c r="EH26" s="576"/>
    </row>
    <row r="27" spans="1:139" s="14" customFormat="1" x14ac:dyDescent="0.25">
      <c r="A27" s="8">
        <v>23</v>
      </c>
      <c r="B27" s="4" t="s">
        <v>101</v>
      </c>
      <c r="C27" s="4"/>
      <c r="D27" s="4" t="s">
        <v>78</v>
      </c>
      <c r="E27" s="4" t="s">
        <v>74</v>
      </c>
      <c r="F27" s="19" t="s">
        <v>8</v>
      </c>
      <c r="G27" s="19" t="s">
        <v>6</v>
      </c>
      <c r="H27" s="556">
        <v>10001</v>
      </c>
      <c r="I27" s="556">
        <v>10002</v>
      </c>
      <c r="J27" s="556">
        <v>10003</v>
      </c>
      <c r="K27" s="556">
        <v>10004</v>
      </c>
      <c r="L27" s="556">
        <v>10005</v>
      </c>
      <c r="M27" s="556">
        <v>10001</v>
      </c>
      <c r="N27" s="556">
        <v>10002</v>
      </c>
      <c r="O27" s="556">
        <v>10003</v>
      </c>
      <c r="P27" s="556">
        <v>10004</v>
      </c>
      <c r="Q27" s="556">
        <v>10005</v>
      </c>
      <c r="R27" s="556">
        <v>10001</v>
      </c>
      <c r="S27" s="556">
        <v>10002</v>
      </c>
      <c r="T27" s="556">
        <v>10003</v>
      </c>
      <c r="U27" s="556">
        <v>10004</v>
      </c>
      <c r="V27" s="556">
        <v>10005</v>
      </c>
      <c r="W27" s="556" t="s">
        <v>837</v>
      </c>
      <c r="X27" s="556" t="s">
        <v>837</v>
      </c>
      <c r="Y27" s="556" t="s">
        <v>837</v>
      </c>
      <c r="Z27" s="556" t="s">
        <v>837</v>
      </c>
      <c r="AA27" s="556" t="s">
        <v>837</v>
      </c>
      <c r="AB27" s="556">
        <v>10001</v>
      </c>
      <c r="AC27" s="556">
        <v>10002</v>
      </c>
      <c r="AD27" s="556">
        <v>10003</v>
      </c>
      <c r="AE27" s="556">
        <v>10004</v>
      </c>
      <c r="AF27" s="556">
        <v>10005</v>
      </c>
      <c r="AG27" s="556" t="s">
        <v>837</v>
      </c>
      <c r="AH27" s="556" t="s">
        <v>837</v>
      </c>
      <c r="AI27" s="556" t="s">
        <v>837</v>
      </c>
      <c r="AJ27" s="556" t="s">
        <v>837</v>
      </c>
      <c r="AK27" s="556" t="s">
        <v>837</v>
      </c>
      <c r="AL27" s="556" t="s">
        <v>837</v>
      </c>
      <c r="AM27" s="556" t="s">
        <v>837</v>
      </c>
      <c r="AN27" s="556" t="s">
        <v>837</v>
      </c>
      <c r="AO27" s="556" t="s">
        <v>837</v>
      </c>
      <c r="AP27" s="556" t="s">
        <v>837</v>
      </c>
      <c r="AQ27" s="556" t="s">
        <v>837</v>
      </c>
      <c r="AR27" s="556" t="s">
        <v>837</v>
      </c>
      <c r="AS27" s="556" t="s">
        <v>837</v>
      </c>
      <c r="AT27" s="556" t="s">
        <v>837</v>
      </c>
      <c r="AU27" s="556" t="s">
        <v>837</v>
      </c>
      <c r="AV27" s="556" t="s">
        <v>837</v>
      </c>
      <c r="AW27" s="556" t="s">
        <v>837</v>
      </c>
      <c r="AX27" s="556" t="s">
        <v>837</v>
      </c>
      <c r="AY27" s="556" t="s">
        <v>837</v>
      </c>
      <c r="AZ27" s="556" t="s">
        <v>837</v>
      </c>
      <c r="BA27" s="556" t="s">
        <v>837</v>
      </c>
      <c r="BB27" s="556" t="s">
        <v>837</v>
      </c>
      <c r="BC27" s="556" t="s">
        <v>837</v>
      </c>
      <c r="BD27" s="556" t="s">
        <v>837</v>
      </c>
      <c r="BE27" s="556" t="s">
        <v>837</v>
      </c>
      <c r="BF27" s="636">
        <v>20003</v>
      </c>
      <c r="BG27" s="636">
        <v>20002</v>
      </c>
      <c r="BH27" s="636">
        <v>20001</v>
      </c>
      <c r="BI27" s="576"/>
      <c r="BJ27" s="576"/>
      <c r="BK27" s="576"/>
      <c r="BL27" s="602"/>
      <c r="BM27" s="553">
        <v>40001</v>
      </c>
      <c r="BN27" s="612">
        <v>40001</v>
      </c>
      <c r="BO27" s="576"/>
      <c r="BP27" s="606"/>
      <c r="BQ27" s="576"/>
      <c r="BR27" s="570"/>
      <c r="BS27" s="742"/>
      <c r="BT27" s="713"/>
      <c r="BU27" s="713"/>
      <c r="BV27" s="713"/>
      <c r="BW27" s="713"/>
      <c r="BX27" s="713"/>
      <c r="BY27" s="713"/>
      <c r="BZ27" s="713"/>
      <c r="CA27" s="713"/>
      <c r="CB27" s="713"/>
      <c r="CC27" s="713"/>
      <c r="CD27" s="548"/>
      <c r="CE27" s="734"/>
      <c r="CF27" s="735"/>
      <c r="CG27" s="735"/>
      <c r="CH27" s="735"/>
      <c r="CI27" s="735"/>
      <c r="CJ27" s="735"/>
      <c r="CK27" s="735"/>
      <c r="CL27" s="735"/>
      <c r="CM27" s="735"/>
      <c r="CN27" s="736"/>
      <c r="CO27" s="640"/>
      <c r="CP27" s="640"/>
      <c r="CQ27" s="640"/>
      <c r="CR27" s="640"/>
      <c r="CS27" s="640"/>
      <c r="CT27" s="640"/>
      <c r="CU27" s="640"/>
      <c r="CV27" s="640"/>
      <c r="CW27" s="640"/>
      <c r="CX27" s="640"/>
      <c r="CY27" s="640"/>
      <c r="CZ27" s="640"/>
      <c r="DA27" s="640"/>
      <c r="DB27" s="640"/>
      <c r="DC27" s="640"/>
      <c r="DD27" s="640"/>
      <c r="DE27" s="640"/>
      <c r="DF27" s="640"/>
      <c r="DG27" s="640"/>
      <c r="DH27" s="640"/>
      <c r="DI27" s="641"/>
      <c r="DJ27" s="641"/>
      <c r="DK27" s="641"/>
      <c r="DL27" s="641"/>
      <c r="DM27" s="641"/>
      <c r="DN27" s="641"/>
      <c r="DO27" s="641"/>
      <c r="DP27" s="576"/>
      <c r="DQ27" s="576"/>
      <c r="DR27" s="576"/>
      <c r="DS27" s="576"/>
      <c r="DT27" s="576"/>
      <c r="DU27" s="576"/>
      <c r="DV27" s="576"/>
      <c r="DW27" s="576"/>
      <c r="DX27" s="576"/>
      <c r="DY27" s="576"/>
      <c r="DZ27" s="576"/>
      <c r="EA27" s="576"/>
      <c r="EB27" s="576"/>
      <c r="EC27" s="576"/>
      <c r="ED27" s="576"/>
      <c r="EE27" s="576"/>
      <c r="EF27" s="576"/>
      <c r="EG27" s="576"/>
      <c r="EH27" s="576"/>
    </row>
    <row r="28" spans="1:139" s="14" customFormat="1" x14ac:dyDescent="0.25">
      <c r="A28" s="8">
        <v>24</v>
      </c>
      <c r="B28" s="4" t="s">
        <v>20</v>
      </c>
      <c r="C28" s="4"/>
      <c r="D28" s="4" t="s">
        <v>78</v>
      </c>
      <c r="E28" s="4" t="s">
        <v>75</v>
      </c>
      <c r="F28" s="19" t="s">
        <v>8</v>
      </c>
      <c r="G28" s="19" t="s">
        <v>837</v>
      </c>
      <c r="H28" s="556" t="s">
        <v>837</v>
      </c>
      <c r="I28" s="556" t="s">
        <v>837</v>
      </c>
      <c r="J28" s="556" t="s">
        <v>837</v>
      </c>
      <c r="K28" s="556" t="s">
        <v>837</v>
      </c>
      <c r="L28" s="556" t="s">
        <v>837</v>
      </c>
      <c r="M28" s="556" t="s">
        <v>837</v>
      </c>
      <c r="N28" s="556" t="s">
        <v>837</v>
      </c>
      <c r="O28" s="556" t="s">
        <v>837</v>
      </c>
      <c r="P28" s="556" t="s">
        <v>837</v>
      </c>
      <c r="Q28" s="556" t="s">
        <v>837</v>
      </c>
      <c r="R28" s="556" t="s">
        <v>837</v>
      </c>
      <c r="S28" s="556" t="s">
        <v>837</v>
      </c>
      <c r="T28" s="556" t="s">
        <v>837</v>
      </c>
      <c r="U28" s="556" t="s">
        <v>837</v>
      </c>
      <c r="V28" s="556" t="s">
        <v>837</v>
      </c>
      <c r="W28" s="556" t="s">
        <v>837</v>
      </c>
      <c r="X28" s="556" t="s">
        <v>837</v>
      </c>
      <c r="Y28" s="556" t="s">
        <v>837</v>
      </c>
      <c r="Z28" s="556" t="s">
        <v>837</v>
      </c>
      <c r="AA28" s="556" t="s">
        <v>837</v>
      </c>
      <c r="AB28" s="556" t="s">
        <v>837</v>
      </c>
      <c r="AC28" s="556" t="s">
        <v>837</v>
      </c>
      <c r="AD28" s="556" t="s">
        <v>837</v>
      </c>
      <c r="AE28" s="556" t="s">
        <v>837</v>
      </c>
      <c r="AF28" s="556" t="s">
        <v>837</v>
      </c>
      <c r="AG28" s="556" t="s">
        <v>837</v>
      </c>
      <c r="AH28" s="556" t="s">
        <v>837</v>
      </c>
      <c r="AI28" s="556" t="s">
        <v>837</v>
      </c>
      <c r="AJ28" s="556" t="s">
        <v>837</v>
      </c>
      <c r="AK28" s="556" t="s">
        <v>837</v>
      </c>
      <c r="AL28" s="556" t="s">
        <v>837</v>
      </c>
      <c r="AM28" s="556" t="s">
        <v>837</v>
      </c>
      <c r="AN28" s="556" t="s">
        <v>837</v>
      </c>
      <c r="AO28" s="556" t="s">
        <v>837</v>
      </c>
      <c r="AP28" s="556" t="s">
        <v>837</v>
      </c>
      <c r="AQ28" s="556" t="s">
        <v>837</v>
      </c>
      <c r="AR28" s="556" t="s">
        <v>837</v>
      </c>
      <c r="AS28" s="556" t="s">
        <v>837</v>
      </c>
      <c r="AT28" s="556" t="s">
        <v>837</v>
      </c>
      <c r="AU28" s="556" t="s">
        <v>837</v>
      </c>
      <c r="AV28" s="556" t="s">
        <v>837</v>
      </c>
      <c r="AW28" s="556" t="s">
        <v>837</v>
      </c>
      <c r="AX28" s="556" t="s">
        <v>837</v>
      </c>
      <c r="AY28" s="556" t="s">
        <v>837</v>
      </c>
      <c r="AZ28" s="556" t="s">
        <v>837</v>
      </c>
      <c r="BA28" s="556" t="s">
        <v>837</v>
      </c>
      <c r="BB28" s="556" t="s">
        <v>837</v>
      </c>
      <c r="BC28" s="556" t="s">
        <v>837</v>
      </c>
      <c r="BD28" s="556" t="s">
        <v>837</v>
      </c>
      <c r="BE28" s="556" t="s">
        <v>837</v>
      </c>
      <c r="BF28" s="636"/>
      <c r="BG28" s="636"/>
      <c r="BH28" s="636"/>
      <c r="BI28" s="576"/>
      <c r="BJ28" s="576"/>
      <c r="BK28" s="576"/>
      <c r="BL28" s="602"/>
      <c r="BM28" s="553" t="s">
        <v>837</v>
      </c>
      <c r="BN28" s="612" t="s">
        <v>837</v>
      </c>
      <c r="BO28" s="576"/>
      <c r="BP28" s="606"/>
      <c r="BQ28" s="576"/>
      <c r="BR28" s="570"/>
      <c r="BS28" s="547"/>
      <c r="BT28" s="549"/>
      <c r="BU28" s="549"/>
      <c r="BV28" s="549"/>
      <c r="BW28" s="549"/>
      <c r="BX28" s="549"/>
      <c r="BY28" s="549"/>
      <c r="BZ28" s="549"/>
      <c r="CA28" s="549"/>
      <c r="CB28" s="549"/>
      <c r="CC28" s="549"/>
      <c r="CD28" s="548"/>
      <c r="CE28" s="547"/>
      <c r="CF28" s="549"/>
      <c r="CG28" s="549"/>
      <c r="CH28" s="549"/>
      <c r="CI28" s="549"/>
      <c r="CJ28" s="549"/>
      <c r="CK28" s="549"/>
      <c r="CL28" s="549"/>
      <c r="CM28" s="549"/>
      <c r="CN28" s="548"/>
      <c r="CO28" s="640"/>
      <c r="CP28" s="640"/>
      <c r="CQ28" s="640"/>
      <c r="CR28" s="640"/>
      <c r="CS28" s="640"/>
      <c r="CT28" s="640"/>
      <c r="CU28" s="640"/>
      <c r="CV28" s="640"/>
      <c r="CW28" s="640"/>
      <c r="CX28" s="640"/>
      <c r="CY28" s="640"/>
      <c r="CZ28" s="640"/>
      <c r="DA28" s="640"/>
      <c r="DB28" s="640"/>
      <c r="DC28" s="640"/>
      <c r="DD28" s="640"/>
      <c r="DE28" s="640"/>
      <c r="DF28" s="640"/>
      <c r="DG28" s="640"/>
      <c r="DH28" s="640"/>
      <c r="DI28" s="641"/>
      <c r="DJ28" s="641"/>
      <c r="DK28" s="641"/>
      <c r="DL28" s="641"/>
      <c r="DM28" s="641"/>
      <c r="DN28" s="641"/>
      <c r="DO28" s="641"/>
      <c r="DP28" s="576"/>
      <c r="DQ28" s="576"/>
      <c r="DR28" s="576"/>
      <c r="DS28" s="576"/>
      <c r="DT28" s="576"/>
      <c r="DU28" s="576"/>
      <c r="DV28" s="576"/>
      <c r="DW28" s="576"/>
      <c r="DX28" s="576"/>
      <c r="DY28" s="576"/>
      <c r="DZ28" s="576"/>
      <c r="EA28" s="576"/>
      <c r="EB28" s="576"/>
      <c r="EC28" s="576"/>
      <c r="ED28" s="576"/>
      <c r="EE28" s="576"/>
      <c r="EF28" s="576"/>
      <c r="EG28" s="576"/>
      <c r="EH28" s="576"/>
    </row>
    <row r="29" spans="1:139" s="14" customFormat="1" x14ac:dyDescent="0.25">
      <c r="A29" s="8">
        <v>25</v>
      </c>
      <c r="B29" s="5" t="s">
        <v>21</v>
      </c>
      <c r="C29" s="5"/>
      <c r="D29" s="4" t="s">
        <v>78</v>
      </c>
      <c r="E29" s="4" t="s">
        <v>75</v>
      </c>
      <c r="F29" s="19" t="s">
        <v>8</v>
      </c>
      <c r="G29" s="19" t="s">
        <v>837</v>
      </c>
      <c r="H29" s="556" t="s">
        <v>837</v>
      </c>
      <c r="I29" s="556">
        <v>10002</v>
      </c>
      <c r="J29" s="556" t="s">
        <v>837</v>
      </c>
      <c r="K29" s="556">
        <v>10004</v>
      </c>
      <c r="L29" s="556" t="s">
        <v>837</v>
      </c>
      <c r="M29" s="556" t="s">
        <v>837</v>
      </c>
      <c r="N29" s="556">
        <v>10002</v>
      </c>
      <c r="O29" s="556" t="s">
        <v>837</v>
      </c>
      <c r="P29" s="556">
        <v>10004</v>
      </c>
      <c r="Q29" s="556" t="s">
        <v>837</v>
      </c>
      <c r="R29" s="556" t="s">
        <v>837</v>
      </c>
      <c r="S29" s="556">
        <v>10002</v>
      </c>
      <c r="T29" s="556" t="s">
        <v>837</v>
      </c>
      <c r="U29" s="556">
        <v>10004</v>
      </c>
      <c r="V29" s="556" t="s">
        <v>837</v>
      </c>
      <c r="W29" s="556" t="s">
        <v>837</v>
      </c>
      <c r="X29" s="556" t="s">
        <v>837</v>
      </c>
      <c r="Y29" s="556" t="s">
        <v>837</v>
      </c>
      <c r="Z29" s="556" t="s">
        <v>837</v>
      </c>
      <c r="AA29" s="556" t="s">
        <v>837</v>
      </c>
      <c r="AB29" s="556" t="s">
        <v>837</v>
      </c>
      <c r="AC29" s="556">
        <v>10002</v>
      </c>
      <c r="AD29" s="556" t="s">
        <v>837</v>
      </c>
      <c r="AE29" s="556">
        <v>10004</v>
      </c>
      <c r="AF29" s="556" t="s">
        <v>837</v>
      </c>
      <c r="AG29" s="556" t="s">
        <v>837</v>
      </c>
      <c r="AH29" s="556">
        <v>10002</v>
      </c>
      <c r="AI29" s="556" t="s">
        <v>837</v>
      </c>
      <c r="AJ29" s="556">
        <v>10004</v>
      </c>
      <c r="AK29" s="556" t="s">
        <v>837</v>
      </c>
      <c r="AL29" s="556" t="s">
        <v>837</v>
      </c>
      <c r="AM29" s="556">
        <v>10002</v>
      </c>
      <c r="AN29" s="556" t="s">
        <v>837</v>
      </c>
      <c r="AO29" s="556">
        <v>10004</v>
      </c>
      <c r="AP29" s="556" t="s">
        <v>837</v>
      </c>
      <c r="AQ29" s="556" t="s">
        <v>837</v>
      </c>
      <c r="AR29" s="556">
        <v>10002</v>
      </c>
      <c r="AS29" s="556" t="s">
        <v>837</v>
      </c>
      <c r="AT29" s="556">
        <v>10004</v>
      </c>
      <c r="AU29" s="556" t="s">
        <v>837</v>
      </c>
      <c r="AV29" s="556" t="s">
        <v>837</v>
      </c>
      <c r="AW29" s="556" t="s">
        <v>837</v>
      </c>
      <c r="AX29" s="556" t="s">
        <v>837</v>
      </c>
      <c r="AY29" s="556" t="s">
        <v>837</v>
      </c>
      <c r="AZ29" s="556" t="s">
        <v>837</v>
      </c>
      <c r="BA29" s="556" t="s">
        <v>837</v>
      </c>
      <c r="BB29" s="556">
        <v>10002</v>
      </c>
      <c r="BC29" s="556" t="s">
        <v>837</v>
      </c>
      <c r="BD29" s="556">
        <v>10004</v>
      </c>
      <c r="BE29" s="556" t="s">
        <v>837</v>
      </c>
      <c r="BF29" s="638"/>
      <c r="BG29" s="638"/>
      <c r="BH29" s="638"/>
      <c r="BI29" s="576"/>
      <c r="BJ29" s="576"/>
      <c r="BK29" s="576"/>
      <c r="BL29" s="602"/>
      <c r="BM29" s="553" t="s">
        <v>837</v>
      </c>
      <c r="BN29" s="612" t="s">
        <v>837</v>
      </c>
      <c r="BO29" s="576"/>
      <c r="BP29" s="606"/>
      <c r="BQ29" s="576"/>
      <c r="BR29" s="570"/>
      <c r="BS29" s="547"/>
      <c r="BT29" s="549"/>
      <c r="BU29" s="549"/>
      <c r="BV29" s="549"/>
      <c r="BW29" s="549"/>
      <c r="BX29" s="549"/>
      <c r="BY29" s="549"/>
      <c r="BZ29" s="549"/>
      <c r="CA29" s="549"/>
      <c r="CB29" s="549"/>
      <c r="CC29" s="549"/>
      <c r="CD29" s="548"/>
      <c r="CE29" s="547"/>
      <c r="CF29" s="549"/>
      <c r="CG29" s="549"/>
      <c r="CH29" s="549"/>
      <c r="CI29" s="549"/>
      <c r="CJ29" s="549"/>
      <c r="CK29" s="549"/>
      <c r="CL29" s="549"/>
      <c r="CM29" s="549"/>
      <c r="CN29" s="548"/>
      <c r="CO29" s="640"/>
      <c r="CP29" s="640"/>
      <c r="CQ29" s="640"/>
      <c r="CR29" s="640"/>
      <c r="CS29" s="640"/>
      <c r="CT29" s="640"/>
      <c r="CU29" s="640"/>
      <c r="CV29" s="640"/>
      <c r="CW29" s="640"/>
      <c r="CX29" s="640"/>
      <c r="CY29" s="640"/>
      <c r="CZ29" s="640"/>
      <c r="DA29" s="640"/>
      <c r="DB29" s="640"/>
      <c r="DC29" s="640"/>
      <c r="DD29" s="640"/>
      <c r="DE29" s="640"/>
      <c r="DF29" s="640"/>
      <c r="DG29" s="640"/>
      <c r="DH29" s="640"/>
      <c r="DI29" s="641"/>
      <c r="DJ29" s="641"/>
      <c r="DK29" s="641"/>
      <c r="DL29" s="641"/>
      <c r="DM29" s="641"/>
      <c r="DN29" s="641"/>
      <c r="DO29" s="641"/>
      <c r="DP29" s="576"/>
      <c r="DQ29" s="576"/>
      <c r="DR29" s="576"/>
      <c r="DS29" s="576"/>
      <c r="DT29" s="576"/>
      <c r="DU29" s="576"/>
      <c r="DV29" s="576"/>
      <c r="DW29" s="576"/>
      <c r="DX29" s="576"/>
      <c r="DY29" s="576"/>
      <c r="DZ29" s="576"/>
      <c r="EA29" s="576"/>
      <c r="EB29" s="576"/>
      <c r="EC29" s="576"/>
      <c r="ED29" s="576"/>
      <c r="EE29" s="576"/>
      <c r="EF29" s="576"/>
      <c r="EG29" s="576"/>
      <c r="EH29" s="576"/>
    </row>
    <row r="30" spans="1:139" s="14" customFormat="1" x14ac:dyDescent="0.25">
      <c r="A30" s="8">
        <v>26</v>
      </c>
      <c r="B30" s="4" t="s">
        <v>22</v>
      </c>
      <c r="C30" s="4"/>
      <c r="D30" s="4" t="s">
        <v>78</v>
      </c>
      <c r="E30" s="4" t="s">
        <v>75</v>
      </c>
      <c r="F30" s="19" t="s">
        <v>8</v>
      </c>
      <c r="G30" s="19" t="s">
        <v>837</v>
      </c>
      <c r="H30" s="556" t="s">
        <v>837</v>
      </c>
      <c r="I30" s="556" t="s">
        <v>837</v>
      </c>
      <c r="J30" s="556" t="s">
        <v>837</v>
      </c>
      <c r="K30" s="556" t="s">
        <v>837</v>
      </c>
      <c r="L30" s="556" t="s">
        <v>837</v>
      </c>
      <c r="M30" s="556" t="s">
        <v>837</v>
      </c>
      <c r="N30" s="556" t="s">
        <v>837</v>
      </c>
      <c r="O30" s="556" t="s">
        <v>837</v>
      </c>
      <c r="P30" s="556" t="s">
        <v>837</v>
      </c>
      <c r="Q30" s="556" t="s">
        <v>837</v>
      </c>
      <c r="R30" s="556" t="s">
        <v>837</v>
      </c>
      <c r="S30" s="556" t="s">
        <v>837</v>
      </c>
      <c r="T30" s="556" t="s">
        <v>837</v>
      </c>
      <c r="U30" s="556" t="s">
        <v>837</v>
      </c>
      <c r="V30" s="556" t="s">
        <v>837</v>
      </c>
      <c r="W30" s="556" t="s">
        <v>837</v>
      </c>
      <c r="X30" s="556" t="s">
        <v>837</v>
      </c>
      <c r="Y30" s="556" t="s">
        <v>837</v>
      </c>
      <c r="Z30" s="556" t="s">
        <v>837</v>
      </c>
      <c r="AA30" s="556" t="s">
        <v>837</v>
      </c>
      <c r="AB30" s="556" t="s">
        <v>837</v>
      </c>
      <c r="AC30" s="556" t="s">
        <v>837</v>
      </c>
      <c r="AD30" s="556" t="s">
        <v>837</v>
      </c>
      <c r="AE30" s="556" t="s">
        <v>837</v>
      </c>
      <c r="AF30" s="556" t="s">
        <v>837</v>
      </c>
      <c r="AG30" s="556" t="s">
        <v>837</v>
      </c>
      <c r="AH30" s="556" t="s">
        <v>837</v>
      </c>
      <c r="AI30" s="556" t="s">
        <v>837</v>
      </c>
      <c r="AJ30" s="556" t="s">
        <v>837</v>
      </c>
      <c r="AK30" s="556" t="s">
        <v>837</v>
      </c>
      <c r="AL30" s="556" t="s">
        <v>837</v>
      </c>
      <c r="AM30" s="556" t="s">
        <v>837</v>
      </c>
      <c r="AN30" s="556" t="s">
        <v>837</v>
      </c>
      <c r="AO30" s="556" t="s">
        <v>837</v>
      </c>
      <c r="AP30" s="556" t="s">
        <v>837</v>
      </c>
      <c r="AQ30" s="556" t="s">
        <v>837</v>
      </c>
      <c r="AR30" s="556" t="s">
        <v>837</v>
      </c>
      <c r="AS30" s="556" t="s">
        <v>837</v>
      </c>
      <c r="AT30" s="556" t="s">
        <v>837</v>
      </c>
      <c r="AU30" s="556" t="s">
        <v>837</v>
      </c>
      <c r="AV30" s="556" t="s">
        <v>837</v>
      </c>
      <c r="AW30" s="556" t="s">
        <v>837</v>
      </c>
      <c r="AX30" s="556" t="s">
        <v>837</v>
      </c>
      <c r="AY30" s="556" t="s">
        <v>837</v>
      </c>
      <c r="AZ30" s="556" t="s">
        <v>837</v>
      </c>
      <c r="BA30" s="556" t="s">
        <v>837</v>
      </c>
      <c r="BB30" s="556" t="s">
        <v>837</v>
      </c>
      <c r="BC30" s="556" t="s">
        <v>837</v>
      </c>
      <c r="BD30" s="556" t="s">
        <v>837</v>
      </c>
      <c r="BE30" s="556" t="s">
        <v>837</v>
      </c>
      <c r="BF30" s="636"/>
      <c r="BG30" s="636"/>
      <c r="BH30" s="636"/>
      <c r="BI30" s="576"/>
      <c r="BJ30" s="576"/>
      <c r="BK30" s="576"/>
      <c r="BL30" s="602"/>
      <c r="BM30" s="553" t="s">
        <v>837</v>
      </c>
      <c r="BN30" s="612" t="s">
        <v>837</v>
      </c>
      <c r="BO30" s="576"/>
      <c r="BP30" s="606"/>
      <c r="BQ30" s="576"/>
      <c r="BR30" s="570"/>
      <c r="BS30" s="547"/>
      <c r="BT30" s="549"/>
      <c r="BU30" s="549"/>
      <c r="BV30" s="549"/>
      <c r="BW30" s="549"/>
      <c r="BX30" s="549"/>
      <c r="BY30" s="549"/>
      <c r="BZ30" s="549"/>
      <c r="CA30" s="549"/>
      <c r="CB30" s="549"/>
      <c r="CC30" s="549"/>
      <c r="CD30" s="548"/>
      <c r="CE30" s="547"/>
      <c r="CF30" s="549"/>
      <c r="CG30" s="549"/>
      <c r="CH30" s="549"/>
      <c r="CI30" s="549"/>
      <c r="CJ30" s="549"/>
      <c r="CK30" s="549"/>
      <c r="CL30" s="549"/>
      <c r="CM30" s="549"/>
      <c r="CN30" s="548"/>
      <c r="CO30" s="640"/>
      <c r="CP30" s="640"/>
      <c r="CQ30" s="640"/>
      <c r="CR30" s="640"/>
      <c r="CS30" s="640"/>
      <c r="CT30" s="640"/>
      <c r="CU30" s="640"/>
      <c r="CV30" s="640"/>
      <c r="CW30" s="640"/>
      <c r="CX30" s="640"/>
      <c r="CY30" s="640"/>
      <c r="CZ30" s="640"/>
      <c r="DA30" s="640"/>
      <c r="DB30" s="640"/>
      <c r="DC30" s="640"/>
      <c r="DD30" s="640"/>
      <c r="DE30" s="640"/>
      <c r="DF30" s="640"/>
      <c r="DG30" s="640"/>
      <c r="DH30" s="640"/>
      <c r="DI30" s="641"/>
      <c r="DJ30" s="641"/>
      <c r="DK30" s="641"/>
      <c r="DL30" s="641"/>
      <c r="DM30" s="641"/>
      <c r="DN30" s="641"/>
      <c r="DO30" s="641"/>
      <c r="DP30" s="576"/>
      <c r="DQ30" s="576"/>
      <c r="DR30" s="576"/>
      <c r="DS30" s="576"/>
      <c r="DT30" s="576"/>
      <c r="DU30" s="576"/>
      <c r="DV30" s="576"/>
      <c r="DW30" s="576"/>
      <c r="DX30" s="576"/>
      <c r="DY30" s="576"/>
      <c r="DZ30" s="576"/>
      <c r="EA30" s="576"/>
      <c r="EB30" s="576"/>
      <c r="EC30" s="576"/>
      <c r="ED30" s="576"/>
      <c r="EE30" s="576"/>
      <c r="EF30" s="576"/>
      <c r="EG30" s="576"/>
      <c r="EH30" s="576"/>
    </row>
    <row r="31" spans="1:139" s="14" customFormat="1" x14ac:dyDescent="0.25">
      <c r="A31" s="8">
        <v>27</v>
      </c>
      <c r="B31" s="5" t="s">
        <v>23</v>
      </c>
      <c r="C31" s="5"/>
      <c r="D31" s="4" t="s">
        <v>78</v>
      </c>
      <c r="E31" s="4" t="s">
        <v>75</v>
      </c>
      <c r="F31" s="19" t="s">
        <v>8</v>
      </c>
      <c r="G31" s="19" t="s">
        <v>837</v>
      </c>
      <c r="H31" s="556" t="s">
        <v>837</v>
      </c>
      <c r="I31" s="556" t="s">
        <v>837</v>
      </c>
      <c r="J31" s="556" t="s">
        <v>837</v>
      </c>
      <c r="K31" s="556" t="s">
        <v>837</v>
      </c>
      <c r="L31" s="556" t="s">
        <v>837</v>
      </c>
      <c r="M31" s="556" t="s">
        <v>837</v>
      </c>
      <c r="N31" s="556" t="s">
        <v>837</v>
      </c>
      <c r="O31" s="556" t="s">
        <v>837</v>
      </c>
      <c r="P31" s="556" t="s">
        <v>837</v>
      </c>
      <c r="Q31" s="556" t="s">
        <v>837</v>
      </c>
      <c r="R31" s="556" t="s">
        <v>837</v>
      </c>
      <c r="S31" s="556" t="s">
        <v>837</v>
      </c>
      <c r="T31" s="556" t="s">
        <v>837</v>
      </c>
      <c r="U31" s="556" t="s">
        <v>837</v>
      </c>
      <c r="V31" s="556" t="s">
        <v>837</v>
      </c>
      <c r="W31" s="556" t="s">
        <v>837</v>
      </c>
      <c r="X31" s="556" t="s">
        <v>837</v>
      </c>
      <c r="Y31" s="556" t="s">
        <v>837</v>
      </c>
      <c r="Z31" s="556" t="s">
        <v>837</v>
      </c>
      <c r="AA31" s="556" t="s">
        <v>837</v>
      </c>
      <c r="AB31" s="556" t="s">
        <v>837</v>
      </c>
      <c r="AC31" s="556" t="s">
        <v>837</v>
      </c>
      <c r="AD31" s="556" t="s">
        <v>837</v>
      </c>
      <c r="AE31" s="556" t="s">
        <v>837</v>
      </c>
      <c r="AF31" s="556" t="s">
        <v>837</v>
      </c>
      <c r="AG31" s="556" t="s">
        <v>837</v>
      </c>
      <c r="AH31" s="556" t="s">
        <v>837</v>
      </c>
      <c r="AI31" s="556" t="s">
        <v>837</v>
      </c>
      <c r="AJ31" s="556" t="s">
        <v>837</v>
      </c>
      <c r="AK31" s="556" t="s">
        <v>837</v>
      </c>
      <c r="AL31" s="556" t="s">
        <v>837</v>
      </c>
      <c r="AM31" s="556" t="s">
        <v>837</v>
      </c>
      <c r="AN31" s="556" t="s">
        <v>837</v>
      </c>
      <c r="AO31" s="556" t="s">
        <v>837</v>
      </c>
      <c r="AP31" s="556" t="s">
        <v>837</v>
      </c>
      <c r="AQ31" s="556" t="s">
        <v>837</v>
      </c>
      <c r="AR31" s="556" t="s">
        <v>837</v>
      </c>
      <c r="AS31" s="556" t="s">
        <v>837</v>
      </c>
      <c r="AT31" s="556" t="s">
        <v>837</v>
      </c>
      <c r="AU31" s="556" t="s">
        <v>837</v>
      </c>
      <c r="AV31" s="556" t="s">
        <v>837</v>
      </c>
      <c r="AW31" s="556" t="s">
        <v>837</v>
      </c>
      <c r="AX31" s="556" t="s">
        <v>837</v>
      </c>
      <c r="AY31" s="556" t="s">
        <v>837</v>
      </c>
      <c r="AZ31" s="556" t="s">
        <v>837</v>
      </c>
      <c r="BA31" s="556" t="s">
        <v>837</v>
      </c>
      <c r="BB31" s="556" t="s">
        <v>837</v>
      </c>
      <c r="BC31" s="556" t="s">
        <v>837</v>
      </c>
      <c r="BD31" s="556" t="s">
        <v>837</v>
      </c>
      <c r="BE31" s="556" t="s">
        <v>837</v>
      </c>
      <c r="BF31" s="638"/>
      <c r="BG31" s="638"/>
      <c r="BH31" s="638"/>
      <c r="BI31" s="576"/>
      <c r="BJ31" s="576"/>
      <c r="BK31" s="576"/>
      <c r="BL31" s="602"/>
      <c r="BM31" s="553" t="s">
        <v>837</v>
      </c>
      <c r="BN31" s="612" t="s">
        <v>837</v>
      </c>
      <c r="BO31" s="576"/>
      <c r="BP31" s="606"/>
      <c r="BQ31" s="576"/>
      <c r="BR31" s="570"/>
      <c r="BS31" s="547"/>
      <c r="BT31" s="549"/>
      <c r="BU31" s="549"/>
      <c r="BV31" s="549"/>
      <c r="BW31" s="549"/>
      <c r="BX31" s="549"/>
      <c r="BY31" s="549"/>
      <c r="BZ31" s="549"/>
      <c r="CA31" s="549"/>
      <c r="CB31" s="549"/>
      <c r="CC31" s="549"/>
      <c r="CD31" s="548"/>
      <c r="CE31" s="547"/>
      <c r="CF31" s="549"/>
      <c r="CG31" s="549"/>
      <c r="CH31" s="549"/>
      <c r="CI31" s="549"/>
      <c r="CJ31" s="549"/>
      <c r="CK31" s="549"/>
      <c r="CL31" s="549"/>
      <c r="CM31" s="549"/>
      <c r="CN31" s="548"/>
      <c r="CO31" s="640"/>
      <c r="CP31" s="640"/>
      <c r="CQ31" s="640"/>
      <c r="CR31" s="640"/>
      <c r="CS31" s="640"/>
      <c r="CT31" s="640"/>
      <c r="CU31" s="640"/>
      <c r="CV31" s="640"/>
      <c r="CW31" s="640"/>
      <c r="CX31" s="640"/>
      <c r="CY31" s="640"/>
      <c r="CZ31" s="640"/>
      <c r="DA31" s="640"/>
      <c r="DB31" s="640"/>
      <c r="DC31" s="640"/>
      <c r="DD31" s="640"/>
      <c r="DE31" s="640"/>
      <c r="DF31" s="640"/>
      <c r="DG31" s="640"/>
      <c r="DH31" s="640"/>
      <c r="DI31" s="641"/>
      <c r="DJ31" s="641"/>
      <c r="DK31" s="641"/>
      <c r="DL31" s="641"/>
      <c r="DM31" s="641"/>
      <c r="DN31" s="641"/>
      <c r="DO31" s="641"/>
      <c r="DP31" s="576"/>
      <c r="DQ31" s="576"/>
      <c r="DR31" s="576"/>
      <c r="DS31" s="576"/>
      <c r="DT31" s="576"/>
      <c r="DU31" s="576"/>
      <c r="DV31" s="576"/>
      <c r="DW31" s="576"/>
      <c r="DX31" s="576"/>
      <c r="DY31" s="576"/>
      <c r="DZ31" s="576"/>
      <c r="EA31" s="576"/>
      <c r="EB31" s="576"/>
      <c r="EC31" s="576"/>
      <c r="ED31" s="576"/>
      <c r="EE31" s="576"/>
      <c r="EF31" s="576"/>
      <c r="EG31" s="576"/>
      <c r="EH31" s="576"/>
    </row>
    <row r="32" spans="1:139" s="14" customFormat="1" x14ac:dyDescent="0.25">
      <c r="A32" s="8">
        <v>28</v>
      </c>
      <c r="B32" s="4" t="s">
        <v>708</v>
      </c>
      <c r="C32" s="4"/>
      <c r="D32" s="4" t="s">
        <v>78</v>
      </c>
      <c r="E32" s="4" t="s">
        <v>75</v>
      </c>
      <c r="F32" s="19" t="s">
        <v>8</v>
      </c>
      <c r="G32" s="19" t="s">
        <v>837</v>
      </c>
      <c r="H32" s="556" t="s">
        <v>837</v>
      </c>
      <c r="I32" s="556" t="s">
        <v>837</v>
      </c>
      <c r="J32" s="556" t="s">
        <v>837</v>
      </c>
      <c r="K32" s="556" t="s">
        <v>837</v>
      </c>
      <c r="L32" s="556" t="s">
        <v>837</v>
      </c>
      <c r="M32" s="556" t="s">
        <v>837</v>
      </c>
      <c r="N32" s="556" t="s">
        <v>837</v>
      </c>
      <c r="O32" s="556" t="s">
        <v>837</v>
      </c>
      <c r="P32" s="556" t="s">
        <v>837</v>
      </c>
      <c r="Q32" s="556" t="s">
        <v>837</v>
      </c>
      <c r="R32" s="556" t="s">
        <v>837</v>
      </c>
      <c r="S32" s="556" t="s">
        <v>837</v>
      </c>
      <c r="T32" s="556" t="s">
        <v>837</v>
      </c>
      <c r="U32" s="556" t="s">
        <v>837</v>
      </c>
      <c r="V32" s="556" t="s">
        <v>837</v>
      </c>
      <c r="W32" s="556" t="s">
        <v>837</v>
      </c>
      <c r="X32" s="556" t="s">
        <v>837</v>
      </c>
      <c r="Y32" s="556" t="s">
        <v>837</v>
      </c>
      <c r="Z32" s="556" t="s">
        <v>837</v>
      </c>
      <c r="AA32" s="556" t="s">
        <v>837</v>
      </c>
      <c r="AB32" s="556" t="s">
        <v>837</v>
      </c>
      <c r="AC32" s="556" t="s">
        <v>837</v>
      </c>
      <c r="AD32" s="556" t="s">
        <v>837</v>
      </c>
      <c r="AE32" s="556" t="s">
        <v>837</v>
      </c>
      <c r="AF32" s="556" t="s">
        <v>837</v>
      </c>
      <c r="AG32" s="556" t="s">
        <v>837</v>
      </c>
      <c r="AH32" s="556" t="s">
        <v>837</v>
      </c>
      <c r="AI32" s="556" t="s">
        <v>837</v>
      </c>
      <c r="AJ32" s="556" t="s">
        <v>837</v>
      </c>
      <c r="AK32" s="556" t="s">
        <v>837</v>
      </c>
      <c r="AL32" s="556" t="s">
        <v>837</v>
      </c>
      <c r="AM32" s="556" t="s">
        <v>837</v>
      </c>
      <c r="AN32" s="556" t="s">
        <v>837</v>
      </c>
      <c r="AO32" s="556" t="s">
        <v>837</v>
      </c>
      <c r="AP32" s="556" t="s">
        <v>837</v>
      </c>
      <c r="AQ32" s="556" t="s">
        <v>837</v>
      </c>
      <c r="AR32" s="556" t="s">
        <v>837</v>
      </c>
      <c r="AS32" s="556" t="s">
        <v>837</v>
      </c>
      <c r="AT32" s="556" t="s">
        <v>837</v>
      </c>
      <c r="AU32" s="556" t="s">
        <v>837</v>
      </c>
      <c r="AV32" s="556" t="s">
        <v>837</v>
      </c>
      <c r="AW32" s="556" t="s">
        <v>837</v>
      </c>
      <c r="AX32" s="556" t="s">
        <v>837</v>
      </c>
      <c r="AY32" s="556" t="s">
        <v>837</v>
      </c>
      <c r="AZ32" s="556" t="s">
        <v>837</v>
      </c>
      <c r="BA32" s="556" t="s">
        <v>837</v>
      </c>
      <c r="BB32" s="556" t="s">
        <v>837</v>
      </c>
      <c r="BC32" s="556" t="s">
        <v>837</v>
      </c>
      <c r="BD32" s="556" t="s">
        <v>837</v>
      </c>
      <c r="BE32" s="556" t="s">
        <v>837</v>
      </c>
      <c r="BF32" s="612"/>
      <c r="BG32" s="612"/>
      <c r="BH32" s="612"/>
      <c r="BI32" s="576"/>
      <c r="BJ32" s="576"/>
      <c r="BK32" s="576"/>
      <c r="BL32" s="602"/>
      <c r="BM32" s="553" t="s">
        <v>837</v>
      </c>
      <c r="BN32" s="612" t="s">
        <v>837</v>
      </c>
      <c r="BO32" s="576"/>
      <c r="BP32" s="606"/>
      <c r="BQ32" s="576"/>
      <c r="BR32" s="570"/>
      <c r="BS32" s="547"/>
      <c r="BT32" s="549"/>
      <c r="BU32" s="549"/>
      <c r="BV32" s="549"/>
      <c r="BW32" s="549"/>
      <c r="BX32" s="549"/>
      <c r="BY32" s="549"/>
      <c r="BZ32" s="549"/>
      <c r="CA32" s="549"/>
      <c r="CB32" s="549"/>
      <c r="CC32" s="549"/>
      <c r="CD32" s="548"/>
      <c r="CE32" s="547"/>
      <c r="CF32" s="549"/>
      <c r="CG32" s="549"/>
      <c r="CH32" s="549"/>
      <c r="CI32" s="549"/>
      <c r="CJ32" s="549"/>
      <c r="CK32" s="549"/>
      <c r="CL32" s="549"/>
      <c r="CM32" s="549"/>
      <c r="CN32" s="548"/>
      <c r="CO32" s="640"/>
      <c r="CP32" s="640"/>
      <c r="CQ32" s="640"/>
      <c r="CR32" s="640"/>
      <c r="CS32" s="640"/>
      <c r="CT32" s="640"/>
      <c r="CU32" s="640"/>
      <c r="CV32" s="640"/>
      <c r="CW32" s="640"/>
      <c r="CX32" s="640"/>
      <c r="CY32" s="640"/>
      <c r="CZ32" s="640"/>
      <c r="DA32" s="640"/>
      <c r="DB32" s="640"/>
      <c r="DC32" s="640"/>
      <c r="DD32" s="640"/>
      <c r="DE32" s="640"/>
      <c r="DF32" s="640"/>
      <c r="DG32" s="640"/>
      <c r="DH32" s="640"/>
      <c r="DI32" s="641"/>
      <c r="DJ32" s="641"/>
      <c r="DK32" s="641"/>
      <c r="DL32" s="641"/>
      <c r="DM32" s="641"/>
      <c r="DN32" s="641"/>
      <c r="DO32" s="641"/>
      <c r="DP32" s="576"/>
      <c r="DQ32" s="576"/>
      <c r="DR32" s="576"/>
      <c r="DS32" s="576"/>
      <c r="DT32" s="576"/>
      <c r="DU32" s="576"/>
      <c r="DV32" s="576"/>
      <c r="DW32" s="576"/>
      <c r="DX32" s="576"/>
      <c r="DY32" s="576"/>
      <c r="DZ32" s="576"/>
      <c r="EA32" s="576"/>
      <c r="EB32" s="576"/>
      <c r="EC32" s="576"/>
      <c r="ED32" s="576"/>
      <c r="EE32" s="576"/>
      <c r="EF32" s="576"/>
      <c r="EG32" s="576"/>
      <c r="EH32" s="576"/>
    </row>
    <row r="33" spans="1:138" s="14" customFormat="1" x14ac:dyDescent="0.25">
      <c r="A33" s="8">
        <v>29</v>
      </c>
      <c r="B33" s="4" t="s">
        <v>69</v>
      </c>
      <c r="C33" s="4"/>
      <c r="D33" s="4" t="s">
        <v>55</v>
      </c>
      <c r="E33" s="4" t="s">
        <v>75</v>
      </c>
      <c r="F33" s="19" t="s">
        <v>8</v>
      </c>
      <c r="G33" s="19" t="s">
        <v>837</v>
      </c>
      <c r="H33" s="556" t="s">
        <v>837</v>
      </c>
      <c r="I33" s="556">
        <v>10002</v>
      </c>
      <c r="J33" s="556" t="s">
        <v>837</v>
      </c>
      <c r="K33" s="556">
        <v>10004</v>
      </c>
      <c r="L33" s="556" t="s">
        <v>837</v>
      </c>
      <c r="M33" s="556" t="s">
        <v>837</v>
      </c>
      <c r="N33" s="556">
        <v>10002</v>
      </c>
      <c r="O33" s="556" t="s">
        <v>837</v>
      </c>
      <c r="P33" s="556">
        <v>10004</v>
      </c>
      <c r="Q33" s="556" t="s">
        <v>837</v>
      </c>
      <c r="R33" s="556" t="s">
        <v>837</v>
      </c>
      <c r="S33" s="556">
        <v>10002</v>
      </c>
      <c r="T33" s="556" t="s">
        <v>837</v>
      </c>
      <c r="U33" s="556">
        <v>10004</v>
      </c>
      <c r="V33" s="556" t="s">
        <v>837</v>
      </c>
      <c r="W33" s="556" t="s">
        <v>837</v>
      </c>
      <c r="X33" s="556" t="s">
        <v>837</v>
      </c>
      <c r="Y33" s="556" t="s">
        <v>837</v>
      </c>
      <c r="Z33" s="556" t="s">
        <v>837</v>
      </c>
      <c r="AA33" s="556" t="s">
        <v>837</v>
      </c>
      <c r="AB33" s="556" t="s">
        <v>837</v>
      </c>
      <c r="AC33" s="556">
        <v>10002</v>
      </c>
      <c r="AD33" s="556" t="s">
        <v>837</v>
      </c>
      <c r="AE33" s="556">
        <v>10004</v>
      </c>
      <c r="AF33" s="556" t="s">
        <v>837</v>
      </c>
      <c r="AG33" s="556" t="s">
        <v>837</v>
      </c>
      <c r="AH33" s="556" t="s">
        <v>837</v>
      </c>
      <c r="AI33" s="556" t="s">
        <v>837</v>
      </c>
      <c r="AJ33" s="556" t="s">
        <v>837</v>
      </c>
      <c r="AK33" s="556" t="s">
        <v>837</v>
      </c>
      <c r="AL33" s="556" t="s">
        <v>837</v>
      </c>
      <c r="AM33" s="556" t="s">
        <v>837</v>
      </c>
      <c r="AN33" s="556" t="s">
        <v>837</v>
      </c>
      <c r="AO33" s="556" t="s">
        <v>837</v>
      </c>
      <c r="AP33" s="556" t="s">
        <v>837</v>
      </c>
      <c r="AQ33" s="556" t="s">
        <v>837</v>
      </c>
      <c r="AR33" s="556" t="s">
        <v>837</v>
      </c>
      <c r="AS33" s="556" t="s">
        <v>837</v>
      </c>
      <c r="AT33" s="556" t="s">
        <v>837</v>
      </c>
      <c r="AU33" s="556" t="s">
        <v>837</v>
      </c>
      <c r="AV33" s="556" t="s">
        <v>837</v>
      </c>
      <c r="AW33" s="556" t="s">
        <v>837</v>
      </c>
      <c r="AX33" s="556" t="s">
        <v>837</v>
      </c>
      <c r="AY33" s="556" t="s">
        <v>837</v>
      </c>
      <c r="AZ33" s="556" t="s">
        <v>837</v>
      </c>
      <c r="BA33" s="556" t="s">
        <v>837</v>
      </c>
      <c r="BB33" s="556" t="s">
        <v>837</v>
      </c>
      <c r="BC33" s="556" t="s">
        <v>837</v>
      </c>
      <c r="BD33" s="556" t="s">
        <v>837</v>
      </c>
      <c r="BE33" s="556" t="s">
        <v>837</v>
      </c>
      <c r="BF33" s="636"/>
      <c r="BG33" s="636"/>
      <c r="BH33" s="636"/>
      <c r="BI33" s="576"/>
      <c r="BJ33" s="576"/>
      <c r="BK33" s="576"/>
      <c r="BL33" s="602"/>
      <c r="BM33" s="553" t="s">
        <v>837</v>
      </c>
      <c r="BN33" s="612" t="s">
        <v>837</v>
      </c>
      <c r="BO33" s="576"/>
      <c r="BP33" s="606"/>
      <c r="BQ33" s="576"/>
      <c r="BR33" s="570"/>
      <c r="BS33" s="547"/>
      <c r="BT33" s="549"/>
      <c r="BU33" s="549"/>
      <c r="BV33" s="549"/>
      <c r="BW33" s="549"/>
      <c r="BX33" s="549"/>
      <c r="BY33" s="549"/>
      <c r="BZ33" s="549"/>
      <c r="CA33" s="549"/>
      <c r="CB33" s="549"/>
      <c r="CC33" s="549"/>
      <c r="CD33" s="548"/>
      <c r="CE33" s="547"/>
      <c r="CF33" s="549"/>
      <c r="CG33" s="549"/>
      <c r="CH33" s="549"/>
      <c r="CI33" s="549"/>
      <c r="CJ33" s="549"/>
      <c r="CK33" s="549"/>
      <c r="CL33" s="549"/>
      <c r="CM33" s="549"/>
      <c r="CN33" s="548"/>
      <c r="CO33" s="640"/>
      <c r="CP33" s="640"/>
      <c r="CQ33" s="640"/>
      <c r="CR33" s="640"/>
      <c r="CS33" s="640"/>
      <c r="CT33" s="640"/>
      <c r="CU33" s="640"/>
      <c r="CV33" s="640"/>
      <c r="CW33" s="640"/>
      <c r="CX33" s="640"/>
      <c r="CY33" s="640"/>
      <c r="CZ33" s="640"/>
      <c r="DA33" s="640"/>
      <c r="DB33" s="640"/>
      <c r="DC33" s="640"/>
      <c r="DD33" s="640"/>
      <c r="DE33" s="640"/>
      <c r="DF33" s="640"/>
      <c r="DG33" s="640"/>
      <c r="DH33" s="640"/>
      <c r="DI33" s="641"/>
      <c r="DJ33" s="641"/>
      <c r="DK33" s="641"/>
      <c r="DL33" s="641"/>
      <c r="DM33" s="641"/>
      <c r="DN33" s="641"/>
      <c r="DO33" s="641"/>
      <c r="DP33" s="576"/>
      <c r="DQ33" s="576"/>
      <c r="DR33" s="576"/>
      <c r="DS33" s="576"/>
      <c r="DT33" s="576"/>
      <c r="DU33" s="576"/>
      <c r="DV33" s="576"/>
      <c r="DW33" s="576"/>
      <c r="DX33" s="576"/>
      <c r="DY33" s="576"/>
      <c r="DZ33" s="576"/>
      <c r="EA33" s="576"/>
      <c r="EB33" s="576"/>
      <c r="EC33" s="576"/>
      <c r="ED33" s="576"/>
      <c r="EE33" s="576"/>
      <c r="EF33" s="576"/>
      <c r="EG33" s="576"/>
      <c r="EH33" s="576"/>
    </row>
    <row r="34" spans="1:138" s="14" customFormat="1" x14ac:dyDescent="0.25">
      <c r="A34" s="8">
        <v>30</v>
      </c>
      <c r="B34" s="4" t="s">
        <v>65</v>
      </c>
      <c r="C34" s="4"/>
      <c r="D34" s="4" t="s">
        <v>55</v>
      </c>
      <c r="E34" s="4" t="s">
        <v>75</v>
      </c>
      <c r="F34" s="526"/>
      <c r="G34" s="526" t="s">
        <v>6</v>
      </c>
      <c r="H34" s="556" t="s">
        <v>837</v>
      </c>
      <c r="I34" s="556">
        <v>10002</v>
      </c>
      <c r="J34" s="556" t="s">
        <v>837</v>
      </c>
      <c r="K34" s="556">
        <v>10004</v>
      </c>
      <c r="L34" s="556" t="s">
        <v>837</v>
      </c>
      <c r="M34" s="556" t="s">
        <v>837</v>
      </c>
      <c r="N34" s="556">
        <v>10002</v>
      </c>
      <c r="O34" s="556" t="s">
        <v>837</v>
      </c>
      <c r="P34" s="556">
        <v>10004</v>
      </c>
      <c r="Q34" s="556" t="s">
        <v>837</v>
      </c>
      <c r="R34" s="556"/>
      <c r="S34" s="556" t="s">
        <v>837</v>
      </c>
      <c r="T34" s="556"/>
      <c r="U34" s="556" t="s">
        <v>837</v>
      </c>
      <c r="V34" s="556" t="s">
        <v>837</v>
      </c>
      <c r="W34" s="556" t="s">
        <v>837</v>
      </c>
      <c r="X34" s="556">
        <v>10002</v>
      </c>
      <c r="Y34" s="556" t="s">
        <v>837</v>
      </c>
      <c r="Z34" s="556">
        <v>10004</v>
      </c>
      <c r="AA34" s="556" t="s">
        <v>837</v>
      </c>
      <c r="AB34" s="556" t="s">
        <v>837</v>
      </c>
      <c r="AC34" s="556">
        <v>10002</v>
      </c>
      <c r="AD34" s="556" t="s">
        <v>837</v>
      </c>
      <c r="AE34" s="556">
        <v>10004</v>
      </c>
      <c r="AF34" s="556" t="s">
        <v>837</v>
      </c>
      <c r="AG34" s="556" t="s">
        <v>837</v>
      </c>
      <c r="AH34" s="556" t="s">
        <v>837</v>
      </c>
      <c r="AI34" s="556" t="s">
        <v>837</v>
      </c>
      <c r="AJ34" s="556" t="s">
        <v>837</v>
      </c>
      <c r="AK34" s="556" t="s">
        <v>837</v>
      </c>
      <c r="AL34" s="556" t="s">
        <v>837</v>
      </c>
      <c r="AM34" s="556" t="s">
        <v>837</v>
      </c>
      <c r="AN34" s="556" t="s">
        <v>837</v>
      </c>
      <c r="AO34" s="556" t="s">
        <v>837</v>
      </c>
      <c r="AP34" s="556" t="s">
        <v>837</v>
      </c>
      <c r="AQ34" s="556" t="s">
        <v>837</v>
      </c>
      <c r="AR34" s="556" t="s">
        <v>837</v>
      </c>
      <c r="AS34" s="556" t="s">
        <v>837</v>
      </c>
      <c r="AT34" s="556" t="s">
        <v>837</v>
      </c>
      <c r="AU34" s="556" t="s">
        <v>837</v>
      </c>
      <c r="AV34" s="556" t="s">
        <v>837</v>
      </c>
      <c r="AW34" s="556" t="s">
        <v>837</v>
      </c>
      <c r="AX34" s="556" t="s">
        <v>837</v>
      </c>
      <c r="AY34" s="556" t="s">
        <v>837</v>
      </c>
      <c r="AZ34" s="556" t="s">
        <v>837</v>
      </c>
      <c r="BA34" s="556" t="s">
        <v>837</v>
      </c>
      <c r="BB34" s="556" t="s">
        <v>837</v>
      </c>
      <c r="BC34" s="556" t="s">
        <v>837</v>
      </c>
      <c r="BD34" s="556" t="s">
        <v>837</v>
      </c>
      <c r="BE34" s="556" t="s">
        <v>837</v>
      </c>
      <c r="BF34" s="636"/>
      <c r="BG34" s="636"/>
      <c r="BH34" s="636"/>
      <c r="BI34" s="576"/>
      <c r="BJ34" s="576"/>
      <c r="BK34" s="576"/>
      <c r="BL34" s="602"/>
      <c r="BM34" s="553" t="s">
        <v>837</v>
      </c>
      <c r="BN34" s="612" t="s">
        <v>837</v>
      </c>
      <c r="BO34" s="576"/>
      <c r="BP34" s="606"/>
      <c r="BQ34" s="576"/>
      <c r="BR34" s="570"/>
      <c r="BS34" s="547"/>
      <c r="BT34" s="549"/>
      <c r="BU34" s="549"/>
      <c r="BV34" s="549"/>
      <c r="BW34" s="549"/>
      <c r="BX34" s="549"/>
      <c r="BY34" s="549"/>
      <c r="BZ34" s="549"/>
      <c r="CA34" s="549"/>
      <c r="CB34" s="549"/>
      <c r="CC34" s="549"/>
      <c r="CD34" s="548"/>
      <c r="CE34" s="547"/>
      <c r="CF34" s="549"/>
      <c r="CG34" s="549"/>
      <c r="CH34" s="549"/>
      <c r="CI34" s="549"/>
      <c r="CJ34" s="549"/>
      <c r="CK34" s="549"/>
      <c r="CL34" s="549"/>
      <c r="CM34" s="549"/>
      <c r="CN34" s="548"/>
      <c r="CO34" s="640"/>
      <c r="CP34" s="640"/>
      <c r="CQ34" s="640"/>
      <c r="CR34" s="640"/>
      <c r="CS34" s="640"/>
      <c r="CT34" s="640"/>
      <c r="CU34" s="640"/>
      <c r="CV34" s="640"/>
      <c r="CW34" s="640"/>
      <c r="CX34" s="640"/>
      <c r="CY34" s="640"/>
      <c r="CZ34" s="640"/>
      <c r="DA34" s="640"/>
      <c r="DB34" s="640"/>
      <c r="DC34" s="640"/>
      <c r="DD34" s="640"/>
      <c r="DE34" s="640"/>
      <c r="DF34" s="640"/>
      <c r="DG34" s="640"/>
      <c r="DH34" s="640"/>
      <c r="DI34" s="641"/>
      <c r="DJ34" s="641"/>
      <c r="DK34" s="641"/>
      <c r="DL34" s="641"/>
      <c r="DM34" s="641"/>
      <c r="DN34" s="641"/>
      <c r="DO34" s="641"/>
      <c r="DP34" s="576"/>
      <c r="DQ34" s="576"/>
      <c r="DR34" s="576"/>
      <c r="DS34" s="576"/>
      <c r="DT34" s="576"/>
      <c r="DU34" s="576"/>
      <c r="DV34" s="576"/>
      <c r="DW34" s="576"/>
      <c r="DX34" s="576"/>
      <c r="DY34" s="576"/>
      <c r="DZ34" s="576"/>
      <c r="EA34" s="576"/>
      <c r="EB34" s="576"/>
      <c r="EC34" s="576"/>
      <c r="ED34" s="576"/>
      <c r="EE34" s="576"/>
      <c r="EF34" s="576"/>
      <c r="EG34" s="576"/>
      <c r="EH34" s="576"/>
    </row>
    <row r="35" spans="1:138" s="14" customFormat="1" x14ac:dyDescent="0.25">
      <c r="A35" s="8">
        <v>31</v>
      </c>
      <c r="B35" s="4" t="s">
        <v>24</v>
      </c>
      <c r="C35" s="4"/>
      <c r="D35" s="4" t="s">
        <v>55</v>
      </c>
      <c r="E35" s="4" t="s">
        <v>75</v>
      </c>
      <c r="F35" s="19" t="s">
        <v>8</v>
      </c>
      <c r="G35" s="19" t="s">
        <v>837</v>
      </c>
      <c r="H35" s="556" t="s">
        <v>837</v>
      </c>
      <c r="I35" s="556" t="s">
        <v>837</v>
      </c>
      <c r="J35" s="556" t="s">
        <v>837</v>
      </c>
      <c r="K35" s="556" t="s">
        <v>837</v>
      </c>
      <c r="L35" s="556" t="s">
        <v>837</v>
      </c>
      <c r="M35" s="556" t="s">
        <v>837</v>
      </c>
      <c r="N35" s="556" t="s">
        <v>837</v>
      </c>
      <c r="O35" s="556" t="s">
        <v>837</v>
      </c>
      <c r="P35" s="556" t="s">
        <v>837</v>
      </c>
      <c r="Q35" s="556" t="s">
        <v>837</v>
      </c>
      <c r="R35" s="556" t="s">
        <v>837</v>
      </c>
      <c r="S35" s="556" t="s">
        <v>837</v>
      </c>
      <c r="T35" s="556" t="s">
        <v>837</v>
      </c>
      <c r="U35" s="556" t="s">
        <v>837</v>
      </c>
      <c r="V35" s="556" t="s">
        <v>837</v>
      </c>
      <c r="W35" s="556" t="s">
        <v>837</v>
      </c>
      <c r="X35" s="556" t="s">
        <v>837</v>
      </c>
      <c r="Y35" s="556" t="s">
        <v>837</v>
      </c>
      <c r="Z35" s="556" t="s">
        <v>837</v>
      </c>
      <c r="AA35" s="556" t="s">
        <v>837</v>
      </c>
      <c r="AB35" s="556" t="s">
        <v>837</v>
      </c>
      <c r="AC35" s="556" t="s">
        <v>837</v>
      </c>
      <c r="AD35" s="556" t="s">
        <v>837</v>
      </c>
      <c r="AE35" s="556" t="s">
        <v>837</v>
      </c>
      <c r="AF35" s="556" t="s">
        <v>837</v>
      </c>
      <c r="AG35" s="556" t="s">
        <v>837</v>
      </c>
      <c r="AH35" s="556" t="s">
        <v>837</v>
      </c>
      <c r="AI35" s="556" t="s">
        <v>837</v>
      </c>
      <c r="AJ35" s="556" t="s">
        <v>837</v>
      </c>
      <c r="AK35" s="556" t="s">
        <v>837</v>
      </c>
      <c r="AL35" s="556" t="s">
        <v>837</v>
      </c>
      <c r="AM35" s="556" t="s">
        <v>837</v>
      </c>
      <c r="AN35" s="556" t="s">
        <v>837</v>
      </c>
      <c r="AO35" s="556" t="s">
        <v>837</v>
      </c>
      <c r="AP35" s="556" t="s">
        <v>837</v>
      </c>
      <c r="AQ35" s="556" t="s">
        <v>837</v>
      </c>
      <c r="AR35" s="556" t="s">
        <v>837</v>
      </c>
      <c r="AS35" s="556" t="s">
        <v>837</v>
      </c>
      <c r="AT35" s="556" t="s">
        <v>837</v>
      </c>
      <c r="AU35" s="556" t="s">
        <v>837</v>
      </c>
      <c r="AV35" s="556" t="s">
        <v>837</v>
      </c>
      <c r="AW35" s="556" t="s">
        <v>837</v>
      </c>
      <c r="AX35" s="556" t="s">
        <v>837</v>
      </c>
      <c r="AY35" s="556" t="s">
        <v>837</v>
      </c>
      <c r="AZ35" s="556" t="s">
        <v>837</v>
      </c>
      <c r="BA35" s="556" t="s">
        <v>837</v>
      </c>
      <c r="BB35" s="556" t="s">
        <v>837</v>
      </c>
      <c r="BC35" s="556" t="s">
        <v>837</v>
      </c>
      <c r="BD35" s="556" t="s">
        <v>837</v>
      </c>
      <c r="BE35" s="556" t="s">
        <v>837</v>
      </c>
      <c r="BF35" s="636"/>
      <c r="BG35" s="636"/>
      <c r="BH35" s="636"/>
      <c r="BI35" s="576"/>
      <c r="BJ35" s="576"/>
      <c r="BK35" s="576"/>
      <c r="BL35" s="602"/>
      <c r="BM35" s="553" t="s">
        <v>837</v>
      </c>
      <c r="BN35" s="612" t="s">
        <v>837</v>
      </c>
      <c r="BO35" s="576"/>
      <c r="BP35" s="606"/>
      <c r="BQ35" s="576"/>
      <c r="BR35" s="570"/>
      <c r="BS35" s="547"/>
      <c r="BT35" s="549"/>
      <c r="BU35" s="549"/>
      <c r="BV35" s="549"/>
      <c r="BW35" s="549"/>
      <c r="BX35" s="549"/>
      <c r="BY35" s="549"/>
      <c r="BZ35" s="549"/>
      <c r="CA35" s="549"/>
      <c r="CB35" s="549"/>
      <c r="CC35" s="549"/>
      <c r="CD35" s="548"/>
      <c r="CE35" s="547"/>
      <c r="CF35" s="549"/>
      <c r="CG35" s="549"/>
      <c r="CH35" s="549"/>
      <c r="CI35" s="549"/>
      <c r="CJ35" s="549"/>
      <c r="CK35" s="549"/>
      <c r="CL35" s="549"/>
      <c r="CM35" s="549"/>
      <c r="CN35" s="548"/>
      <c r="CO35" s="640"/>
      <c r="CP35" s="640"/>
      <c r="CQ35" s="640"/>
      <c r="CR35" s="640"/>
      <c r="CS35" s="640"/>
      <c r="CT35" s="640"/>
      <c r="CU35" s="640"/>
      <c r="CV35" s="640"/>
      <c r="CW35" s="640"/>
      <c r="CX35" s="640"/>
      <c r="CY35" s="640"/>
      <c r="CZ35" s="640"/>
      <c r="DA35" s="640"/>
      <c r="DB35" s="640"/>
      <c r="DC35" s="640"/>
      <c r="DD35" s="640"/>
      <c r="DE35" s="640"/>
      <c r="DF35" s="640"/>
      <c r="DG35" s="640"/>
      <c r="DH35" s="640"/>
      <c r="DI35" s="641"/>
      <c r="DJ35" s="641"/>
      <c r="DK35" s="641"/>
      <c r="DL35" s="641"/>
      <c r="DM35" s="641"/>
      <c r="DN35" s="641"/>
      <c r="DO35" s="641"/>
      <c r="DP35" s="576"/>
      <c r="DQ35" s="576"/>
      <c r="DR35" s="576"/>
      <c r="DS35" s="576"/>
      <c r="DT35" s="576"/>
      <c r="DU35" s="576"/>
      <c r="DV35" s="576"/>
      <c r="DW35" s="576"/>
      <c r="DX35" s="576"/>
      <c r="DY35" s="576"/>
      <c r="DZ35" s="576"/>
      <c r="EA35" s="576"/>
      <c r="EB35" s="576"/>
      <c r="EC35" s="576"/>
      <c r="ED35" s="576"/>
      <c r="EE35" s="576"/>
      <c r="EF35" s="576"/>
      <c r="EG35" s="576"/>
      <c r="EH35" s="576"/>
    </row>
    <row r="36" spans="1:138" s="14" customFormat="1" x14ac:dyDescent="0.25">
      <c r="A36" s="8">
        <v>32</v>
      </c>
      <c r="B36" s="19" t="s">
        <v>94</v>
      </c>
      <c r="C36" s="19"/>
      <c r="D36" s="4" t="s">
        <v>55</v>
      </c>
      <c r="E36" s="4" t="s">
        <v>75</v>
      </c>
      <c r="F36" s="19" t="s">
        <v>8</v>
      </c>
      <c r="G36" s="19" t="s">
        <v>837</v>
      </c>
      <c r="H36" s="556" t="s">
        <v>837</v>
      </c>
      <c r="I36" s="556" t="s">
        <v>837</v>
      </c>
      <c r="J36" s="556" t="s">
        <v>837</v>
      </c>
      <c r="K36" s="556" t="s">
        <v>837</v>
      </c>
      <c r="L36" s="556" t="s">
        <v>837</v>
      </c>
      <c r="M36" s="556" t="s">
        <v>837</v>
      </c>
      <c r="N36" s="556" t="s">
        <v>837</v>
      </c>
      <c r="O36" s="556" t="s">
        <v>837</v>
      </c>
      <c r="P36" s="556" t="s">
        <v>837</v>
      </c>
      <c r="Q36" s="556" t="s">
        <v>837</v>
      </c>
      <c r="R36" s="556" t="s">
        <v>837</v>
      </c>
      <c r="S36" s="556" t="s">
        <v>837</v>
      </c>
      <c r="T36" s="556" t="s">
        <v>837</v>
      </c>
      <c r="U36" s="556" t="s">
        <v>837</v>
      </c>
      <c r="V36" s="556" t="s">
        <v>837</v>
      </c>
      <c r="W36" s="556" t="s">
        <v>837</v>
      </c>
      <c r="X36" s="556" t="s">
        <v>837</v>
      </c>
      <c r="Y36" s="556" t="s">
        <v>837</v>
      </c>
      <c r="Z36" s="556" t="s">
        <v>837</v>
      </c>
      <c r="AA36" s="556" t="s">
        <v>837</v>
      </c>
      <c r="AB36" s="556" t="s">
        <v>837</v>
      </c>
      <c r="AC36" s="556" t="s">
        <v>837</v>
      </c>
      <c r="AD36" s="556" t="s">
        <v>837</v>
      </c>
      <c r="AE36" s="556" t="s">
        <v>837</v>
      </c>
      <c r="AF36" s="556" t="s">
        <v>837</v>
      </c>
      <c r="AG36" s="556" t="s">
        <v>837</v>
      </c>
      <c r="AH36" s="556" t="s">
        <v>837</v>
      </c>
      <c r="AI36" s="556" t="s">
        <v>837</v>
      </c>
      <c r="AJ36" s="556" t="s">
        <v>837</v>
      </c>
      <c r="AK36" s="556" t="s">
        <v>837</v>
      </c>
      <c r="AL36" s="556" t="s">
        <v>837</v>
      </c>
      <c r="AM36" s="556" t="s">
        <v>837</v>
      </c>
      <c r="AN36" s="556" t="s">
        <v>837</v>
      </c>
      <c r="AO36" s="556" t="s">
        <v>837</v>
      </c>
      <c r="AP36" s="556" t="s">
        <v>837</v>
      </c>
      <c r="AQ36" s="556" t="s">
        <v>837</v>
      </c>
      <c r="AR36" s="556" t="s">
        <v>837</v>
      </c>
      <c r="AS36" s="556" t="s">
        <v>837</v>
      </c>
      <c r="AT36" s="556" t="s">
        <v>837</v>
      </c>
      <c r="AU36" s="556" t="s">
        <v>837</v>
      </c>
      <c r="AV36" s="556" t="s">
        <v>837</v>
      </c>
      <c r="AW36" s="556" t="s">
        <v>837</v>
      </c>
      <c r="AX36" s="556" t="s">
        <v>837</v>
      </c>
      <c r="AY36" s="556" t="s">
        <v>837</v>
      </c>
      <c r="AZ36" s="556" t="s">
        <v>837</v>
      </c>
      <c r="BA36" s="556" t="s">
        <v>837</v>
      </c>
      <c r="BB36" s="556" t="s">
        <v>837</v>
      </c>
      <c r="BC36" s="556" t="s">
        <v>837</v>
      </c>
      <c r="BD36" s="556" t="s">
        <v>837</v>
      </c>
      <c r="BE36" s="556" t="s">
        <v>837</v>
      </c>
      <c r="BF36" s="614"/>
      <c r="BG36" s="614"/>
      <c r="BH36" s="614"/>
      <c r="BI36" s="576"/>
      <c r="BJ36" s="576"/>
      <c r="BK36" s="576"/>
      <c r="BL36" s="602"/>
      <c r="BM36" s="553" t="s">
        <v>837</v>
      </c>
      <c r="BN36" s="612" t="s">
        <v>837</v>
      </c>
      <c r="BO36" s="576"/>
      <c r="BP36" s="606"/>
      <c r="BQ36" s="576"/>
      <c r="BR36" s="570"/>
      <c r="BS36" s="547"/>
      <c r="BT36" s="549"/>
      <c r="BU36" s="549"/>
      <c r="BV36" s="549"/>
      <c r="BW36" s="549"/>
      <c r="BX36" s="549"/>
      <c r="BY36" s="549"/>
      <c r="BZ36" s="549"/>
      <c r="CA36" s="549"/>
      <c r="CB36" s="549"/>
      <c r="CC36" s="549"/>
      <c r="CD36" s="548"/>
      <c r="CE36" s="547"/>
      <c r="CF36" s="549"/>
      <c r="CG36" s="549"/>
      <c r="CH36" s="549"/>
      <c r="CI36" s="549"/>
      <c r="CJ36" s="549"/>
      <c r="CK36" s="549"/>
      <c r="CL36" s="549"/>
      <c r="CM36" s="549"/>
      <c r="CN36" s="548"/>
      <c r="CO36" s="640"/>
      <c r="CP36" s="640"/>
      <c r="CQ36" s="640"/>
      <c r="CR36" s="640"/>
      <c r="CS36" s="640"/>
      <c r="CT36" s="640"/>
      <c r="CU36" s="640"/>
      <c r="CV36" s="640"/>
      <c r="CW36" s="640"/>
      <c r="CX36" s="640"/>
      <c r="CY36" s="640"/>
      <c r="CZ36" s="640"/>
      <c r="DA36" s="640"/>
      <c r="DB36" s="640"/>
      <c r="DC36" s="640"/>
      <c r="DD36" s="640"/>
      <c r="DE36" s="640"/>
      <c r="DF36" s="640"/>
      <c r="DG36" s="640"/>
      <c r="DH36" s="640"/>
      <c r="DI36" s="641"/>
      <c r="DJ36" s="641"/>
      <c r="DK36" s="641"/>
      <c r="DL36" s="641"/>
      <c r="DM36" s="641"/>
      <c r="DN36" s="641"/>
      <c r="DO36" s="641"/>
      <c r="DP36" s="576"/>
      <c r="DQ36" s="576"/>
      <c r="DR36" s="576"/>
      <c r="DS36" s="576"/>
      <c r="DT36" s="576"/>
      <c r="DU36" s="576"/>
      <c r="DV36" s="576"/>
      <c r="DW36" s="576"/>
      <c r="DX36" s="576"/>
      <c r="DY36" s="576"/>
      <c r="DZ36" s="576"/>
      <c r="EA36" s="576"/>
      <c r="EB36" s="576"/>
      <c r="EC36" s="576"/>
      <c r="ED36" s="576"/>
      <c r="EE36" s="576"/>
      <c r="EF36" s="576"/>
      <c r="EG36" s="576"/>
      <c r="EH36" s="576"/>
    </row>
    <row r="37" spans="1:138" s="14" customFormat="1" x14ac:dyDescent="0.25">
      <c r="A37" s="8">
        <v>33</v>
      </c>
      <c r="B37" s="19" t="s">
        <v>97</v>
      </c>
      <c r="C37" s="19"/>
      <c r="D37" s="4" t="s">
        <v>55</v>
      </c>
      <c r="E37" s="4" t="s">
        <v>75</v>
      </c>
      <c r="F37" s="19" t="s">
        <v>8</v>
      </c>
      <c r="G37" s="19" t="s">
        <v>837</v>
      </c>
      <c r="H37" s="556" t="s">
        <v>837</v>
      </c>
      <c r="I37" s="556" t="s">
        <v>837</v>
      </c>
      <c r="J37" s="556" t="s">
        <v>837</v>
      </c>
      <c r="K37" s="556" t="s">
        <v>837</v>
      </c>
      <c r="L37" s="556" t="s">
        <v>837</v>
      </c>
      <c r="M37" s="556" t="s">
        <v>837</v>
      </c>
      <c r="N37" s="556" t="s">
        <v>837</v>
      </c>
      <c r="O37" s="556" t="s">
        <v>837</v>
      </c>
      <c r="P37" s="556" t="s">
        <v>837</v>
      </c>
      <c r="Q37" s="556" t="s">
        <v>837</v>
      </c>
      <c r="R37" s="556" t="s">
        <v>837</v>
      </c>
      <c r="S37" s="556" t="s">
        <v>837</v>
      </c>
      <c r="T37" s="556" t="s">
        <v>837</v>
      </c>
      <c r="U37" s="556" t="s">
        <v>837</v>
      </c>
      <c r="V37" s="556" t="s">
        <v>837</v>
      </c>
      <c r="W37" s="556" t="s">
        <v>837</v>
      </c>
      <c r="X37" s="556" t="s">
        <v>837</v>
      </c>
      <c r="Y37" s="556" t="s">
        <v>837</v>
      </c>
      <c r="Z37" s="556" t="s">
        <v>837</v>
      </c>
      <c r="AA37" s="556" t="s">
        <v>837</v>
      </c>
      <c r="AB37" s="556" t="s">
        <v>837</v>
      </c>
      <c r="AC37" s="556" t="s">
        <v>837</v>
      </c>
      <c r="AD37" s="556" t="s">
        <v>837</v>
      </c>
      <c r="AE37" s="556" t="s">
        <v>837</v>
      </c>
      <c r="AF37" s="556" t="s">
        <v>837</v>
      </c>
      <c r="AG37" s="556" t="s">
        <v>837</v>
      </c>
      <c r="AH37" s="556" t="s">
        <v>837</v>
      </c>
      <c r="AI37" s="556" t="s">
        <v>837</v>
      </c>
      <c r="AJ37" s="556" t="s">
        <v>837</v>
      </c>
      <c r="AK37" s="556" t="s">
        <v>837</v>
      </c>
      <c r="AL37" s="556" t="s">
        <v>837</v>
      </c>
      <c r="AM37" s="556" t="s">
        <v>837</v>
      </c>
      <c r="AN37" s="556" t="s">
        <v>837</v>
      </c>
      <c r="AO37" s="556" t="s">
        <v>837</v>
      </c>
      <c r="AP37" s="556" t="s">
        <v>837</v>
      </c>
      <c r="AQ37" s="556" t="s">
        <v>837</v>
      </c>
      <c r="AR37" s="556" t="s">
        <v>837</v>
      </c>
      <c r="AS37" s="556" t="s">
        <v>837</v>
      </c>
      <c r="AT37" s="556" t="s">
        <v>837</v>
      </c>
      <c r="AU37" s="556" t="s">
        <v>837</v>
      </c>
      <c r="AV37" s="556" t="s">
        <v>837</v>
      </c>
      <c r="AW37" s="556" t="s">
        <v>837</v>
      </c>
      <c r="AX37" s="556" t="s">
        <v>837</v>
      </c>
      <c r="AY37" s="556" t="s">
        <v>837</v>
      </c>
      <c r="AZ37" s="556" t="s">
        <v>837</v>
      </c>
      <c r="BA37" s="556" t="s">
        <v>837</v>
      </c>
      <c r="BB37" s="556" t="s">
        <v>837</v>
      </c>
      <c r="BC37" s="556" t="s">
        <v>837</v>
      </c>
      <c r="BD37" s="556" t="s">
        <v>837</v>
      </c>
      <c r="BE37" s="556" t="s">
        <v>837</v>
      </c>
      <c r="BF37" s="614"/>
      <c r="BG37" s="614"/>
      <c r="BH37" s="614"/>
      <c r="BI37" s="576"/>
      <c r="BJ37" s="576"/>
      <c r="BK37" s="576"/>
      <c r="BL37" s="602"/>
      <c r="BM37" s="553" t="s">
        <v>837</v>
      </c>
      <c r="BN37" s="612" t="s">
        <v>837</v>
      </c>
      <c r="BO37" s="576"/>
      <c r="BP37" s="606"/>
      <c r="BQ37" s="576"/>
      <c r="BR37" s="570"/>
      <c r="BS37" s="547"/>
      <c r="BT37" s="549"/>
      <c r="BU37" s="549"/>
      <c r="BV37" s="549"/>
      <c r="BW37" s="549"/>
      <c r="BX37" s="549"/>
      <c r="BY37" s="549"/>
      <c r="BZ37" s="549"/>
      <c r="CA37" s="549"/>
      <c r="CB37" s="549"/>
      <c r="CC37" s="549"/>
      <c r="CD37" s="548"/>
      <c r="CE37" s="547"/>
      <c r="CF37" s="549"/>
      <c r="CG37" s="549"/>
      <c r="CH37" s="549"/>
      <c r="CI37" s="549"/>
      <c r="CJ37" s="549"/>
      <c r="CK37" s="549"/>
      <c r="CL37" s="549"/>
      <c r="CM37" s="549"/>
      <c r="CN37" s="548"/>
      <c r="CO37" s="640"/>
      <c r="CP37" s="640"/>
      <c r="CQ37" s="640"/>
      <c r="CR37" s="640"/>
      <c r="CS37" s="640"/>
      <c r="CT37" s="640"/>
      <c r="CU37" s="640"/>
      <c r="CV37" s="640"/>
      <c r="CW37" s="640"/>
      <c r="CX37" s="640"/>
      <c r="CY37" s="640"/>
      <c r="CZ37" s="640"/>
      <c r="DA37" s="640"/>
      <c r="DB37" s="640"/>
      <c r="DC37" s="640"/>
      <c r="DD37" s="640"/>
      <c r="DE37" s="640"/>
      <c r="DF37" s="640"/>
      <c r="DG37" s="640"/>
      <c r="DH37" s="640"/>
      <c r="DI37" s="641"/>
      <c r="DJ37" s="641"/>
      <c r="DK37" s="641"/>
      <c r="DL37" s="641"/>
      <c r="DM37" s="641"/>
      <c r="DN37" s="641"/>
      <c r="DO37" s="641"/>
      <c r="DP37" s="576"/>
      <c r="DQ37" s="576"/>
      <c r="DR37" s="576"/>
      <c r="DS37" s="576"/>
      <c r="DT37" s="576"/>
      <c r="DU37" s="576"/>
      <c r="DV37" s="576"/>
      <c r="DW37" s="576"/>
      <c r="DX37" s="576"/>
      <c r="DY37" s="576"/>
      <c r="DZ37" s="576"/>
      <c r="EA37" s="576"/>
      <c r="EB37" s="576"/>
      <c r="EC37" s="576"/>
      <c r="ED37" s="576"/>
      <c r="EE37" s="576"/>
      <c r="EF37" s="576"/>
      <c r="EG37" s="576"/>
      <c r="EH37" s="576"/>
    </row>
    <row r="38" spans="1:138" s="14" customFormat="1" x14ac:dyDescent="0.25">
      <c r="A38" s="8">
        <v>34</v>
      </c>
      <c r="B38" s="19" t="s">
        <v>91</v>
      </c>
      <c r="C38" s="19"/>
      <c r="D38" s="4" t="s">
        <v>55</v>
      </c>
      <c r="E38" s="4" t="s">
        <v>75</v>
      </c>
      <c r="F38" s="19" t="s">
        <v>8</v>
      </c>
      <c r="G38" s="19" t="s">
        <v>837</v>
      </c>
      <c r="H38" s="556" t="s">
        <v>837</v>
      </c>
      <c r="I38" s="556" t="s">
        <v>837</v>
      </c>
      <c r="J38" s="556" t="s">
        <v>837</v>
      </c>
      <c r="K38" s="556" t="s">
        <v>837</v>
      </c>
      <c r="L38" s="556" t="s">
        <v>837</v>
      </c>
      <c r="M38" s="556" t="s">
        <v>837</v>
      </c>
      <c r="N38" s="556" t="s">
        <v>837</v>
      </c>
      <c r="O38" s="556" t="s">
        <v>837</v>
      </c>
      <c r="P38" s="556" t="s">
        <v>837</v>
      </c>
      <c r="Q38" s="556" t="s">
        <v>837</v>
      </c>
      <c r="R38" s="556" t="s">
        <v>837</v>
      </c>
      <c r="S38" s="556" t="s">
        <v>837</v>
      </c>
      <c r="T38" s="556" t="s">
        <v>837</v>
      </c>
      <c r="U38" s="556" t="s">
        <v>837</v>
      </c>
      <c r="V38" s="556" t="s">
        <v>837</v>
      </c>
      <c r="W38" s="556" t="s">
        <v>837</v>
      </c>
      <c r="X38" s="556" t="s">
        <v>837</v>
      </c>
      <c r="Y38" s="556" t="s">
        <v>837</v>
      </c>
      <c r="Z38" s="556" t="s">
        <v>837</v>
      </c>
      <c r="AA38" s="556" t="s">
        <v>837</v>
      </c>
      <c r="AB38" s="556" t="s">
        <v>837</v>
      </c>
      <c r="AC38" s="556" t="s">
        <v>837</v>
      </c>
      <c r="AD38" s="556" t="s">
        <v>837</v>
      </c>
      <c r="AE38" s="556" t="s">
        <v>837</v>
      </c>
      <c r="AF38" s="556" t="s">
        <v>837</v>
      </c>
      <c r="AG38" s="556" t="s">
        <v>837</v>
      </c>
      <c r="AH38" s="556" t="s">
        <v>837</v>
      </c>
      <c r="AI38" s="556" t="s">
        <v>837</v>
      </c>
      <c r="AJ38" s="556" t="s">
        <v>837</v>
      </c>
      <c r="AK38" s="556" t="s">
        <v>837</v>
      </c>
      <c r="AL38" s="556" t="s">
        <v>837</v>
      </c>
      <c r="AM38" s="556" t="s">
        <v>837</v>
      </c>
      <c r="AN38" s="556" t="s">
        <v>837</v>
      </c>
      <c r="AO38" s="556" t="s">
        <v>837</v>
      </c>
      <c r="AP38" s="556" t="s">
        <v>837</v>
      </c>
      <c r="AQ38" s="556" t="s">
        <v>837</v>
      </c>
      <c r="AR38" s="556" t="s">
        <v>837</v>
      </c>
      <c r="AS38" s="556" t="s">
        <v>837</v>
      </c>
      <c r="AT38" s="556" t="s">
        <v>837</v>
      </c>
      <c r="AU38" s="556" t="s">
        <v>837</v>
      </c>
      <c r="AV38" s="556" t="s">
        <v>837</v>
      </c>
      <c r="AW38" s="556" t="s">
        <v>837</v>
      </c>
      <c r="AX38" s="556" t="s">
        <v>837</v>
      </c>
      <c r="AY38" s="556" t="s">
        <v>837</v>
      </c>
      <c r="AZ38" s="556" t="s">
        <v>837</v>
      </c>
      <c r="BA38" s="556" t="s">
        <v>837</v>
      </c>
      <c r="BB38" s="556" t="s">
        <v>837</v>
      </c>
      <c r="BC38" s="556" t="s">
        <v>837</v>
      </c>
      <c r="BD38" s="556" t="s">
        <v>837</v>
      </c>
      <c r="BE38" s="556" t="s">
        <v>837</v>
      </c>
      <c r="BF38" s="614"/>
      <c r="BG38" s="614"/>
      <c r="BH38" s="614"/>
      <c r="BI38" s="576"/>
      <c r="BJ38" s="576"/>
      <c r="BK38" s="576"/>
      <c r="BL38" s="602"/>
      <c r="BM38" s="553" t="s">
        <v>837</v>
      </c>
      <c r="BN38" s="612" t="s">
        <v>837</v>
      </c>
      <c r="BO38" s="576"/>
      <c r="BP38" s="606"/>
      <c r="BQ38" s="576"/>
      <c r="BR38" s="570"/>
      <c r="BS38" s="547"/>
      <c r="BT38" s="549"/>
      <c r="BU38" s="549"/>
      <c r="BV38" s="549"/>
      <c r="BW38" s="549"/>
      <c r="BX38" s="549"/>
      <c r="BY38" s="549"/>
      <c r="BZ38" s="549"/>
      <c r="CA38" s="549"/>
      <c r="CB38" s="549"/>
      <c r="CC38" s="549"/>
      <c r="CD38" s="548"/>
      <c r="CE38" s="547"/>
      <c r="CF38" s="549"/>
      <c r="CG38" s="549"/>
      <c r="CH38" s="549"/>
      <c r="CI38" s="549"/>
      <c r="CJ38" s="549"/>
      <c r="CK38" s="549"/>
      <c r="CL38" s="549"/>
      <c r="CM38" s="549"/>
      <c r="CN38" s="548"/>
      <c r="CO38" s="640"/>
      <c r="CP38" s="640"/>
      <c r="CQ38" s="640"/>
      <c r="CR38" s="640"/>
      <c r="CS38" s="640"/>
      <c r="CT38" s="640"/>
      <c r="CU38" s="640"/>
      <c r="CV38" s="640"/>
      <c r="CW38" s="640"/>
      <c r="CX38" s="640"/>
      <c r="CY38" s="640"/>
      <c r="CZ38" s="640"/>
      <c r="DA38" s="640"/>
      <c r="DB38" s="640"/>
      <c r="DC38" s="640"/>
      <c r="DD38" s="640"/>
      <c r="DE38" s="640"/>
      <c r="DF38" s="640"/>
      <c r="DG38" s="640"/>
      <c r="DH38" s="640"/>
      <c r="DI38" s="641"/>
      <c r="DJ38" s="641"/>
      <c r="DK38" s="641"/>
      <c r="DL38" s="641"/>
      <c r="DM38" s="641"/>
      <c r="DN38" s="641"/>
      <c r="DO38" s="641"/>
      <c r="DP38" s="576"/>
      <c r="DQ38" s="576"/>
      <c r="DR38" s="576"/>
      <c r="DS38" s="576"/>
      <c r="DT38" s="576"/>
      <c r="DU38" s="576"/>
      <c r="DV38" s="576"/>
      <c r="DW38" s="576"/>
      <c r="DX38" s="576"/>
      <c r="DY38" s="576"/>
      <c r="DZ38" s="576"/>
      <c r="EA38" s="576"/>
      <c r="EB38" s="576"/>
      <c r="EC38" s="576"/>
      <c r="ED38" s="576"/>
      <c r="EE38" s="576"/>
      <c r="EF38" s="576"/>
      <c r="EG38" s="576"/>
      <c r="EH38" s="576"/>
    </row>
    <row r="39" spans="1:138" s="14" customFormat="1" x14ac:dyDescent="0.25">
      <c r="A39" s="8">
        <v>35</v>
      </c>
      <c r="B39" s="19" t="s">
        <v>95</v>
      </c>
      <c r="C39" s="19"/>
      <c r="D39" s="4" t="s">
        <v>55</v>
      </c>
      <c r="E39" s="4" t="s">
        <v>75</v>
      </c>
      <c r="F39" s="19" t="s">
        <v>8</v>
      </c>
      <c r="G39" s="19" t="s">
        <v>837</v>
      </c>
      <c r="H39" s="556" t="s">
        <v>837</v>
      </c>
      <c r="I39" s="556" t="s">
        <v>837</v>
      </c>
      <c r="J39" s="556" t="s">
        <v>837</v>
      </c>
      <c r="K39" s="556" t="s">
        <v>837</v>
      </c>
      <c r="L39" s="556" t="s">
        <v>837</v>
      </c>
      <c r="M39" s="556" t="s">
        <v>837</v>
      </c>
      <c r="N39" s="556" t="s">
        <v>837</v>
      </c>
      <c r="O39" s="556" t="s">
        <v>837</v>
      </c>
      <c r="P39" s="556" t="s">
        <v>837</v>
      </c>
      <c r="Q39" s="556" t="s">
        <v>837</v>
      </c>
      <c r="R39" s="556" t="s">
        <v>837</v>
      </c>
      <c r="S39" s="556" t="s">
        <v>837</v>
      </c>
      <c r="T39" s="556" t="s">
        <v>837</v>
      </c>
      <c r="U39" s="556" t="s">
        <v>837</v>
      </c>
      <c r="V39" s="556" t="s">
        <v>837</v>
      </c>
      <c r="W39" s="556" t="s">
        <v>837</v>
      </c>
      <c r="X39" s="556" t="s">
        <v>837</v>
      </c>
      <c r="Y39" s="556" t="s">
        <v>837</v>
      </c>
      <c r="Z39" s="556" t="s">
        <v>837</v>
      </c>
      <c r="AA39" s="556" t="s">
        <v>837</v>
      </c>
      <c r="AB39" s="556" t="s">
        <v>837</v>
      </c>
      <c r="AC39" s="556" t="s">
        <v>837</v>
      </c>
      <c r="AD39" s="556" t="s">
        <v>837</v>
      </c>
      <c r="AE39" s="556" t="s">
        <v>837</v>
      </c>
      <c r="AF39" s="556" t="s">
        <v>837</v>
      </c>
      <c r="AG39" s="556" t="s">
        <v>837</v>
      </c>
      <c r="AH39" s="556" t="s">
        <v>837</v>
      </c>
      <c r="AI39" s="556" t="s">
        <v>837</v>
      </c>
      <c r="AJ39" s="556" t="s">
        <v>837</v>
      </c>
      <c r="AK39" s="556" t="s">
        <v>837</v>
      </c>
      <c r="AL39" s="556" t="s">
        <v>837</v>
      </c>
      <c r="AM39" s="556" t="s">
        <v>837</v>
      </c>
      <c r="AN39" s="556" t="s">
        <v>837</v>
      </c>
      <c r="AO39" s="556" t="s">
        <v>837</v>
      </c>
      <c r="AP39" s="556" t="s">
        <v>837</v>
      </c>
      <c r="AQ39" s="556" t="s">
        <v>837</v>
      </c>
      <c r="AR39" s="556" t="s">
        <v>837</v>
      </c>
      <c r="AS39" s="556" t="s">
        <v>837</v>
      </c>
      <c r="AT39" s="556" t="s">
        <v>837</v>
      </c>
      <c r="AU39" s="556" t="s">
        <v>837</v>
      </c>
      <c r="AV39" s="556" t="s">
        <v>837</v>
      </c>
      <c r="AW39" s="556" t="s">
        <v>837</v>
      </c>
      <c r="AX39" s="556" t="s">
        <v>837</v>
      </c>
      <c r="AY39" s="556" t="s">
        <v>837</v>
      </c>
      <c r="AZ39" s="556" t="s">
        <v>837</v>
      </c>
      <c r="BA39" s="556" t="s">
        <v>837</v>
      </c>
      <c r="BB39" s="556" t="s">
        <v>837</v>
      </c>
      <c r="BC39" s="556" t="s">
        <v>837</v>
      </c>
      <c r="BD39" s="556" t="s">
        <v>837</v>
      </c>
      <c r="BE39" s="556" t="s">
        <v>837</v>
      </c>
      <c r="BF39" s="614"/>
      <c r="BG39" s="614"/>
      <c r="BH39" s="614"/>
      <c r="BI39" s="576"/>
      <c r="BJ39" s="576"/>
      <c r="BK39" s="576"/>
      <c r="BL39" s="602"/>
      <c r="BM39" s="553" t="s">
        <v>837</v>
      </c>
      <c r="BN39" s="612" t="s">
        <v>837</v>
      </c>
      <c r="BO39" s="576"/>
      <c r="BP39" s="606"/>
      <c r="BQ39" s="576"/>
      <c r="BR39" s="570"/>
      <c r="BS39" s="547"/>
      <c r="BT39" s="549"/>
      <c r="BU39" s="549"/>
      <c r="BV39" s="549"/>
      <c r="BW39" s="549"/>
      <c r="BX39" s="549"/>
      <c r="BY39" s="549"/>
      <c r="BZ39" s="549"/>
      <c r="CA39" s="549"/>
      <c r="CB39" s="549"/>
      <c r="CC39" s="549"/>
      <c r="CD39" s="548"/>
      <c r="CE39" s="547"/>
      <c r="CF39" s="549"/>
      <c r="CG39" s="549"/>
      <c r="CH39" s="549"/>
      <c r="CI39" s="549"/>
      <c r="CJ39" s="549"/>
      <c r="CK39" s="549"/>
      <c r="CL39" s="549"/>
      <c r="CM39" s="549"/>
      <c r="CN39" s="548"/>
      <c r="CO39" s="640"/>
      <c r="CP39" s="640"/>
      <c r="CQ39" s="640"/>
      <c r="CR39" s="640"/>
      <c r="CS39" s="640"/>
      <c r="CT39" s="640"/>
      <c r="CU39" s="640"/>
      <c r="CV39" s="640"/>
      <c r="CW39" s="640"/>
      <c r="CX39" s="640"/>
      <c r="CY39" s="640"/>
      <c r="CZ39" s="640"/>
      <c r="DA39" s="640"/>
      <c r="DB39" s="640"/>
      <c r="DC39" s="640"/>
      <c r="DD39" s="640"/>
      <c r="DE39" s="640"/>
      <c r="DF39" s="640"/>
      <c r="DG39" s="640"/>
      <c r="DH39" s="640"/>
      <c r="DI39" s="641"/>
      <c r="DJ39" s="641"/>
      <c r="DK39" s="641"/>
      <c r="DL39" s="641"/>
      <c r="DM39" s="641"/>
      <c r="DN39" s="641"/>
      <c r="DO39" s="641"/>
      <c r="DP39" s="576"/>
      <c r="DQ39" s="576"/>
      <c r="DR39" s="576"/>
      <c r="DS39" s="576"/>
      <c r="DT39" s="576"/>
      <c r="DU39" s="576"/>
      <c r="DV39" s="576"/>
      <c r="DW39" s="576"/>
      <c r="DX39" s="576"/>
      <c r="DY39" s="576"/>
      <c r="DZ39" s="576"/>
      <c r="EA39" s="576"/>
      <c r="EB39" s="576"/>
      <c r="EC39" s="576"/>
      <c r="ED39" s="576"/>
      <c r="EE39" s="576"/>
      <c r="EF39" s="576"/>
      <c r="EG39" s="576"/>
      <c r="EH39" s="576"/>
    </row>
    <row r="40" spans="1:138" s="14" customFormat="1" x14ac:dyDescent="0.25">
      <c r="A40" s="8">
        <v>36</v>
      </c>
      <c r="B40" s="19" t="s">
        <v>740</v>
      </c>
      <c r="C40" s="19"/>
      <c r="D40" s="4" t="s">
        <v>55</v>
      </c>
      <c r="E40" s="4" t="s">
        <v>75</v>
      </c>
      <c r="F40" s="19" t="s">
        <v>8</v>
      </c>
      <c r="G40" s="19" t="s">
        <v>837</v>
      </c>
      <c r="H40" s="556" t="s">
        <v>837</v>
      </c>
      <c r="I40" s="556" t="s">
        <v>837</v>
      </c>
      <c r="J40" s="556" t="s">
        <v>837</v>
      </c>
      <c r="K40" s="556" t="s">
        <v>837</v>
      </c>
      <c r="L40" s="556" t="s">
        <v>837</v>
      </c>
      <c r="M40" s="556" t="s">
        <v>837</v>
      </c>
      <c r="N40" s="556" t="s">
        <v>837</v>
      </c>
      <c r="O40" s="556" t="s">
        <v>837</v>
      </c>
      <c r="P40" s="556" t="s">
        <v>837</v>
      </c>
      <c r="Q40" s="556" t="s">
        <v>837</v>
      </c>
      <c r="R40" s="556" t="s">
        <v>837</v>
      </c>
      <c r="S40" s="556" t="s">
        <v>837</v>
      </c>
      <c r="T40" s="556" t="s">
        <v>837</v>
      </c>
      <c r="U40" s="556" t="s">
        <v>837</v>
      </c>
      <c r="V40" s="556" t="s">
        <v>837</v>
      </c>
      <c r="W40" s="556" t="s">
        <v>837</v>
      </c>
      <c r="X40" s="556" t="s">
        <v>837</v>
      </c>
      <c r="Y40" s="556" t="s">
        <v>837</v>
      </c>
      <c r="Z40" s="556" t="s">
        <v>837</v>
      </c>
      <c r="AA40" s="556" t="s">
        <v>837</v>
      </c>
      <c r="AB40" s="556" t="s">
        <v>837</v>
      </c>
      <c r="AC40" s="556" t="s">
        <v>837</v>
      </c>
      <c r="AD40" s="556" t="s">
        <v>837</v>
      </c>
      <c r="AE40" s="556" t="s">
        <v>837</v>
      </c>
      <c r="AF40" s="556" t="s">
        <v>837</v>
      </c>
      <c r="AG40" s="556" t="s">
        <v>837</v>
      </c>
      <c r="AH40" s="556" t="s">
        <v>837</v>
      </c>
      <c r="AI40" s="556" t="s">
        <v>837</v>
      </c>
      <c r="AJ40" s="556" t="s">
        <v>837</v>
      </c>
      <c r="AK40" s="556" t="s">
        <v>837</v>
      </c>
      <c r="AL40" s="556" t="s">
        <v>837</v>
      </c>
      <c r="AM40" s="556" t="s">
        <v>837</v>
      </c>
      <c r="AN40" s="556" t="s">
        <v>837</v>
      </c>
      <c r="AO40" s="556" t="s">
        <v>837</v>
      </c>
      <c r="AP40" s="556" t="s">
        <v>837</v>
      </c>
      <c r="AQ40" s="556" t="s">
        <v>837</v>
      </c>
      <c r="AR40" s="556" t="s">
        <v>837</v>
      </c>
      <c r="AS40" s="556" t="s">
        <v>837</v>
      </c>
      <c r="AT40" s="556" t="s">
        <v>837</v>
      </c>
      <c r="AU40" s="556" t="s">
        <v>837</v>
      </c>
      <c r="AV40" s="556" t="s">
        <v>837</v>
      </c>
      <c r="AW40" s="556" t="s">
        <v>837</v>
      </c>
      <c r="AX40" s="556" t="s">
        <v>837</v>
      </c>
      <c r="AY40" s="556" t="s">
        <v>837</v>
      </c>
      <c r="AZ40" s="556" t="s">
        <v>837</v>
      </c>
      <c r="BA40" s="556" t="s">
        <v>837</v>
      </c>
      <c r="BB40" s="556" t="s">
        <v>837</v>
      </c>
      <c r="BC40" s="556" t="s">
        <v>837</v>
      </c>
      <c r="BD40" s="556" t="s">
        <v>837</v>
      </c>
      <c r="BE40" s="556" t="s">
        <v>837</v>
      </c>
      <c r="BF40" s="614"/>
      <c r="BG40" s="614"/>
      <c r="BH40" s="614"/>
      <c r="BI40" s="576"/>
      <c r="BJ40" s="576"/>
      <c r="BK40" s="576"/>
      <c r="BL40" s="602"/>
      <c r="BM40" s="553" t="s">
        <v>837</v>
      </c>
      <c r="BN40" s="612" t="s">
        <v>837</v>
      </c>
      <c r="BO40" s="576"/>
      <c r="BP40" s="606"/>
      <c r="BQ40" s="576"/>
      <c r="BR40" s="570"/>
      <c r="BS40" s="547"/>
      <c r="BT40" s="549"/>
      <c r="BU40" s="549"/>
      <c r="BV40" s="549"/>
      <c r="BW40" s="549"/>
      <c r="BX40" s="549"/>
      <c r="BY40" s="549"/>
      <c r="BZ40" s="549"/>
      <c r="CA40" s="549"/>
      <c r="CB40" s="549"/>
      <c r="CC40" s="549"/>
      <c r="CD40" s="548"/>
      <c r="CE40" s="547"/>
      <c r="CF40" s="549"/>
      <c r="CG40" s="549"/>
      <c r="CH40" s="549"/>
      <c r="CI40" s="549"/>
      <c r="CJ40" s="549"/>
      <c r="CK40" s="549"/>
      <c r="CL40" s="549"/>
      <c r="CM40" s="549"/>
      <c r="CN40" s="548"/>
      <c r="CO40" s="640"/>
      <c r="CP40" s="640"/>
      <c r="CQ40" s="640"/>
      <c r="CR40" s="640"/>
      <c r="CS40" s="640"/>
      <c r="CT40" s="640"/>
      <c r="CU40" s="640"/>
      <c r="CV40" s="640"/>
      <c r="CW40" s="640"/>
      <c r="CX40" s="640"/>
      <c r="CY40" s="640"/>
      <c r="CZ40" s="640"/>
      <c r="DA40" s="640"/>
      <c r="DB40" s="640"/>
      <c r="DC40" s="640"/>
      <c r="DD40" s="640"/>
      <c r="DE40" s="640"/>
      <c r="DF40" s="640"/>
      <c r="DG40" s="640"/>
      <c r="DH40" s="640"/>
      <c r="DI40" s="641"/>
      <c r="DJ40" s="641"/>
      <c r="DK40" s="641"/>
      <c r="DL40" s="641"/>
      <c r="DM40" s="641"/>
      <c r="DN40" s="641"/>
      <c r="DO40" s="641"/>
      <c r="DP40" s="576"/>
      <c r="DQ40" s="576"/>
      <c r="DR40" s="576"/>
      <c r="DS40" s="576"/>
      <c r="DT40" s="576"/>
      <c r="DU40" s="576"/>
      <c r="DV40" s="576"/>
      <c r="DW40" s="576"/>
      <c r="DX40" s="576"/>
      <c r="DY40" s="576"/>
      <c r="DZ40" s="576"/>
      <c r="EA40" s="576"/>
      <c r="EB40" s="576"/>
      <c r="EC40" s="576"/>
      <c r="ED40" s="576"/>
      <c r="EE40" s="576"/>
      <c r="EF40" s="576"/>
      <c r="EG40" s="576"/>
      <c r="EH40" s="576"/>
    </row>
    <row r="41" spans="1:138" s="14" customFormat="1" x14ac:dyDescent="0.25">
      <c r="A41" s="8">
        <v>37</v>
      </c>
      <c r="B41" s="4" t="s">
        <v>709</v>
      </c>
      <c r="C41" s="4"/>
      <c r="D41" s="4" t="s">
        <v>55</v>
      </c>
      <c r="E41" s="4" t="s">
        <v>75</v>
      </c>
      <c r="F41" s="19" t="s">
        <v>8</v>
      </c>
      <c r="G41" s="19" t="s">
        <v>837</v>
      </c>
      <c r="H41" s="556" t="s">
        <v>837</v>
      </c>
      <c r="I41" s="556" t="s">
        <v>837</v>
      </c>
      <c r="J41" s="556" t="s">
        <v>837</v>
      </c>
      <c r="K41" s="556" t="s">
        <v>837</v>
      </c>
      <c r="L41" s="556" t="s">
        <v>837</v>
      </c>
      <c r="M41" s="556" t="s">
        <v>837</v>
      </c>
      <c r="N41" s="556" t="s">
        <v>837</v>
      </c>
      <c r="O41" s="556" t="s">
        <v>837</v>
      </c>
      <c r="P41" s="556" t="s">
        <v>837</v>
      </c>
      <c r="Q41" s="556" t="s">
        <v>837</v>
      </c>
      <c r="R41" s="556" t="s">
        <v>837</v>
      </c>
      <c r="S41" s="556" t="s">
        <v>837</v>
      </c>
      <c r="T41" s="556" t="s">
        <v>837</v>
      </c>
      <c r="U41" s="556" t="s">
        <v>837</v>
      </c>
      <c r="V41" s="556" t="s">
        <v>837</v>
      </c>
      <c r="W41" s="556" t="s">
        <v>837</v>
      </c>
      <c r="X41" s="556" t="s">
        <v>837</v>
      </c>
      <c r="Y41" s="556" t="s">
        <v>837</v>
      </c>
      <c r="Z41" s="556" t="s">
        <v>837</v>
      </c>
      <c r="AA41" s="556" t="s">
        <v>837</v>
      </c>
      <c r="AB41" s="556" t="s">
        <v>837</v>
      </c>
      <c r="AC41" s="556" t="s">
        <v>837</v>
      </c>
      <c r="AD41" s="556" t="s">
        <v>837</v>
      </c>
      <c r="AE41" s="556" t="s">
        <v>837</v>
      </c>
      <c r="AF41" s="556" t="s">
        <v>837</v>
      </c>
      <c r="AG41" s="556" t="s">
        <v>837</v>
      </c>
      <c r="AH41" s="556" t="s">
        <v>837</v>
      </c>
      <c r="AI41" s="556" t="s">
        <v>837</v>
      </c>
      <c r="AJ41" s="556" t="s">
        <v>837</v>
      </c>
      <c r="AK41" s="556" t="s">
        <v>837</v>
      </c>
      <c r="AL41" s="556" t="s">
        <v>837</v>
      </c>
      <c r="AM41" s="556" t="s">
        <v>837</v>
      </c>
      <c r="AN41" s="556" t="s">
        <v>837</v>
      </c>
      <c r="AO41" s="556" t="s">
        <v>837</v>
      </c>
      <c r="AP41" s="556" t="s">
        <v>837</v>
      </c>
      <c r="AQ41" s="556" t="s">
        <v>837</v>
      </c>
      <c r="AR41" s="556" t="s">
        <v>837</v>
      </c>
      <c r="AS41" s="556" t="s">
        <v>837</v>
      </c>
      <c r="AT41" s="556" t="s">
        <v>837</v>
      </c>
      <c r="AU41" s="556" t="s">
        <v>837</v>
      </c>
      <c r="AV41" s="556" t="s">
        <v>837</v>
      </c>
      <c r="AW41" s="556" t="s">
        <v>837</v>
      </c>
      <c r="AX41" s="556" t="s">
        <v>837</v>
      </c>
      <c r="AY41" s="556" t="s">
        <v>837</v>
      </c>
      <c r="AZ41" s="556" t="s">
        <v>837</v>
      </c>
      <c r="BA41" s="556" t="s">
        <v>837</v>
      </c>
      <c r="BB41" s="556" t="s">
        <v>837</v>
      </c>
      <c r="BC41" s="556" t="s">
        <v>837</v>
      </c>
      <c r="BD41" s="556" t="s">
        <v>837</v>
      </c>
      <c r="BE41" s="556" t="s">
        <v>837</v>
      </c>
      <c r="BF41" s="636"/>
      <c r="BG41" s="636"/>
      <c r="BH41" s="636"/>
      <c r="BI41" s="576"/>
      <c r="BJ41" s="576"/>
      <c r="BK41" s="576"/>
      <c r="BL41" s="602"/>
      <c r="BM41" s="553" t="s">
        <v>837</v>
      </c>
      <c r="BN41" s="612" t="s">
        <v>837</v>
      </c>
      <c r="BO41" s="576"/>
      <c r="BP41" s="606"/>
      <c r="BQ41" s="576"/>
      <c r="BR41" s="570"/>
      <c r="BS41" s="547"/>
      <c r="BT41" s="549"/>
      <c r="BU41" s="549"/>
      <c r="BV41" s="549"/>
      <c r="BW41" s="549"/>
      <c r="BX41" s="549"/>
      <c r="BY41" s="549"/>
      <c r="BZ41" s="549"/>
      <c r="CA41" s="549"/>
      <c r="CB41" s="549"/>
      <c r="CC41" s="549"/>
      <c r="CD41" s="548"/>
      <c r="CE41" s="547"/>
      <c r="CF41" s="549"/>
      <c r="CG41" s="549"/>
      <c r="CH41" s="549"/>
      <c r="CI41" s="549"/>
      <c r="CJ41" s="549"/>
      <c r="CK41" s="549"/>
      <c r="CL41" s="549"/>
      <c r="CM41" s="549"/>
      <c r="CN41" s="548"/>
      <c r="CO41" s="640"/>
      <c r="CP41" s="640"/>
      <c r="CQ41" s="640"/>
      <c r="CR41" s="640"/>
      <c r="CS41" s="640"/>
      <c r="CT41" s="640"/>
      <c r="CU41" s="640"/>
      <c r="CV41" s="640"/>
      <c r="CW41" s="640"/>
      <c r="CX41" s="640"/>
      <c r="CY41" s="640"/>
      <c r="CZ41" s="640"/>
      <c r="DA41" s="640"/>
      <c r="DB41" s="640"/>
      <c r="DC41" s="640"/>
      <c r="DD41" s="640"/>
      <c r="DE41" s="640"/>
      <c r="DF41" s="640"/>
      <c r="DG41" s="640"/>
      <c r="DH41" s="640"/>
      <c r="DI41" s="641"/>
      <c r="DJ41" s="641"/>
      <c r="DK41" s="641"/>
      <c r="DL41" s="641"/>
      <c r="DM41" s="641"/>
      <c r="DN41" s="641"/>
      <c r="DO41" s="641"/>
      <c r="DP41" s="576"/>
      <c r="DQ41" s="576"/>
      <c r="DR41" s="576"/>
      <c r="DS41" s="576"/>
      <c r="DT41" s="576"/>
      <c r="DU41" s="576"/>
      <c r="DV41" s="576"/>
      <c r="DW41" s="576"/>
      <c r="DX41" s="576"/>
      <c r="DY41" s="576"/>
      <c r="DZ41" s="576"/>
      <c r="EA41" s="576"/>
      <c r="EB41" s="576"/>
      <c r="EC41" s="576"/>
      <c r="ED41" s="576"/>
      <c r="EE41" s="576"/>
      <c r="EF41" s="576"/>
      <c r="EG41" s="576"/>
      <c r="EH41" s="576"/>
    </row>
    <row r="42" spans="1:138" s="14" customFormat="1" x14ac:dyDescent="0.25">
      <c r="A42" s="8">
        <v>38</v>
      </c>
      <c r="B42" s="4" t="s">
        <v>25</v>
      </c>
      <c r="C42" s="4"/>
      <c r="D42" s="4" t="s">
        <v>55</v>
      </c>
      <c r="E42" s="4" t="s">
        <v>75</v>
      </c>
      <c r="F42" s="19" t="s">
        <v>8</v>
      </c>
      <c r="G42" s="19" t="s">
        <v>837</v>
      </c>
      <c r="H42" s="556" t="s">
        <v>837</v>
      </c>
      <c r="I42" s="556" t="s">
        <v>837</v>
      </c>
      <c r="J42" s="556" t="s">
        <v>837</v>
      </c>
      <c r="K42" s="556" t="s">
        <v>837</v>
      </c>
      <c r="L42" s="556" t="s">
        <v>837</v>
      </c>
      <c r="M42" s="556" t="s">
        <v>837</v>
      </c>
      <c r="N42" s="556" t="s">
        <v>837</v>
      </c>
      <c r="O42" s="556" t="s">
        <v>837</v>
      </c>
      <c r="P42" s="556" t="s">
        <v>837</v>
      </c>
      <c r="Q42" s="556" t="s">
        <v>837</v>
      </c>
      <c r="R42" s="556" t="s">
        <v>837</v>
      </c>
      <c r="S42" s="556" t="s">
        <v>837</v>
      </c>
      <c r="T42" s="556" t="s">
        <v>837</v>
      </c>
      <c r="U42" s="556" t="s">
        <v>837</v>
      </c>
      <c r="V42" s="556" t="s">
        <v>837</v>
      </c>
      <c r="W42" s="556" t="s">
        <v>837</v>
      </c>
      <c r="X42" s="556" t="s">
        <v>837</v>
      </c>
      <c r="Y42" s="556" t="s">
        <v>837</v>
      </c>
      <c r="Z42" s="556" t="s">
        <v>837</v>
      </c>
      <c r="AA42" s="556" t="s">
        <v>837</v>
      </c>
      <c r="AB42" s="556" t="s">
        <v>837</v>
      </c>
      <c r="AC42" s="556" t="s">
        <v>837</v>
      </c>
      <c r="AD42" s="556" t="s">
        <v>837</v>
      </c>
      <c r="AE42" s="556" t="s">
        <v>837</v>
      </c>
      <c r="AF42" s="556" t="s">
        <v>837</v>
      </c>
      <c r="AG42" s="556" t="s">
        <v>837</v>
      </c>
      <c r="AH42" s="556" t="s">
        <v>837</v>
      </c>
      <c r="AI42" s="556" t="s">
        <v>837</v>
      </c>
      <c r="AJ42" s="556" t="s">
        <v>837</v>
      </c>
      <c r="AK42" s="556" t="s">
        <v>837</v>
      </c>
      <c r="AL42" s="556" t="s">
        <v>837</v>
      </c>
      <c r="AM42" s="556" t="s">
        <v>837</v>
      </c>
      <c r="AN42" s="556" t="s">
        <v>837</v>
      </c>
      <c r="AO42" s="556" t="s">
        <v>837</v>
      </c>
      <c r="AP42" s="556" t="s">
        <v>837</v>
      </c>
      <c r="AQ42" s="556" t="s">
        <v>837</v>
      </c>
      <c r="AR42" s="556" t="s">
        <v>837</v>
      </c>
      <c r="AS42" s="556" t="s">
        <v>837</v>
      </c>
      <c r="AT42" s="556" t="s">
        <v>837</v>
      </c>
      <c r="AU42" s="556" t="s">
        <v>837</v>
      </c>
      <c r="AV42" s="556" t="s">
        <v>837</v>
      </c>
      <c r="AW42" s="556" t="s">
        <v>837</v>
      </c>
      <c r="AX42" s="556" t="s">
        <v>837</v>
      </c>
      <c r="AY42" s="556" t="s">
        <v>837</v>
      </c>
      <c r="AZ42" s="556" t="s">
        <v>837</v>
      </c>
      <c r="BA42" s="556" t="s">
        <v>837</v>
      </c>
      <c r="BB42" s="556" t="s">
        <v>837</v>
      </c>
      <c r="BC42" s="556" t="s">
        <v>837</v>
      </c>
      <c r="BD42" s="556" t="s">
        <v>837</v>
      </c>
      <c r="BE42" s="556" t="s">
        <v>837</v>
      </c>
      <c r="BF42" s="636"/>
      <c r="BG42" s="636"/>
      <c r="BH42" s="636"/>
      <c r="BI42" s="576"/>
      <c r="BJ42" s="576"/>
      <c r="BK42" s="576"/>
      <c r="BL42" s="602"/>
      <c r="BM42" s="553" t="s">
        <v>837</v>
      </c>
      <c r="BN42" s="612" t="s">
        <v>837</v>
      </c>
      <c r="BO42" s="576"/>
      <c r="BP42" s="606"/>
      <c r="BQ42" s="576"/>
      <c r="BR42" s="570"/>
      <c r="BS42" s="547"/>
      <c r="BT42" s="549"/>
      <c r="BU42" s="549"/>
      <c r="BV42" s="549"/>
      <c r="BW42" s="549"/>
      <c r="BX42" s="549"/>
      <c r="BY42" s="549"/>
      <c r="BZ42" s="549"/>
      <c r="CA42" s="549"/>
      <c r="CB42" s="549"/>
      <c r="CC42" s="549"/>
      <c r="CD42" s="548"/>
      <c r="CE42" s="547"/>
      <c r="CF42" s="549"/>
      <c r="CG42" s="549"/>
      <c r="CH42" s="549"/>
      <c r="CI42" s="549"/>
      <c r="CJ42" s="549"/>
      <c r="CK42" s="549"/>
      <c r="CL42" s="549"/>
      <c r="CM42" s="549"/>
      <c r="CN42" s="548"/>
      <c r="CO42" s="640"/>
      <c r="CP42" s="640"/>
      <c r="CQ42" s="640"/>
      <c r="CR42" s="640"/>
      <c r="CS42" s="640"/>
      <c r="CT42" s="640"/>
      <c r="CU42" s="640"/>
      <c r="CV42" s="640"/>
      <c r="CW42" s="640"/>
      <c r="CX42" s="640"/>
      <c r="CY42" s="640"/>
      <c r="CZ42" s="640"/>
      <c r="DA42" s="640"/>
      <c r="DB42" s="640"/>
      <c r="DC42" s="640"/>
      <c r="DD42" s="640"/>
      <c r="DE42" s="640"/>
      <c r="DF42" s="640"/>
      <c r="DG42" s="640"/>
      <c r="DH42" s="640"/>
      <c r="DI42" s="641"/>
      <c r="DJ42" s="641"/>
      <c r="DK42" s="641"/>
      <c r="DL42" s="641"/>
      <c r="DM42" s="641"/>
      <c r="DN42" s="641"/>
      <c r="DO42" s="641"/>
      <c r="DP42" s="576"/>
      <c r="DQ42" s="576"/>
      <c r="DR42" s="576"/>
      <c r="DS42" s="576"/>
      <c r="DT42" s="576"/>
      <c r="DU42" s="576"/>
      <c r="DV42" s="576"/>
      <c r="DW42" s="576"/>
      <c r="DX42" s="576"/>
      <c r="DY42" s="576"/>
      <c r="DZ42" s="576"/>
      <c r="EA42" s="576"/>
      <c r="EB42" s="576"/>
      <c r="EC42" s="576"/>
      <c r="ED42" s="576"/>
      <c r="EE42" s="576"/>
      <c r="EF42" s="576"/>
      <c r="EG42" s="576"/>
      <c r="EH42" s="576"/>
    </row>
    <row r="43" spans="1:138" s="14" customFormat="1" x14ac:dyDescent="0.25">
      <c r="A43" s="8">
        <v>39</v>
      </c>
      <c r="B43" s="4" t="s">
        <v>710</v>
      </c>
      <c r="C43" s="4"/>
      <c r="D43" s="4" t="s">
        <v>55</v>
      </c>
      <c r="E43" s="4" t="s">
        <v>75</v>
      </c>
      <c r="F43" s="19" t="s">
        <v>8</v>
      </c>
      <c r="G43" s="19" t="s">
        <v>837</v>
      </c>
      <c r="H43" s="556" t="s">
        <v>837</v>
      </c>
      <c r="I43" s="556" t="s">
        <v>837</v>
      </c>
      <c r="J43" s="556" t="s">
        <v>837</v>
      </c>
      <c r="K43" s="556" t="s">
        <v>837</v>
      </c>
      <c r="L43" s="556" t="s">
        <v>837</v>
      </c>
      <c r="M43" s="556" t="s">
        <v>837</v>
      </c>
      <c r="N43" s="556" t="s">
        <v>837</v>
      </c>
      <c r="O43" s="556" t="s">
        <v>837</v>
      </c>
      <c r="P43" s="556" t="s">
        <v>837</v>
      </c>
      <c r="Q43" s="556" t="s">
        <v>837</v>
      </c>
      <c r="R43" s="556" t="s">
        <v>837</v>
      </c>
      <c r="S43" s="556" t="s">
        <v>837</v>
      </c>
      <c r="T43" s="556" t="s">
        <v>837</v>
      </c>
      <c r="U43" s="556" t="s">
        <v>837</v>
      </c>
      <c r="V43" s="556" t="s">
        <v>837</v>
      </c>
      <c r="W43" s="556" t="s">
        <v>837</v>
      </c>
      <c r="X43" s="556" t="s">
        <v>837</v>
      </c>
      <c r="Y43" s="556" t="s">
        <v>837</v>
      </c>
      <c r="Z43" s="556" t="s">
        <v>837</v>
      </c>
      <c r="AA43" s="556" t="s">
        <v>837</v>
      </c>
      <c r="AB43" s="556" t="s">
        <v>837</v>
      </c>
      <c r="AC43" s="556" t="s">
        <v>837</v>
      </c>
      <c r="AD43" s="556" t="s">
        <v>837</v>
      </c>
      <c r="AE43" s="556" t="s">
        <v>837</v>
      </c>
      <c r="AF43" s="556" t="s">
        <v>837</v>
      </c>
      <c r="AG43" s="556" t="s">
        <v>837</v>
      </c>
      <c r="AH43" s="556" t="s">
        <v>837</v>
      </c>
      <c r="AI43" s="556" t="s">
        <v>837</v>
      </c>
      <c r="AJ43" s="556" t="s">
        <v>837</v>
      </c>
      <c r="AK43" s="556" t="s">
        <v>837</v>
      </c>
      <c r="AL43" s="556" t="s">
        <v>837</v>
      </c>
      <c r="AM43" s="556" t="s">
        <v>837</v>
      </c>
      <c r="AN43" s="556" t="s">
        <v>837</v>
      </c>
      <c r="AO43" s="556" t="s">
        <v>837</v>
      </c>
      <c r="AP43" s="556" t="s">
        <v>837</v>
      </c>
      <c r="AQ43" s="556" t="s">
        <v>837</v>
      </c>
      <c r="AR43" s="556" t="s">
        <v>837</v>
      </c>
      <c r="AS43" s="556" t="s">
        <v>837</v>
      </c>
      <c r="AT43" s="556" t="s">
        <v>837</v>
      </c>
      <c r="AU43" s="556" t="s">
        <v>837</v>
      </c>
      <c r="AV43" s="556" t="s">
        <v>837</v>
      </c>
      <c r="AW43" s="556" t="s">
        <v>837</v>
      </c>
      <c r="AX43" s="556" t="s">
        <v>837</v>
      </c>
      <c r="AY43" s="556" t="s">
        <v>837</v>
      </c>
      <c r="AZ43" s="556" t="s">
        <v>837</v>
      </c>
      <c r="BA43" s="556" t="s">
        <v>837</v>
      </c>
      <c r="BB43" s="556" t="s">
        <v>837</v>
      </c>
      <c r="BC43" s="556" t="s">
        <v>837</v>
      </c>
      <c r="BD43" s="556" t="s">
        <v>837</v>
      </c>
      <c r="BE43" s="556" t="s">
        <v>837</v>
      </c>
      <c r="BF43" s="636"/>
      <c r="BG43" s="636"/>
      <c r="BH43" s="636"/>
      <c r="BI43" s="576"/>
      <c r="BJ43" s="576"/>
      <c r="BK43" s="576"/>
      <c r="BL43" s="602"/>
      <c r="BM43" s="553" t="s">
        <v>837</v>
      </c>
      <c r="BN43" s="612" t="s">
        <v>837</v>
      </c>
      <c r="BO43" s="576"/>
      <c r="BP43" s="606"/>
      <c r="BQ43" s="576"/>
      <c r="BR43" s="570"/>
      <c r="BS43" s="547"/>
      <c r="BT43" s="549"/>
      <c r="BU43" s="549"/>
      <c r="BV43" s="549"/>
      <c r="BW43" s="549"/>
      <c r="BX43" s="549"/>
      <c r="BY43" s="549"/>
      <c r="BZ43" s="549"/>
      <c r="CA43" s="549"/>
      <c r="CB43" s="549"/>
      <c r="CC43" s="549"/>
      <c r="CD43" s="548"/>
      <c r="CE43" s="547"/>
      <c r="CF43" s="549"/>
      <c r="CG43" s="549"/>
      <c r="CH43" s="549"/>
      <c r="CI43" s="549"/>
      <c r="CJ43" s="549"/>
      <c r="CK43" s="549"/>
      <c r="CL43" s="549"/>
      <c r="CM43" s="549"/>
      <c r="CN43" s="548"/>
      <c r="CO43" s="640"/>
      <c r="CP43" s="640"/>
      <c r="CQ43" s="640"/>
      <c r="CR43" s="640"/>
      <c r="CS43" s="640"/>
      <c r="CT43" s="640"/>
      <c r="CU43" s="640"/>
      <c r="CV43" s="640"/>
      <c r="CW43" s="640"/>
      <c r="CX43" s="640"/>
      <c r="CY43" s="640"/>
      <c r="CZ43" s="640"/>
      <c r="DA43" s="640"/>
      <c r="DB43" s="640"/>
      <c r="DC43" s="640"/>
      <c r="DD43" s="640"/>
      <c r="DE43" s="640"/>
      <c r="DF43" s="640"/>
      <c r="DG43" s="640"/>
      <c r="DH43" s="640"/>
      <c r="DI43" s="641"/>
      <c r="DJ43" s="641"/>
      <c r="DK43" s="641"/>
      <c r="DL43" s="641"/>
      <c r="DM43" s="641"/>
      <c r="DN43" s="641"/>
      <c r="DO43" s="641"/>
      <c r="DP43" s="576"/>
      <c r="DQ43" s="576"/>
      <c r="DR43" s="576"/>
      <c r="DS43" s="576"/>
      <c r="DT43" s="576"/>
      <c r="DU43" s="576"/>
      <c r="DV43" s="576"/>
      <c r="DW43" s="576"/>
      <c r="DX43" s="576"/>
      <c r="DY43" s="576"/>
      <c r="DZ43" s="576"/>
      <c r="EA43" s="576"/>
      <c r="EB43" s="576"/>
      <c r="EC43" s="576"/>
      <c r="ED43" s="576"/>
      <c r="EE43" s="576"/>
      <c r="EF43" s="576"/>
      <c r="EG43" s="576"/>
      <c r="EH43" s="576"/>
    </row>
    <row r="44" spans="1:138" s="14" customFormat="1" x14ac:dyDescent="0.25">
      <c r="A44" s="8">
        <v>40</v>
      </c>
      <c r="B44" s="4" t="s">
        <v>711</v>
      </c>
      <c r="C44" s="4"/>
      <c r="D44" s="4" t="s">
        <v>55</v>
      </c>
      <c r="E44" s="4" t="s">
        <v>75</v>
      </c>
      <c r="F44" s="19" t="s">
        <v>8</v>
      </c>
      <c r="G44" s="19" t="s">
        <v>837</v>
      </c>
      <c r="H44" s="556" t="s">
        <v>837</v>
      </c>
      <c r="I44" s="556" t="s">
        <v>837</v>
      </c>
      <c r="J44" s="556" t="s">
        <v>837</v>
      </c>
      <c r="K44" s="556" t="s">
        <v>837</v>
      </c>
      <c r="L44" s="556" t="s">
        <v>837</v>
      </c>
      <c r="M44" s="556" t="s">
        <v>837</v>
      </c>
      <c r="N44" s="556" t="s">
        <v>837</v>
      </c>
      <c r="O44" s="556" t="s">
        <v>837</v>
      </c>
      <c r="P44" s="556" t="s">
        <v>837</v>
      </c>
      <c r="Q44" s="556" t="s">
        <v>837</v>
      </c>
      <c r="R44" s="556" t="s">
        <v>837</v>
      </c>
      <c r="S44" s="556" t="s">
        <v>837</v>
      </c>
      <c r="T44" s="556" t="s">
        <v>837</v>
      </c>
      <c r="U44" s="556" t="s">
        <v>837</v>
      </c>
      <c r="V44" s="556" t="s">
        <v>837</v>
      </c>
      <c r="W44" s="556" t="s">
        <v>837</v>
      </c>
      <c r="X44" s="556" t="s">
        <v>837</v>
      </c>
      <c r="Y44" s="556" t="s">
        <v>837</v>
      </c>
      <c r="Z44" s="556" t="s">
        <v>837</v>
      </c>
      <c r="AA44" s="556" t="s">
        <v>837</v>
      </c>
      <c r="AB44" s="556" t="s">
        <v>837</v>
      </c>
      <c r="AC44" s="556" t="s">
        <v>837</v>
      </c>
      <c r="AD44" s="556" t="s">
        <v>837</v>
      </c>
      <c r="AE44" s="556" t="s">
        <v>837</v>
      </c>
      <c r="AF44" s="556" t="s">
        <v>837</v>
      </c>
      <c r="AG44" s="556" t="s">
        <v>837</v>
      </c>
      <c r="AH44" s="556" t="s">
        <v>837</v>
      </c>
      <c r="AI44" s="556" t="s">
        <v>837</v>
      </c>
      <c r="AJ44" s="556" t="s">
        <v>837</v>
      </c>
      <c r="AK44" s="556" t="s">
        <v>837</v>
      </c>
      <c r="AL44" s="556" t="s">
        <v>837</v>
      </c>
      <c r="AM44" s="556" t="s">
        <v>837</v>
      </c>
      <c r="AN44" s="556" t="s">
        <v>837</v>
      </c>
      <c r="AO44" s="556" t="s">
        <v>837</v>
      </c>
      <c r="AP44" s="556" t="s">
        <v>837</v>
      </c>
      <c r="AQ44" s="556" t="s">
        <v>837</v>
      </c>
      <c r="AR44" s="556" t="s">
        <v>837</v>
      </c>
      <c r="AS44" s="556" t="s">
        <v>837</v>
      </c>
      <c r="AT44" s="556" t="s">
        <v>837</v>
      </c>
      <c r="AU44" s="556" t="s">
        <v>837</v>
      </c>
      <c r="AV44" s="556" t="s">
        <v>837</v>
      </c>
      <c r="AW44" s="556" t="s">
        <v>837</v>
      </c>
      <c r="AX44" s="556" t="s">
        <v>837</v>
      </c>
      <c r="AY44" s="556" t="s">
        <v>837</v>
      </c>
      <c r="AZ44" s="556" t="s">
        <v>837</v>
      </c>
      <c r="BA44" s="556" t="s">
        <v>837</v>
      </c>
      <c r="BB44" s="556" t="s">
        <v>837</v>
      </c>
      <c r="BC44" s="556" t="s">
        <v>837</v>
      </c>
      <c r="BD44" s="556" t="s">
        <v>837</v>
      </c>
      <c r="BE44" s="556" t="s">
        <v>837</v>
      </c>
      <c r="BF44" s="612"/>
      <c r="BG44" s="612"/>
      <c r="BH44" s="612"/>
      <c r="BI44" s="576"/>
      <c r="BJ44" s="576"/>
      <c r="BK44" s="576"/>
      <c r="BL44" s="602"/>
      <c r="BM44" s="553" t="s">
        <v>837</v>
      </c>
      <c r="BN44" s="612" t="s">
        <v>837</v>
      </c>
      <c r="BO44" s="576"/>
      <c r="BP44" s="606"/>
      <c r="BQ44" s="576"/>
      <c r="BR44" s="570"/>
      <c r="BS44" s="547"/>
      <c r="BT44" s="549"/>
      <c r="BU44" s="549"/>
      <c r="BV44" s="549"/>
      <c r="BW44" s="549"/>
      <c r="BX44" s="549"/>
      <c r="BY44" s="549"/>
      <c r="BZ44" s="549"/>
      <c r="CA44" s="549"/>
      <c r="CB44" s="549"/>
      <c r="CC44" s="549"/>
      <c r="CD44" s="548"/>
      <c r="CE44" s="547"/>
      <c r="CF44" s="549"/>
      <c r="CG44" s="549"/>
      <c r="CH44" s="549"/>
      <c r="CI44" s="549"/>
      <c r="CJ44" s="549"/>
      <c r="CK44" s="549"/>
      <c r="CL44" s="549"/>
      <c r="CM44" s="549"/>
      <c r="CN44" s="548"/>
      <c r="CO44" s="640"/>
      <c r="CP44" s="640"/>
      <c r="CQ44" s="640"/>
      <c r="CR44" s="640"/>
      <c r="CS44" s="640"/>
      <c r="CT44" s="640"/>
      <c r="CU44" s="640"/>
      <c r="CV44" s="640"/>
      <c r="CW44" s="640"/>
      <c r="CX44" s="640"/>
      <c r="CY44" s="640"/>
      <c r="CZ44" s="640"/>
      <c r="DA44" s="640"/>
      <c r="DB44" s="640"/>
      <c r="DC44" s="640"/>
      <c r="DD44" s="640"/>
      <c r="DE44" s="640"/>
      <c r="DF44" s="640"/>
      <c r="DG44" s="640"/>
      <c r="DH44" s="640"/>
      <c r="DI44" s="641"/>
      <c r="DJ44" s="641"/>
      <c r="DK44" s="641"/>
      <c r="DL44" s="641"/>
      <c r="DM44" s="641"/>
      <c r="DN44" s="641"/>
      <c r="DO44" s="641"/>
      <c r="DP44" s="576"/>
      <c r="DQ44" s="576"/>
      <c r="DR44" s="576"/>
      <c r="DS44" s="576"/>
      <c r="DT44" s="576"/>
      <c r="DU44" s="576"/>
      <c r="DV44" s="576"/>
      <c r="DW44" s="576"/>
      <c r="DX44" s="576"/>
      <c r="DY44" s="576"/>
      <c r="DZ44" s="576"/>
      <c r="EA44" s="576"/>
      <c r="EB44" s="576"/>
      <c r="EC44" s="576"/>
      <c r="ED44" s="576"/>
      <c r="EE44" s="576"/>
      <c r="EF44" s="576"/>
      <c r="EG44" s="576"/>
      <c r="EH44" s="576"/>
    </row>
    <row r="45" spans="1:138" s="14" customFormat="1" x14ac:dyDescent="0.25">
      <c r="A45" s="8">
        <v>41</v>
      </c>
      <c r="B45" s="19" t="s">
        <v>93</v>
      </c>
      <c r="C45" s="19"/>
      <c r="D45" s="4" t="s">
        <v>55</v>
      </c>
      <c r="E45" s="4" t="s">
        <v>75</v>
      </c>
      <c r="F45" s="19" t="s">
        <v>8</v>
      </c>
      <c r="G45" s="19" t="s">
        <v>837</v>
      </c>
      <c r="H45" s="556" t="s">
        <v>837</v>
      </c>
      <c r="I45" s="556" t="s">
        <v>837</v>
      </c>
      <c r="J45" s="556" t="s">
        <v>837</v>
      </c>
      <c r="K45" s="556" t="s">
        <v>837</v>
      </c>
      <c r="L45" s="556" t="s">
        <v>837</v>
      </c>
      <c r="M45" s="556" t="s">
        <v>837</v>
      </c>
      <c r="N45" s="556" t="s">
        <v>837</v>
      </c>
      <c r="O45" s="556" t="s">
        <v>837</v>
      </c>
      <c r="P45" s="556" t="s">
        <v>837</v>
      </c>
      <c r="Q45" s="556" t="s">
        <v>837</v>
      </c>
      <c r="R45" s="556" t="s">
        <v>837</v>
      </c>
      <c r="S45" s="556" t="s">
        <v>837</v>
      </c>
      <c r="T45" s="556" t="s">
        <v>837</v>
      </c>
      <c r="U45" s="556" t="s">
        <v>837</v>
      </c>
      <c r="V45" s="556" t="s">
        <v>837</v>
      </c>
      <c r="W45" s="556" t="s">
        <v>837</v>
      </c>
      <c r="X45" s="556" t="s">
        <v>837</v>
      </c>
      <c r="Y45" s="556" t="s">
        <v>837</v>
      </c>
      <c r="Z45" s="556" t="s">
        <v>837</v>
      </c>
      <c r="AA45" s="556" t="s">
        <v>837</v>
      </c>
      <c r="AB45" s="556" t="s">
        <v>837</v>
      </c>
      <c r="AC45" s="556" t="s">
        <v>837</v>
      </c>
      <c r="AD45" s="556" t="s">
        <v>837</v>
      </c>
      <c r="AE45" s="556" t="s">
        <v>837</v>
      </c>
      <c r="AF45" s="556" t="s">
        <v>837</v>
      </c>
      <c r="AG45" s="556" t="s">
        <v>837</v>
      </c>
      <c r="AH45" s="556" t="s">
        <v>837</v>
      </c>
      <c r="AI45" s="556" t="s">
        <v>837</v>
      </c>
      <c r="AJ45" s="556" t="s">
        <v>837</v>
      </c>
      <c r="AK45" s="556" t="s">
        <v>837</v>
      </c>
      <c r="AL45" s="556" t="s">
        <v>837</v>
      </c>
      <c r="AM45" s="556" t="s">
        <v>837</v>
      </c>
      <c r="AN45" s="556" t="s">
        <v>837</v>
      </c>
      <c r="AO45" s="556" t="s">
        <v>837</v>
      </c>
      <c r="AP45" s="556" t="s">
        <v>837</v>
      </c>
      <c r="AQ45" s="556" t="s">
        <v>837</v>
      </c>
      <c r="AR45" s="556" t="s">
        <v>837</v>
      </c>
      <c r="AS45" s="556" t="s">
        <v>837</v>
      </c>
      <c r="AT45" s="556" t="s">
        <v>837</v>
      </c>
      <c r="AU45" s="556" t="s">
        <v>837</v>
      </c>
      <c r="AV45" s="556" t="s">
        <v>837</v>
      </c>
      <c r="AW45" s="556" t="s">
        <v>837</v>
      </c>
      <c r="AX45" s="556" t="s">
        <v>837</v>
      </c>
      <c r="AY45" s="556" t="s">
        <v>837</v>
      </c>
      <c r="AZ45" s="556" t="s">
        <v>837</v>
      </c>
      <c r="BA45" s="556" t="s">
        <v>837</v>
      </c>
      <c r="BB45" s="556" t="s">
        <v>837</v>
      </c>
      <c r="BC45" s="556" t="s">
        <v>837</v>
      </c>
      <c r="BD45" s="556" t="s">
        <v>837</v>
      </c>
      <c r="BE45" s="556" t="s">
        <v>837</v>
      </c>
      <c r="BF45" s="614"/>
      <c r="BG45" s="614"/>
      <c r="BH45" s="614"/>
      <c r="BI45" s="576"/>
      <c r="BJ45" s="576"/>
      <c r="BK45" s="576"/>
      <c r="BL45" s="602"/>
      <c r="BM45" s="553" t="s">
        <v>837</v>
      </c>
      <c r="BN45" s="612" t="s">
        <v>837</v>
      </c>
      <c r="BO45" s="576"/>
      <c r="BP45" s="606"/>
      <c r="BQ45" s="576"/>
      <c r="BR45" s="570"/>
      <c r="BS45" s="547"/>
      <c r="BT45" s="549"/>
      <c r="BU45" s="549"/>
      <c r="BV45" s="549"/>
      <c r="BW45" s="549"/>
      <c r="BX45" s="549"/>
      <c r="BY45" s="549"/>
      <c r="BZ45" s="549"/>
      <c r="CA45" s="549"/>
      <c r="CB45" s="549"/>
      <c r="CC45" s="549"/>
      <c r="CD45" s="548"/>
      <c r="CE45" s="547"/>
      <c r="CF45" s="549"/>
      <c r="CG45" s="549"/>
      <c r="CH45" s="549"/>
      <c r="CI45" s="549"/>
      <c r="CJ45" s="549"/>
      <c r="CK45" s="549"/>
      <c r="CL45" s="549"/>
      <c r="CM45" s="549"/>
      <c r="CN45" s="548"/>
      <c r="CO45" s="640"/>
      <c r="CP45" s="640"/>
      <c r="CQ45" s="640"/>
      <c r="CR45" s="640"/>
      <c r="CS45" s="640"/>
      <c r="CT45" s="640"/>
      <c r="CU45" s="640"/>
      <c r="CV45" s="640"/>
      <c r="CW45" s="640"/>
      <c r="CX45" s="640"/>
      <c r="CY45" s="640"/>
      <c r="CZ45" s="640"/>
      <c r="DA45" s="640"/>
      <c r="DB45" s="640"/>
      <c r="DC45" s="640"/>
      <c r="DD45" s="640"/>
      <c r="DE45" s="640"/>
      <c r="DF45" s="640"/>
      <c r="DG45" s="640"/>
      <c r="DH45" s="640"/>
      <c r="DI45" s="641"/>
      <c r="DJ45" s="641"/>
      <c r="DK45" s="641"/>
      <c r="DL45" s="641"/>
      <c r="DM45" s="641"/>
      <c r="DN45" s="641"/>
      <c r="DO45" s="641"/>
      <c r="DP45" s="576"/>
      <c r="DQ45" s="576"/>
      <c r="DR45" s="576"/>
      <c r="DS45" s="576"/>
      <c r="DT45" s="576"/>
      <c r="DU45" s="576"/>
      <c r="DV45" s="576"/>
      <c r="DW45" s="576"/>
      <c r="DX45" s="576"/>
      <c r="DY45" s="576"/>
      <c r="DZ45" s="576"/>
      <c r="EA45" s="576"/>
      <c r="EB45" s="576"/>
      <c r="EC45" s="576"/>
      <c r="ED45" s="576"/>
      <c r="EE45" s="576"/>
      <c r="EF45" s="576"/>
      <c r="EG45" s="576"/>
      <c r="EH45" s="576"/>
    </row>
    <row r="46" spans="1:138" s="14" customFormat="1" x14ac:dyDescent="0.25">
      <c r="A46" s="8">
        <v>42</v>
      </c>
      <c r="B46" s="4" t="s">
        <v>706</v>
      </c>
      <c r="C46" s="4"/>
      <c r="D46" s="4" t="s">
        <v>55</v>
      </c>
      <c r="E46" s="4" t="s">
        <v>74</v>
      </c>
      <c r="F46" s="19"/>
      <c r="G46" s="19" t="s">
        <v>6</v>
      </c>
      <c r="H46" s="556" t="s">
        <v>837</v>
      </c>
      <c r="I46" s="556">
        <v>10002</v>
      </c>
      <c r="J46" s="556" t="s">
        <v>837</v>
      </c>
      <c r="K46" s="556">
        <v>10004</v>
      </c>
      <c r="L46" s="556">
        <v>10005</v>
      </c>
      <c r="M46" s="556" t="s">
        <v>837</v>
      </c>
      <c r="N46" s="556">
        <v>10002</v>
      </c>
      <c r="O46" s="556" t="s">
        <v>837</v>
      </c>
      <c r="P46" s="556">
        <v>10004</v>
      </c>
      <c r="Q46" s="556">
        <v>10005</v>
      </c>
      <c r="R46" s="556"/>
      <c r="S46" s="556" t="s">
        <v>837</v>
      </c>
      <c r="T46" s="556"/>
      <c r="U46" s="556" t="s">
        <v>837</v>
      </c>
      <c r="V46" s="556" t="s">
        <v>837</v>
      </c>
      <c r="W46" s="556" t="s">
        <v>837</v>
      </c>
      <c r="X46" s="556">
        <v>10002</v>
      </c>
      <c r="Y46" s="556" t="s">
        <v>837</v>
      </c>
      <c r="Z46" s="556">
        <v>10004</v>
      </c>
      <c r="AA46" s="556">
        <v>10005</v>
      </c>
      <c r="AB46" s="556" t="s">
        <v>837</v>
      </c>
      <c r="AC46" s="556">
        <v>10002</v>
      </c>
      <c r="AD46" s="556" t="s">
        <v>837</v>
      </c>
      <c r="AE46" s="556">
        <v>10004</v>
      </c>
      <c r="AF46" s="556">
        <v>10005</v>
      </c>
      <c r="AG46" s="556" t="s">
        <v>837</v>
      </c>
      <c r="AH46" s="556" t="s">
        <v>837</v>
      </c>
      <c r="AI46" s="556" t="s">
        <v>837</v>
      </c>
      <c r="AJ46" s="556" t="s">
        <v>837</v>
      </c>
      <c r="AK46" s="556" t="s">
        <v>837</v>
      </c>
      <c r="AL46" s="556" t="s">
        <v>837</v>
      </c>
      <c r="AM46" s="556" t="s">
        <v>837</v>
      </c>
      <c r="AN46" s="556" t="s">
        <v>837</v>
      </c>
      <c r="AO46" s="556" t="s">
        <v>837</v>
      </c>
      <c r="AP46" s="556" t="s">
        <v>837</v>
      </c>
      <c r="AQ46" s="556" t="s">
        <v>837</v>
      </c>
      <c r="AR46" s="556" t="s">
        <v>837</v>
      </c>
      <c r="AS46" s="556" t="s">
        <v>837</v>
      </c>
      <c r="AT46" s="556" t="s">
        <v>837</v>
      </c>
      <c r="AU46" s="556" t="s">
        <v>837</v>
      </c>
      <c r="AV46" s="556" t="s">
        <v>837</v>
      </c>
      <c r="AW46" s="556" t="s">
        <v>837</v>
      </c>
      <c r="AX46" s="556" t="s">
        <v>837</v>
      </c>
      <c r="AY46" s="556" t="s">
        <v>837</v>
      </c>
      <c r="AZ46" s="556" t="s">
        <v>837</v>
      </c>
      <c r="BA46" s="556" t="s">
        <v>837</v>
      </c>
      <c r="BB46" s="556" t="s">
        <v>837</v>
      </c>
      <c r="BC46" s="556" t="s">
        <v>837</v>
      </c>
      <c r="BD46" s="556" t="s">
        <v>837</v>
      </c>
      <c r="BE46" s="556" t="s">
        <v>837</v>
      </c>
      <c r="BF46" s="636"/>
      <c r="BG46" s="636"/>
      <c r="BH46" s="636"/>
      <c r="BI46" s="576"/>
      <c r="BJ46" s="576"/>
      <c r="BK46" s="576"/>
      <c r="BL46" s="602"/>
      <c r="BM46" s="553" t="s">
        <v>837</v>
      </c>
      <c r="BN46" s="612" t="s">
        <v>837</v>
      </c>
      <c r="BO46" s="576"/>
      <c r="BP46" s="606"/>
      <c r="BQ46" s="576"/>
      <c r="BR46" s="570"/>
      <c r="BS46" s="547"/>
      <c r="BT46" s="549"/>
      <c r="BU46" s="549"/>
      <c r="BV46" s="549"/>
      <c r="BW46" s="549"/>
      <c r="BX46" s="549"/>
      <c r="BY46" s="549"/>
      <c r="BZ46" s="549"/>
      <c r="CA46" s="549"/>
      <c r="CB46" s="549"/>
      <c r="CC46" s="549"/>
      <c r="CD46" s="548"/>
      <c r="CE46" s="547"/>
      <c r="CF46" s="549"/>
      <c r="CG46" s="549"/>
      <c r="CH46" s="549"/>
      <c r="CI46" s="549"/>
      <c r="CJ46" s="549"/>
      <c r="CK46" s="549"/>
      <c r="CL46" s="549"/>
      <c r="CM46" s="549"/>
      <c r="CN46" s="548"/>
      <c r="CO46" s="640"/>
      <c r="CP46" s="640"/>
      <c r="CQ46" s="640"/>
      <c r="CR46" s="640"/>
      <c r="CS46" s="640"/>
      <c r="CT46" s="640"/>
      <c r="CU46" s="640"/>
      <c r="CV46" s="640"/>
      <c r="CW46" s="640"/>
      <c r="CX46" s="640"/>
      <c r="CY46" s="640"/>
      <c r="CZ46" s="640"/>
      <c r="DA46" s="640"/>
      <c r="DB46" s="640"/>
      <c r="DC46" s="640"/>
      <c r="DD46" s="640"/>
      <c r="DE46" s="640"/>
      <c r="DF46" s="640"/>
      <c r="DG46" s="640"/>
      <c r="DH46" s="640"/>
      <c r="DI46" s="641"/>
      <c r="DJ46" s="641"/>
      <c r="DK46" s="641"/>
      <c r="DL46" s="641"/>
      <c r="DM46" s="641"/>
      <c r="DN46" s="641"/>
      <c r="DO46" s="641"/>
      <c r="DP46" s="576"/>
      <c r="DQ46" s="576"/>
      <c r="DR46" s="576"/>
      <c r="DS46" s="576"/>
      <c r="DT46" s="576"/>
      <c r="DU46" s="576"/>
      <c r="DV46" s="576"/>
      <c r="DW46" s="576"/>
      <c r="DX46" s="576"/>
      <c r="DY46" s="576"/>
      <c r="DZ46" s="576"/>
      <c r="EA46" s="576"/>
      <c r="EB46" s="576"/>
      <c r="EC46" s="576"/>
      <c r="ED46" s="576"/>
      <c r="EE46" s="576"/>
      <c r="EF46" s="576"/>
      <c r="EG46" s="576"/>
      <c r="EH46" s="576"/>
    </row>
    <row r="47" spans="1:138" s="14" customFormat="1" x14ac:dyDescent="0.25">
      <c r="A47" s="8">
        <v>43</v>
      </c>
      <c r="B47" s="4" t="s">
        <v>712</v>
      </c>
      <c r="C47" s="4"/>
      <c r="D47" s="4" t="s">
        <v>55</v>
      </c>
      <c r="E47" s="4" t="s">
        <v>75</v>
      </c>
      <c r="F47" s="19" t="s">
        <v>8</v>
      </c>
      <c r="G47" s="19" t="s">
        <v>837</v>
      </c>
      <c r="H47" s="556" t="s">
        <v>837</v>
      </c>
      <c r="I47" s="556" t="s">
        <v>837</v>
      </c>
      <c r="J47" s="556" t="s">
        <v>837</v>
      </c>
      <c r="K47" s="556" t="s">
        <v>837</v>
      </c>
      <c r="L47" s="556" t="s">
        <v>837</v>
      </c>
      <c r="M47" s="556" t="s">
        <v>837</v>
      </c>
      <c r="N47" s="556" t="s">
        <v>837</v>
      </c>
      <c r="O47" s="556" t="s">
        <v>837</v>
      </c>
      <c r="P47" s="556" t="s">
        <v>837</v>
      </c>
      <c r="Q47" s="556" t="s">
        <v>837</v>
      </c>
      <c r="R47" s="556" t="s">
        <v>837</v>
      </c>
      <c r="S47" s="556" t="s">
        <v>837</v>
      </c>
      <c r="T47" s="556" t="s">
        <v>837</v>
      </c>
      <c r="U47" s="556" t="s">
        <v>837</v>
      </c>
      <c r="V47" s="556" t="s">
        <v>837</v>
      </c>
      <c r="W47" s="556" t="s">
        <v>837</v>
      </c>
      <c r="X47" s="556" t="s">
        <v>837</v>
      </c>
      <c r="Y47" s="556" t="s">
        <v>837</v>
      </c>
      <c r="Z47" s="556" t="s">
        <v>837</v>
      </c>
      <c r="AA47" s="556" t="s">
        <v>837</v>
      </c>
      <c r="AB47" s="556" t="s">
        <v>837</v>
      </c>
      <c r="AC47" s="556" t="s">
        <v>837</v>
      </c>
      <c r="AD47" s="556" t="s">
        <v>837</v>
      </c>
      <c r="AE47" s="556" t="s">
        <v>837</v>
      </c>
      <c r="AF47" s="556" t="s">
        <v>837</v>
      </c>
      <c r="AG47" s="556" t="s">
        <v>837</v>
      </c>
      <c r="AH47" s="556" t="s">
        <v>837</v>
      </c>
      <c r="AI47" s="556" t="s">
        <v>837</v>
      </c>
      <c r="AJ47" s="556" t="s">
        <v>837</v>
      </c>
      <c r="AK47" s="556" t="s">
        <v>837</v>
      </c>
      <c r="AL47" s="556" t="s">
        <v>837</v>
      </c>
      <c r="AM47" s="556" t="s">
        <v>837</v>
      </c>
      <c r="AN47" s="556" t="s">
        <v>837</v>
      </c>
      <c r="AO47" s="556" t="s">
        <v>837</v>
      </c>
      <c r="AP47" s="556" t="s">
        <v>837</v>
      </c>
      <c r="AQ47" s="556" t="s">
        <v>837</v>
      </c>
      <c r="AR47" s="556" t="s">
        <v>837</v>
      </c>
      <c r="AS47" s="556" t="s">
        <v>837</v>
      </c>
      <c r="AT47" s="556" t="s">
        <v>837</v>
      </c>
      <c r="AU47" s="556" t="s">
        <v>837</v>
      </c>
      <c r="AV47" s="556" t="s">
        <v>837</v>
      </c>
      <c r="AW47" s="556" t="s">
        <v>837</v>
      </c>
      <c r="AX47" s="556" t="s">
        <v>837</v>
      </c>
      <c r="AY47" s="556" t="s">
        <v>837</v>
      </c>
      <c r="AZ47" s="556" t="s">
        <v>837</v>
      </c>
      <c r="BA47" s="556" t="s">
        <v>837</v>
      </c>
      <c r="BB47" s="556" t="s">
        <v>837</v>
      </c>
      <c r="BC47" s="556" t="s">
        <v>837</v>
      </c>
      <c r="BD47" s="556" t="s">
        <v>837</v>
      </c>
      <c r="BE47" s="556" t="s">
        <v>837</v>
      </c>
      <c r="BF47" s="636"/>
      <c r="BG47" s="636"/>
      <c r="BH47" s="636"/>
      <c r="BI47" s="576"/>
      <c r="BJ47" s="576"/>
      <c r="BK47" s="576"/>
      <c r="BL47" s="602"/>
      <c r="BM47" s="553" t="s">
        <v>837</v>
      </c>
      <c r="BN47" s="612" t="s">
        <v>837</v>
      </c>
      <c r="BO47" s="576"/>
      <c r="BP47" s="606"/>
      <c r="BQ47" s="576"/>
      <c r="BR47" s="570"/>
      <c r="BS47" s="547"/>
      <c r="BT47" s="549"/>
      <c r="BU47" s="549"/>
      <c r="BV47" s="549"/>
      <c r="BW47" s="549"/>
      <c r="BX47" s="549"/>
      <c r="BY47" s="549"/>
      <c r="BZ47" s="549"/>
      <c r="CA47" s="549"/>
      <c r="CB47" s="549"/>
      <c r="CC47" s="549"/>
      <c r="CD47" s="548"/>
      <c r="CE47" s="547"/>
      <c r="CF47" s="549"/>
      <c r="CG47" s="549"/>
      <c r="CH47" s="549"/>
      <c r="CI47" s="549"/>
      <c r="CJ47" s="549"/>
      <c r="CK47" s="549"/>
      <c r="CL47" s="549"/>
      <c r="CM47" s="549"/>
      <c r="CN47" s="548"/>
      <c r="CO47" s="640"/>
      <c r="CP47" s="640"/>
      <c r="CQ47" s="640"/>
      <c r="CR47" s="640"/>
      <c r="CS47" s="640"/>
      <c r="CT47" s="640"/>
      <c r="CU47" s="640"/>
      <c r="CV47" s="640"/>
      <c r="CW47" s="640"/>
      <c r="CX47" s="640"/>
      <c r="CY47" s="640"/>
      <c r="CZ47" s="640"/>
      <c r="DA47" s="640"/>
      <c r="DB47" s="640"/>
      <c r="DC47" s="640"/>
      <c r="DD47" s="640"/>
      <c r="DE47" s="640"/>
      <c r="DF47" s="640"/>
      <c r="DG47" s="640"/>
      <c r="DH47" s="640"/>
      <c r="DI47" s="641"/>
      <c r="DJ47" s="641"/>
      <c r="DK47" s="641"/>
      <c r="DL47" s="641"/>
      <c r="DM47" s="641"/>
      <c r="DN47" s="641"/>
      <c r="DO47" s="641"/>
      <c r="DP47" s="576"/>
      <c r="DQ47" s="576"/>
      <c r="DR47" s="576"/>
      <c r="DS47" s="576"/>
      <c r="DT47" s="576"/>
      <c r="DU47" s="576"/>
      <c r="DV47" s="576"/>
      <c r="DW47" s="576"/>
      <c r="DX47" s="576"/>
      <c r="DY47" s="576"/>
      <c r="DZ47" s="576"/>
      <c r="EA47" s="576"/>
      <c r="EB47" s="576"/>
      <c r="EC47" s="576"/>
      <c r="ED47" s="576"/>
      <c r="EE47" s="576"/>
      <c r="EF47" s="576"/>
      <c r="EG47" s="576"/>
      <c r="EH47" s="576"/>
    </row>
    <row r="48" spans="1:138" s="14" customFormat="1" x14ac:dyDescent="0.25">
      <c r="A48" s="8">
        <v>44</v>
      </c>
      <c r="B48" s="19" t="s">
        <v>96</v>
      </c>
      <c r="C48" s="19"/>
      <c r="D48" s="4" t="s">
        <v>55</v>
      </c>
      <c r="E48" s="4" t="s">
        <v>75</v>
      </c>
      <c r="F48" s="19" t="s">
        <v>8</v>
      </c>
      <c r="G48" s="19" t="s">
        <v>837</v>
      </c>
      <c r="H48" s="556" t="s">
        <v>837</v>
      </c>
      <c r="I48" s="556" t="s">
        <v>837</v>
      </c>
      <c r="J48" s="556" t="s">
        <v>837</v>
      </c>
      <c r="K48" s="556" t="s">
        <v>837</v>
      </c>
      <c r="L48" s="556" t="s">
        <v>837</v>
      </c>
      <c r="M48" s="556" t="s">
        <v>837</v>
      </c>
      <c r="N48" s="556" t="s">
        <v>837</v>
      </c>
      <c r="O48" s="556" t="s">
        <v>837</v>
      </c>
      <c r="P48" s="556" t="s">
        <v>837</v>
      </c>
      <c r="Q48" s="556" t="s">
        <v>837</v>
      </c>
      <c r="R48" s="556" t="s">
        <v>837</v>
      </c>
      <c r="S48" s="556" t="s">
        <v>837</v>
      </c>
      <c r="T48" s="556" t="s">
        <v>837</v>
      </c>
      <c r="U48" s="556" t="s">
        <v>837</v>
      </c>
      <c r="V48" s="556" t="s">
        <v>837</v>
      </c>
      <c r="W48" s="556" t="s">
        <v>837</v>
      </c>
      <c r="X48" s="556" t="s">
        <v>837</v>
      </c>
      <c r="Y48" s="556" t="s">
        <v>837</v>
      </c>
      <c r="Z48" s="556" t="s">
        <v>837</v>
      </c>
      <c r="AA48" s="556" t="s">
        <v>837</v>
      </c>
      <c r="AB48" s="556" t="s">
        <v>837</v>
      </c>
      <c r="AC48" s="556" t="s">
        <v>837</v>
      </c>
      <c r="AD48" s="556" t="s">
        <v>837</v>
      </c>
      <c r="AE48" s="556" t="s">
        <v>837</v>
      </c>
      <c r="AF48" s="556" t="s">
        <v>837</v>
      </c>
      <c r="AG48" s="556" t="s">
        <v>837</v>
      </c>
      <c r="AH48" s="556" t="s">
        <v>837</v>
      </c>
      <c r="AI48" s="556" t="s">
        <v>837</v>
      </c>
      <c r="AJ48" s="556" t="s">
        <v>837</v>
      </c>
      <c r="AK48" s="556" t="s">
        <v>837</v>
      </c>
      <c r="AL48" s="556" t="s">
        <v>837</v>
      </c>
      <c r="AM48" s="556" t="s">
        <v>837</v>
      </c>
      <c r="AN48" s="556" t="s">
        <v>837</v>
      </c>
      <c r="AO48" s="556" t="s">
        <v>837</v>
      </c>
      <c r="AP48" s="556" t="s">
        <v>837</v>
      </c>
      <c r="AQ48" s="556" t="s">
        <v>837</v>
      </c>
      <c r="AR48" s="556" t="s">
        <v>837</v>
      </c>
      <c r="AS48" s="556" t="s">
        <v>837</v>
      </c>
      <c r="AT48" s="556" t="s">
        <v>837</v>
      </c>
      <c r="AU48" s="556" t="s">
        <v>837</v>
      </c>
      <c r="AV48" s="556" t="s">
        <v>837</v>
      </c>
      <c r="AW48" s="556" t="s">
        <v>837</v>
      </c>
      <c r="AX48" s="556" t="s">
        <v>837</v>
      </c>
      <c r="AY48" s="556" t="s">
        <v>837</v>
      </c>
      <c r="AZ48" s="556" t="s">
        <v>837</v>
      </c>
      <c r="BA48" s="556" t="s">
        <v>837</v>
      </c>
      <c r="BB48" s="556" t="s">
        <v>837</v>
      </c>
      <c r="BC48" s="556" t="s">
        <v>837</v>
      </c>
      <c r="BD48" s="556" t="s">
        <v>837</v>
      </c>
      <c r="BE48" s="556" t="s">
        <v>837</v>
      </c>
      <c r="BF48" s="614"/>
      <c r="BG48" s="614"/>
      <c r="BH48" s="614"/>
      <c r="BI48" s="576"/>
      <c r="BJ48" s="576"/>
      <c r="BK48" s="576"/>
      <c r="BL48" s="602"/>
      <c r="BM48" s="553" t="s">
        <v>837</v>
      </c>
      <c r="BN48" s="612" t="s">
        <v>837</v>
      </c>
      <c r="BO48" s="576"/>
      <c r="BP48" s="606"/>
      <c r="BQ48" s="576"/>
      <c r="BR48" s="570"/>
      <c r="BS48" s="547"/>
      <c r="BT48" s="549"/>
      <c r="BU48" s="549"/>
      <c r="BV48" s="549"/>
      <c r="BW48" s="549"/>
      <c r="BX48" s="549"/>
      <c r="BY48" s="549"/>
      <c r="BZ48" s="549"/>
      <c r="CA48" s="549"/>
      <c r="CB48" s="549"/>
      <c r="CC48" s="549"/>
      <c r="CD48" s="548"/>
      <c r="CE48" s="547"/>
      <c r="CF48" s="549"/>
      <c r="CG48" s="549"/>
      <c r="CH48" s="549"/>
      <c r="CI48" s="549"/>
      <c r="CJ48" s="549"/>
      <c r="CK48" s="549"/>
      <c r="CL48" s="549"/>
      <c r="CM48" s="549"/>
      <c r="CN48" s="548"/>
      <c r="CO48" s="640"/>
      <c r="CP48" s="640"/>
      <c r="CQ48" s="640"/>
      <c r="CR48" s="640"/>
      <c r="CS48" s="640"/>
      <c r="CT48" s="640"/>
      <c r="CU48" s="640"/>
      <c r="CV48" s="640"/>
      <c r="CW48" s="640"/>
      <c r="CX48" s="640"/>
      <c r="CY48" s="640"/>
      <c r="CZ48" s="640"/>
      <c r="DA48" s="640"/>
      <c r="DB48" s="640"/>
      <c r="DC48" s="640"/>
      <c r="DD48" s="640"/>
      <c r="DE48" s="640"/>
      <c r="DF48" s="640"/>
      <c r="DG48" s="640"/>
      <c r="DH48" s="640"/>
      <c r="DI48" s="641"/>
      <c r="DJ48" s="641"/>
      <c r="DK48" s="641"/>
      <c r="DL48" s="641"/>
      <c r="DM48" s="641"/>
      <c r="DN48" s="641"/>
      <c r="DO48" s="641"/>
      <c r="DP48" s="576"/>
      <c r="DQ48" s="576"/>
      <c r="DR48" s="576"/>
      <c r="DS48" s="576"/>
      <c r="DT48" s="576"/>
      <c r="DU48" s="576"/>
      <c r="DV48" s="576"/>
      <c r="DW48" s="576"/>
      <c r="DX48" s="576"/>
      <c r="DY48" s="576"/>
      <c r="DZ48" s="576"/>
      <c r="EA48" s="576"/>
      <c r="EB48" s="576"/>
      <c r="EC48" s="576"/>
      <c r="ED48" s="576"/>
      <c r="EE48" s="576"/>
      <c r="EF48" s="576"/>
      <c r="EG48" s="576"/>
      <c r="EH48" s="576"/>
    </row>
    <row r="49" spans="1:138" s="14" customFormat="1" x14ac:dyDescent="0.25">
      <c r="A49" s="8">
        <v>45</v>
      </c>
      <c r="B49" s="5" t="s">
        <v>707</v>
      </c>
      <c r="C49" s="5"/>
      <c r="D49" s="4" t="s">
        <v>55</v>
      </c>
      <c r="E49" s="4" t="s">
        <v>75</v>
      </c>
      <c r="F49" s="19" t="s">
        <v>8</v>
      </c>
      <c r="G49" s="19" t="s">
        <v>837</v>
      </c>
      <c r="H49" s="556" t="s">
        <v>837</v>
      </c>
      <c r="I49" s="556" t="s">
        <v>837</v>
      </c>
      <c r="J49" s="556" t="s">
        <v>837</v>
      </c>
      <c r="K49" s="556" t="s">
        <v>837</v>
      </c>
      <c r="L49" s="556" t="s">
        <v>837</v>
      </c>
      <c r="M49" s="556" t="s">
        <v>837</v>
      </c>
      <c r="N49" s="556" t="s">
        <v>837</v>
      </c>
      <c r="O49" s="556" t="s">
        <v>837</v>
      </c>
      <c r="P49" s="556" t="s">
        <v>837</v>
      </c>
      <c r="Q49" s="556" t="s">
        <v>837</v>
      </c>
      <c r="R49" s="556" t="s">
        <v>837</v>
      </c>
      <c r="S49" s="556" t="s">
        <v>837</v>
      </c>
      <c r="T49" s="556" t="s">
        <v>837</v>
      </c>
      <c r="U49" s="556" t="s">
        <v>837</v>
      </c>
      <c r="V49" s="556" t="s">
        <v>837</v>
      </c>
      <c r="W49" s="556" t="s">
        <v>837</v>
      </c>
      <c r="X49" s="556" t="s">
        <v>837</v>
      </c>
      <c r="Y49" s="556" t="s">
        <v>837</v>
      </c>
      <c r="Z49" s="556" t="s">
        <v>837</v>
      </c>
      <c r="AA49" s="556" t="s">
        <v>837</v>
      </c>
      <c r="AB49" s="556" t="s">
        <v>837</v>
      </c>
      <c r="AC49" s="556" t="s">
        <v>837</v>
      </c>
      <c r="AD49" s="556" t="s">
        <v>837</v>
      </c>
      <c r="AE49" s="556" t="s">
        <v>837</v>
      </c>
      <c r="AF49" s="556" t="s">
        <v>837</v>
      </c>
      <c r="AG49" s="556" t="s">
        <v>837</v>
      </c>
      <c r="AH49" s="556" t="s">
        <v>837</v>
      </c>
      <c r="AI49" s="556" t="s">
        <v>837</v>
      </c>
      <c r="AJ49" s="556" t="s">
        <v>837</v>
      </c>
      <c r="AK49" s="556" t="s">
        <v>837</v>
      </c>
      <c r="AL49" s="556" t="s">
        <v>837</v>
      </c>
      <c r="AM49" s="556" t="s">
        <v>837</v>
      </c>
      <c r="AN49" s="556" t="s">
        <v>837</v>
      </c>
      <c r="AO49" s="556" t="s">
        <v>837</v>
      </c>
      <c r="AP49" s="556" t="s">
        <v>837</v>
      </c>
      <c r="AQ49" s="556" t="s">
        <v>837</v>
      </c>
      <c r="AR49" s="556" t="s">
        <v>837</v>
      </c>
      <c r="AS49" s="556" t="s">
        <v>837</v>
      </c>
      <c r="AT49" s="556" t="s">
        <v>837</v>
      </c>
      <c r="AU49" s="556" t="s">
        <v>837</v>
      </c>
      <c r="AV49" s="556" t="s">
        <v>837</v>
      </c>
      <c r="AW49" s="556" t="s">
        <v>837</v>
      </c>
      <c r="AX49" s="556" t="s">
        <v>837</v>
      </c>
      <c r="AY49" s="556" t="s">
        <v>837</v>
      </c>
      <c r="AZ49" s="556" t="s">
        <v>837</v>
      </c>
      <c r="BA49" s="556" t="s">
        <v>837</v>
      </c>
      <c r="BB49" s="556" t="s">
        <v>837</v>
      </c>
      <c r="BC49" s="556" t="s">
        <v>837</v>
      </c>
      <c r="BD49" s="556" t="s">
        <v>837</v>
      </c>
      <c r="BE49" s="556" t="s">
        <v>837</v>
      </c>
      <c r="BF49" s="614"/>
      <c r="BG49" s="614"/>
      <c r="BH49" s="614"/>
      <c r="BI49" s="576"/>
      <c r="BJ49" s="576"/>
      <c r="BK49" s="576"/>
      <c r="BL49" s="602"/>
      <c r="BM49" s="553" t="s">
        <v>837</v>
      </c>
      <c r="BN49" s="612" t="s">
        <v>837</v>
      </c>
      <c r="BO49" s="576"/>
      <c r="BP49" s="606"/>
      <c r="BQ49" s="576"/>
      <c r="BR49" s="570"/>
      <c r="BS49" s="547"/>
      <c r="BT49" s="549"/>
      <c r="BU49" s="549"/>
      <c r="BV49" s="549"/>
      <c r="BW49" s="549"/>
      <c r="BX49" s="549"/>
      <c r="BY49" s="549"/>
      <c r="BZ49" s="549"/>
      <c r="CA49" s="549"/>
      <c r="CB49" s="549"/>
      <c r="CC49" s="549"/>
      <c r="CD49" s="548"/>
      <c r="CE49" s="547"/>
      <c r="CF49" s="549"/>
      <c r="CG49" s="549"/>
      <c r="CH49" s="549"/>
      <c r="CI49" s="549"/>
      <c r="CJ49" s="549"/>
      <c r="CK49" s="549"/>
      <c r="CL49" s="549"/>
      <c r="CM49" s="549"/>
      <c r="CN49" s="548"/>
      <c r="CO49" s="640"/>
      <c r="CP49" s="640"/>
      <c r="CQ49" s="640"/>
      <c r="CR49" s="640"/>
      <c r="CS49" s="640"/>
      <c r="CT49" s="640"/>
      <c r="CU49" s="640"/>
      <c r="CV49" s="640"/>
      <c r="CW49" s="640"/>
      <c r="CX49" s="640"/>
      <c r="CY49" s="640"/>
      <c r="CZ49" s="640"/>
      <c r="DA49" s="640"/>
      <c r="DB49" s="640"/>
      <c r="DC49" s="640"/>
      <c r="DD49" s="640"/>
      <c r="DE49" s="640"/>
      <c r="DF49" s="640"/>
      <c r="DG49" s="640"/>
      <c r="DH49" s="640"/>
      <c r="DI49" s="641"/>
      <c r="DJ49" s="641"/>
      <c r="DK49" s="641"/>
      <c r="DL49" s="641"/>
      <c r="DM49" s="641"/>
      <c r="DN49" s="641"/>
      <c r="DO49" s="641"/>
      <c r="DP49" s="576"/>
      <c r="DQ49" s="576"/>
      <c r="DR49" s="576"/>
      <c r="DS49" s="576"/>
      <c r="DT49" s="576"/>
      <c r="DU49" s="576"/>
      <c r="DV49" s="576"/>
      <c r="DW49" s="576"/>
      <c r="DX49" s="576"/>
      <c r="DY49" s="576"/>
      <c r="DZ49" s="576"/>
      <c r="EA49" s="576"/>
      <c r="EB49" s="576"/>
      <c r="EC49" s="576"/>
      <c r="ED49" s="576"/>
      <c r="EE49" s="576"/>
      <c r="EF49" s="576"/>
      <c r="EG49" s="576"/>
      <c r="EH49" s="576"/>
    </row>
    <row r="50" spans="1:138" s="14" customFormat="1" x14ac:dyDescent="0.25">
      <c r="A50" s="8">
        <v>46</v>
      </c>
      <c r="B50" s="19" t="s">
        <v>92</v>
      </c>
      <c r="C50" s="19"/>
      <c r="D50" s="4" t="s">
        <v>55</v>
      </c>
      <c r="E50" s="4" t="s">
        <v>75</v>
      </c>
      <c r="F50" s="19" t="s">
        <v>8</v>
      </c>
      <c r="G50" s="19" t="s">
        <v>837</v>
      </c>
      <c r="H50" s="556" t="s">
        <v>837</v>
      </c>
      <c r="I50" s="556" t="s">
        <v>837</v>
      </c>
      <c r="J50" s="556" t="s">
        <v>837</v>
      </c>
      <c r="K50" s="556" t="s">
        <v>837</v>
      </c>
      <c r="L50" s="556" t="s">
        <v>837</v>
      </c>
      <c r="M50" s="556" t="s">
        <v>837</v>
      </c>
      <c r="N50" s="556" t="s">
        <v>837</v>
      </c>
      <c r="O50" s="556" t="s">
        <v>837</v>
      </c>
      <c r="P50" s="556" t="s">
        <v>837</v>
      </c>
      <c r="Q50" s="556" t="s">
        <v>837</v>
      </c>
      <c r="R50" s="556" t="s">
        <v>837</v>
      </c>
      <c r="S50" s="556" t="s">
        <v>837</v>
      </c>
      <c r="T50" s="556" t="s">
        <v>837</v>
      </c>
      <c r="U50" s="556" t="s">
        <v>837</v>
      </c>
      <c r="V50" s="556" t="s">
        <v>837</v>
      </c>
      <c r="W50" s="556" t="s">
        <v>837</v>
      </c>
      <c r="X50" s="556" t="s">
        <v>837</v>
      </c>
      <c r="Y50" s="556" t="s">
        <v>837</v>
      </c>
      <c r="Z50" s="556" t="s">
        <v>837</v>
      </c>
      <c r="AA50" s="556" t="s">
        <v>837</v>
      </c>
      <c r="AB50" s="556" t="s">
        <v>837</v>
      </c>
      <c r="AC50" s="556" t="s">
        <v>837</v>
      </c>
      <c r="AD50" s="556" t="s">
        <v>837</v>
      </c>
      <c r="AE50" s="556" t="s">
        <v>837</v>
      </c>
      <c r="AF50" s="556" t="s">
        <v>837</v>
      </c>
      <c r="AG50" s="556" t="s">
        <v>837</v>
      </c>
      <c r="AH50" s="556" t="s">
        <v>837</v>
      </c>
      <c r="AI50" s="556" t="s">
        <v>837</v>
      </c>
      <c r="AJ50" s="556" t="s">
        <v>837</v>
      </c>
      <c r="AK50" s="556" t="s">
        <v>837</v>
      </c>
      <c r="AL50" s="556" t="s">
        <v>837</v>
      </c>
      <c r="AM50" s="556" t="s">
        <v>837</v>
      </c>
      <c r="AN50" s="556" t="s">
        <v>837</v>
      </c>
      <c r="AO50" s="556" t="s">
        <v>837</v>
      </c>
      <c r="AP50" s="556" t="s">
        <v>837</v>
      </c>
      <c r="AQ50" s="556" t="s">
        <v>837</v>
      </c>
      <c r="AR50" s="556" t="s">
        <v>837</v>
      </c>
      <c r="AS50" s="556" t="s">
        <v>837</v>
      </c>
      <c r="AT50" s="556" t="s">
        <v>837</v>
      </c>
      <c r="AU50" s="556" t="s">
        <v>837</v>
      </c>
      <c r="AV50" s="556" t="s">
        <v>837</v>
      </c>
      <c r="AW50" s="556" t="s">
        <v>837</v>
      </c>
      <c r="AX50" s="556" t="s">
        <v>837</v>
      </c>
      <c r="AY50" s="556" t="s">
        <v>837</v>
      </c>
      <c r="AZ50" s="556" t="s">
        <v>837</v>
      </c>
      <c r="BA50" s="556" t="s">
        <v>837</v>
      </c>
      <c r="BB50" s="556" t="s">
        <v>837</v>
      </c>
      <c r="BC50" s="556" t="s">
        <v>837</v>
      </c>
      <c r="BD50" s="556" t="s">
        <v>837</v>
      </c>
      <c r="BE50" s="556" t="s">
        <v>837</v>
      </c>
      <c r="BF50" s="614"/>
      <c r="BG50" s="614"/>
      <c r="BH50" s="614"/>
      <c r="BI50" s="576"/>
      <c r="BJ50" s="576"/>
      <c r="BK50" s="576"/>
      <c r="BL50" s="602"/>
      <c r="BM50" s="553" t="s">
        <v>837</v>
      </c>
      <c r="BN50" s="612" t="s">
        <v>837</v>
      </c>
      <c r="BO50" s="576"/>
      <c r="BP50" s="606"/>
      <c r="BQ50" s="576"/>
      <c r="BR50" s="570"/>
      <c r="BS50" s="547"/>
      <c r="BT50" s="549"/>
      <c r="BU50" s="549"/>
      <c r="BV50" s="549"/>
      <c r="BW50" s="549"/>
      <c r="BX50" s="549"/>
      <c r="BY50" s="549"/>
      <c r="BZ50" s="549"/>
      <c r="CA50" s="549"/>
      <c r="CB50" s="549"/>
      <c r="CC50" s="549"/>
      <c r="CD50" s="548"/>
      <c r="CE50" s="547"/>
      <c r="CF50" s="549"/>
      <c r="CG50" s="549"/>
      <c r="CH50" s="549"/>
      <c r="CI50" s="549"/>
      <c r="CJ50" s="549"/>
      <c r="CK50" s="549"/>
      <c r="CL50" s="549"/>
      <c r="CM50" s="549"/>
      <c r="CN50" s="548"/>
      <c r="CO50" s="640"/>
      <c r="CP50" s="640"/>
      <c r="CQ50" s="640"/>
      <c r="CR50" s="640"/>
      <c r="CS50" s="640"/>
      <c r="CT50" s="640"/>
      <c r="CU50" s="640"/>
      <c r="CV50" s="640"/>
      <c r="CW50" s="640"/>
      <c r="CX50" s="640"/>
      <c r="CY50" s="640"/>
      <c r="CZ50" s="640"/>
      <c r="DA50" s="640"/>
      <c r="DB50" s="640"/>
      <c r="DC50" s="640"/>
      <c r="DD50" s="640"/>
      <c r="DE50" s="640"/>
      <c r="DF50" s="640"/>
      <c r="DG50" s="640"/>
      <c r="DH50" s="640"/>
      <c r="DI50" s="641"/>
      <c r="DJ50" s="641"/>
      <c r="DK50" s="641"/>
      <c r="DL50" s="641"/>
      <c r="DM50" s="641"/>
      <c r="DN50" s="641"/>
      <c r="DO50" s="641"/>
      <c r="DP50" s="576"/>
      <c r="DQ50" s="576"/>
      <c r="DR50" s="576"/>
      <c r="DS50" s="576"/>
      <c r="DT50" s="576"/>
      <c r="DU50" s="576"/>
      <c r="DV50" s="576"/>
      <c r="DW50" s="576"/>
      <c r="DX50" s="576"/>
      <c r="DY50" s="576"/>
      <c r="DZ50" s="576"/>
      <c r="EA50" s="576"/>
      <c r="EB50" s="576"/>
      <c r="EC50" s="576"/>
      <c r="ED50" s="576"/>
      <c r="EE50" s="576"/>
      <c r="EF50" s="576"/>
      <c r="EG50" s="576"/>
      <c r="EH50" s="576"/>
    </row>
    <row r="51" spans="1:138" s="14" customFormat="1" x14ac:dyDescent="0.25">
      <c r="A51" s="8">
        <v>47</v>
      </c>
      <c r="B51" s="4" t="s">
        <v>713</v>
      </c>
      <c r="C51" s="4"/>
      <c r="D51" s="4" t="s">
        <v>55</v>
      </c>
      <c r="E51" s="4" t="s">
        <v>75</v>
      </c>
      <c r="F51" s="19" t="s">
        <v>8</v>
      </c>
      <c r="G51" s="19" t="s">
        <v>837</v>
      </c>
      <c r="H51" s="556" t="s">
        <v>837</v>
      </c>
      <c r="I51" s="556" t="s">
        <v>837</v>
      </c>
      <c r="J51" s="556" t="s">
        <v>837</v>
      </c>
      <c r="K51" s="556" t="s">
        <v>837</v>
      </c>
      <c r="L51" s="556" t="s">
        <v>837</v>
      </c>
      <c r="M51" s="556" t="s">
        <v>837</v>
      </c>
      <c r="N51" s="556" t="s">
        <v>837</v>
      </c>
      <c r="O51" s="556" t="s">
        <v>837</v>
      </c>
      <c r="P51" s="556" t="s">
        <v>837</v>
      </c>
      <c r="Q51" s="556" t="s">
        <v>837</v>
      </c>
      <c r="R51" s="556" t="s">
        <v>837</v>
      </c>
      <c r="S51" s="556" t="s">
        <v>837</v>
      </c>
      <c r="T51" s="556" t="s">
        <v>837</v>
      </c>
      <c r="U51" s="556" t="s">
        <v>837</v>
      </c>
      <c r="V51" s="556" t="s">
        <v>837</v>
      </c>
      <c r="W51" s="556" t="s">
        <v>837</v>
      </c>
      <c r="X51" s="556" t="s">
        <v>837</v>
      </c>
      <c r="Y51" s="556" t="s">
        <v>837</v>
      </c>
      <c r="Z51" s="556" t="s">
        <v>837</v>
      </c>
      <c r="AA51" s="556" t="s">
        <v>837</v>
      </c>
      <c r="AB51" s="556" t="s">
        <v>837</v>
      </c>
      <c r="AC51" s="556" t="s">
        <v>837</v>
      </c>
      <c r="AD51" s="556" t="s">
        <v>837</v>
      </c>
      <c r="AE51" s="556" t="s">
        <v>837</v>
      </c>
      <c r="AF51" s="556" t="s">
        <v>837</v>
      </c>
      <c r="AG51" s="556" t="s">
        <v>837</v>
      </c>
      <c r="AH51" s="556" t="s">
        <v>837</v>
      </c>
      <c r="AI51" s="556" t="s">
        <v>837</v>
      </c>
      <c r="AJ51" s="556" t="s">
        <v>837</v>
      </c>
      <c r="AK51" s="556" t="s">
        <v>837</v>
      </c>
      <c r="AL51" s="556" t="s">
        <v>837</v>
      </c>
      <c r="AM51" s="556" t="s">
        <v>837</v>
      </c>
      <c r="AN51" s="556" t="s">
        <v>837</v>
      </c>
      <c r="AO51" s="556" t="s">
        <v>837</v>
      </c>
      <c r="AP51" s="556" t="s">
        <v>837</v>
      </c>
      <c r="AQ51" s="556" t="s">
        <v>837</v>
      </c>
      <c r="AR51" s="556" t="s">
        <v>837</v>
      </c>
      <c r="AS51" s="556" t="s">
        <v>837</v>
      </c>
      <c r="AT51" s="556" t="s">
        <v>837</v>
      </c>
      <c r="AU51" s="556" t="s">
        <v>837</v>
      </c>
      <c r="AV51" s="556" t="s">
        <v>837</v>
      </c>
      <c r="AW51" s="556" t="s">
        <v>837</v>
      </c>
      <c r="AX51" s="556" t="s">
        <v>837</v>
      </c>
      <c r="AY51" s="556" t="s">
        <v>837</v>
      </c>
      <c r="AZ51" s="556" t="s">
        <v>837</v>
      </c>
      <c r="BA51" s="556" t="s">
        <v>837</v>
      </c>
      <c r="BB51" s="556" t="s">
        <v>837</v>
      </c>
      <c r="BC51" s="556" t="s">
        <v>837</v>
      </c>
      <c r="BD51" s="556" t="s">
        <v>837</v>
      </c>
      <c r="BE51" s="556" t="s">
        <v>837</v>
      </c>
      <c r="BF51" s="612"/>
      <c r="BG51" s="612"/>
      <c r="BH51" s="612"/>
      <c r="BI51" s="576"/>
      <c r="BJ51" s="576"/>
      <c r="BK51" s="576"/>
      <c r="BL51" s="602"/>
      <c r="BM51" s="553" t="s">
        <v>837</v>
      </c>
      <c r="BN51" s="612" t="s">
        <v>837</v>
      </c>
      <c r="BO51" s="576"/>
      <c r="BP51" s="606"/>
      <c r="BQ51" s="576"/>
      <c r="BR51" s="570"/>
      <c r="BS51" s="547"/>
      <c r="BT51" s="549"/>
      <c r="BU51" s="549"/>
      <c r="BV51" s="549"/>
      <c r="BW51" s="549"/>
      <c r="BX51" s="549"/>
      <c r="BY51" s="549"/>
      <c r="BZ51" s="549"/>
      <c r="CA51" s="549"/>
      <c r="CB51" s="549"/>
      <c r="CC51" s="549"/>
      <c r="CD51" s="548"/>
      <c r="CE51" s="547"/>
      <c r="CF51" s="549"/>
      <c r="CG51" s="549"/>
      <c r="CH51" s="549"/>
      <c r="CI51" s="549"/>
      <c r="CJ51" s="549"/>
      <c r="CK51" s="549"/>
      <c r="CL51" s="549"/>
      <c r="CM51" s="549"/>
      <c r="CN51" s="548"/>
      <c r="CO51" s="640"/>
      <c r="CP51" s="640"/>
      <c r="CQ51" s="640"/>
      <c r="CR51" s="640"/>
      <c r="CS51" s="640"/>
      <c r="CT51" s="640"/>
      <c r="CU51" s="640"/>
      <c r="CV51" s="640"/>
      <c r="CW51" s="640"/>
      <c r="CX51" s="640"/>
      <c r="CY51" s="640"/>
      <c r="CZ51" s="640"/>
      <c r="DA51" s="640"/>
      <c r="DB51" s="640"/>
      <c r="DC51" s="640"/>
      <c r="DD51" s="640"/>
      <c r="DE51" s="640"/>
      <c r="DF51" s="640"/>
      <c r="DG51" s="640"/>
      <c r="DH51" s="640"/>
      <c r="DI51" s="641"/>
      <c r="DJ51" s="641"/>
      <c r="DK51" s="641"/>
      <c r="DL51" s="641"/>
      <c r="DM51" s="641"/>
      <c r="DN51" s="641"/>
      <c r="DO51" s="641"/>
      <c r="DP51" s="576"/>
      <c r="DQ51" s="576"/>
      <c r="DR51" s="576"/>
      <c r="DS51" s="576"/>
      <c r="DT51" s="576"/>
      <c r="DU51" s="576"/>
      <c r="DV51" s="576"/>
      <c r="DW51" s="576"/>
      <c r="DX51" s="576"/>
      <c r="DY51" s="576"/>
      <c r="DZ51" s="576"/>
      <c r="EA51" s="576"/>
      <c r="EB51" s="576"/>
      <c r="EC51" s="576"/>
      <c r="ED51" s="576"/>
      <c r="EE51" s="576"/>
      <c r="EF51" s="576"/>
      <c r="EG51" s="576"/>
      <c r="EH51" s="576"/>
    </row>
    <row r="52" spans="1:138" s="14" customFormat="1" x14ac:dyDescent="0.25">
      <c r="A52" s="8">
        <v>48</v>
      </c>
      <c r="B52" s="4" t="s">
        <v>743</v>
      </c>
      <c r="C52" s="4"/>
      <c r="D52" s="4" t="s">
        <v>59</v>
      </c>
      <c r="E52" s="4" t="s">
        <v>75</v>
      </c>
      <c r="F52" s="19" t="s">
        <v>8</v>
      </c>
      <c r="G52" s="19" t="s">
        <v>837</v>
      </c>
      <c r="H52" s="556" t="s">
        <v>837</v>
      </c>
      <c r="I52" s="556" t="s">
        <v>837</v>
      </c>
      <c r="J52" s="556" t="s">
        <v>837</v>
      </c>
      <c r="K52" s="556" t="s">
        <v>837</v>
      </c>
      <c r="L52" s="556" t="s">
        <v>837</v>
      </c>
      <c r="M52" s="556" t="s">
        <v>837</v>
      </c>
      <c r="N52" s="556" t="s">
        <v>837</v>
      </c>
      <c r="O52" s="556" t="s">
        <v>837</v>
      </c>
      <c r="P52" s="556" t="s">
        <v>837</v>
      </c>
      <c r="Q52" s="556" t="s">
        <v>837</v>
      </c>
      <c r="R52" s="556" t="s">
        <v>837</v>
      </c>
      <c r="S52" s="556" t="s">
        <v>837</v>
      </c>
      <c r="T52" s="556" t="s">
        <v>837</v>
      </c>
      <c r="U52" s="556" t="s">
        <v>837</v>
      </c>
      <c r="V52" s="556" t="s">
        <v>837</v>
      </c>
      <c r="W52" s="556" t="s">
        <v>837</v>
      </c>
      <c r="X52" s="556" t="s">
        <v>837</v>
      </c>
      <c r="Y52" s="556" t="s">
        <v>837</v>
      </c>
      <c r="Z52" s="556" t="s">
        <v>837</v>
      </c>
      <c r="AA52" s="556" t="s">
        <v>837</v>
      </c>
      <c r="AB52" s="556" t="s">
        <v>837</v>
      </c>
      <c r="AC52" s="556" t="s">
        <v>837</v>
      </c>
      <c r="AD52" s="556" t="s">
        <v>837</v>
      </c>
      <c r="AE52" s="556" t="s">
        <v>837</v>
      </c>
      <c r="AF52" s="556" t="s">
        <v>837</v>
      </c>
      <c r="AG52" s="556" t="s">
        <v>837</v>
      </c>
      <c r="AH52" s="556" t="s">
        <v>837</v>
      </c>
      <c r="AI52" s="556" t="s">
        <v>837</v>
      </c>
      <c r="AJ52" s="556" t="s">
        <v>837</v>
      </c>
      <c r="AK52" s="556" t="s">
        <v>837</v>
      </c>
      <c r="AL52" s="556" t="s">
        <v>837</v>
      </c>
      <c r="AM52" s="556" t="s">
        <v>837</v>
      </c>
      <c r="AN52" s="556" t="s">
        <v>837</v>
      </c>
      <c r="AO52" s="556" t="s">
        <v>837</v>
      </c>
      <c r="AP52" s="556" t="s">
        <v>837</v>
      </c>
      <c r="AQ52" s="556" t="s">
        <v>837</v>
      </c>
      <c r="AR52" s="556" t="s">
        <v>837</v>
      </c>
      <c r="AS52" s="556" t="s">
        <v>837</v>
      </c>
      <c r="AT52" s="556" t="s">
        <v>837</v>
      </c>
      <c r="AU52" s="556" t="s">
        <v>837</v>
      </c>
      <c r="AV52" s="556" t="s">
        <v>837</v>
      </c>
      <c r="AW52" s="556" t="s">
        <v>837</v>
      </c>
      <c r="AX52" s="556" t="s">
        <v>837</v>
      </c>
      <c r="AY52" s="556" t="s">
        <v>837</v>
      </c>
      <c r="AZ52" s="556" t="s">
        <v>837</v>
      </c>
      <c r="BA52" s="556" t="s">
        <v>837</v>
      </c>
      <c r="BB52" s="556" t="s">
        <v>837</v>
      </c>
      <c r="BC52" s="556" t="s">
        <v>837</v>
      </c>
      <c r="BD52" s="556" t="s">
        <v>837</v>
      </c>
      <c r="BE52" s="556" t="s">
        <v>837</v>
      </c>
      <c r="BF52" s="612"/>
      <c r="BG52" s="612"/>
      <c r="BH52" s="612"/>
      <c r="BI52" s="576"/>
      <c r="BJ52" s="576"/>
      <c r="BK52" s="576"/>
      <c r="BL52" s="602"/>
      <c r="BM52" s="553" t="s">
        <v>837</v>
      </c>
      <c r="BN52" s="612" t="s">
        <v>837</v>
      </c>
      <c r="BO52" s="576"/>
      <c r="BP52" s="606"/>
      <c r="BQ52" s="576"/>
      <c r="BR52" s="570"/>
      <c r="BS52" s="547"/>
      <c r="BT52" s="549"/>
      <c r="BU52" s="549"/>
      <c r="BV52" s="549"/>
      <c r="BW52" s="549"/>
      <c r="BX52" s="549"/>
      <c r="BY52" s="549"/>
      <c r="BZ52" s="549"/>
      <c r="CA52" s="549"/>
      <c r="CB52" s="549"/>
      <c r="CC52" s="549"/>
      <c r="CD52" s="548"/>
      <c r="CE52" s="547"/>
      <c r="CF52" s="549"/>
      <c r="CG52" s="549"/>
      <c r="CH52" s="549"/>
      <c r="CI52" s="549"/>
      <c r="CJ52" s="549"/>
      <c r="CK52" s="549"/>
      <c r="CL52" s="549"/>
      <c r="CM52" s="549"/>
      <c r="CN52" s="548"/>
      <c r="CO52" s="640"/>
      <c r="CP52" s="640"/>
      <c r="CQ52" s="640"/>
      <c r="CR52" s="640"/>
      <c r="CS52" s="640"/>
      <c r="CT52" s="640"/>
      <c r="CU52" s="640"/>
      <c r="CV52" s="640"/>
      <c r="CW52" s="640"/>
      <c r="CX52" s="640"/>
      <c r="CY52" s="640"/>
      <c r="CZ52" s="640"/>
      <c r="DA52" s="640"/>
      <c r="DB52" s="640"/>
      <c r="DC52" s="640"/>
      <c r="DD52" s="640"/>
      <c r="DE52" s="640"/>
      <c r="DF52" s="640"/>
      <c r="DG52" s="640"/>
      <c r="DH52" s="640"/>
      <c r="DI52" s="641"/>
      <c r="DJ52" s="641"/>
      <c r="DK52" s="641"/>
      <c r="DL52" s="641"/>
      <c r="DM52" s="641"/>
      <c r="DN52" s="641"/>
      <c r="DO52" s="641"/>
      <c r="DP52" s="576"/>
      <c r="DQ52" s="576"/>
      <c r="DR52" s="576"/>
      <c r="DS52" s="576"/>
      <c r="DT52" s="576"/>
      <c r="DU52" s="576"/>
      <c r="DV52" s="576"/>
      <c r="DW52" s="576"/>
      <c r="DX52" s="576"/>
      <c r="DY52" s="576"/>
      <c r="DZ52" s="576"/>
      <c r="EA52" s="576"/>
      <c r="EB52" s="576"/>
      <c r="EC52" s="576"/>
      <c r="ED52" s="576"/>
      <c r="EE52" s="576"/>
      <c r="EF52" s="576"/>
      <c r="EG52" s="576"/>
      <c r="EH52" s="576"/>
    </row>
    <row r="53" spans="1:138" s="14" customFormat="1" x14ac:dyDescent="0.25">
      <c r="A53" s="8">
        <v>49</v>
      </c>
      <c r="B53" s="4" t="s">
        <v>714</v>
      </c>
      <c r="C53" s="4"/>
      <c r="D53" s="4" t="s">
        <v>59</v>
      </c>
      <c r="E53" s="4" t="s">
        <v>75</v>
      </c>
      <c r="F53" s="19" t="s">
        <v>8</v>
      </c>
      <c r="G53" s="19" t="s">
        <v>837</v>
      </c>
      <c r="H53" s="556" t="s">
        <v>837</v>
      </c>
      <c r="I53" s="556" t="s">
        <v>837</v>
      </c>
      <c r="J53" s="556" t="s">
        <v>837</v>
      </c>
      <c r="K53" s="556" t="s">
        <v>837</v>
      </c>
      <c r="L53" s="556" t="s">
        <v>837</v>
      </c>
      <c r="M53" s="556" t="s">
        <v>837</v>
      </c>
      <c r="N53" s="556" t="s">
        <v>837</v>
      </c>
      <c r="O53" s="556" t="s">
        <v>837</v>
      </c>
      <c r="P53" s="556" t="s">
        <v>837</v>
      </c>
      <c r="Q53" s="556" t="s">
        <v>837</v>
      </c>
      <c r="R53" s="556" t="s">
        <v>837</v>
      </c>
      <c r="S53" s="556" t="s">
        <v>837</v>
      </c>
      <c r="T53" s="556" t="s">
        <v>837</v>
      </c>
      <c r="U53" s="556" t="s">
        <v>837</v>
      </c>
      <c r="V53" s="556" t="s">
        <v>837</v>
      </c>
      <c r="W53" s="556" t="s">
        <v>837</v>
      </c>
      <c r="X53" s="556" t="s">
        <v>837</v>
      </c>
      <c r="Y53" s="556" t="s">
        <v>837</v>
      </c>
      <c r="Z53" s="556" t="s">
        <v>837</v>
      </c>
      <c r="AA53" s="556" t="s">
        <v>837</v>
      </c>
      <c r="AB53" s="556" t="s">
        <v>837</v>
      </c>
      <c r="AC53" s="556" t="s">
        <v>837</v>
      </c>
      <c r="AD53" s="556" t="s">
        <v>837</v>
      </c>
      <c r="AE53" s="556" t="s">
        <v>837</v>
      </c>
      <c r="AF53" s="556" t="s">
        <v>837</v>
      </c>
      <c r="AG53" s="556" t="s">
        <v>837</v>
      </c>
      <c r="AH53" s="556" t="s">
        <v>837</v>
      </c>
      <c r="AI53" s="556" t="s">
        <v>837</v>
      </c>
      <c r="AJ53" s="556" t="s">
        <v>837</v>
      </c>
      <c r="AK53" s="556" t="s">
        <v>837</v>
      </c>
      <c r="AL53" s="556" t="s">
        <v>837</v>
      </c>
      <c r="AM53" s="556" t="s">
        <v>837</v>
      </c>
      <c r="AN53" s="556" t="s">
        <v>837</v>
      </c>
      <c r="AO53" s="556" t="s">
        <v>837</v>
      </c>
      <c r="AP53" s="556" t="s">
        <v>837</v>
      </c>
      <c r="AQ53" s="556" t="s">
        <v>837</v>
      </c>
      <c r="AR53" s="556" t="s">
        <v>837</v>
      </c>
      <c r="AS53" s="556" t="s">
        <v>837</v>
      </c>
      <c r="AT53" s="556" t="s">
        <v>837</v>
      </c>
      <c r="AU53" s="556" t="s">
        <v>837</v>
      </c>
      <c r="AV53" s="556" t="s">
        <v>837</v>
      </c>
      <c r="AW53" s="556" t="s">
        <v>837</v>
      </c>
      <c r="AX53" s="556" t="s">
        <v>837</v>
      </c>
      <c r="AY53" s="556" t="s">
        <v>837</v>
      </c>
      <c r="AZ53" s="556" t="s">
        <v>837</v>
      </c>
      <c r="BA53" s="556" t="s">
        <v>837</v>
      </c>
      <c r="BB53" s="556" t="s">
        <v>837</v>
      </c>
      <c r="BC53" s="556" t="s">
        <v>837</v>
      </c>
      <c r="BD53" s="556" t="s">
        <v>837</v>
      </c>
      <c r="BE53" s="556" t="s">
        <v>837</v>
      </c>
      <c r="BF53" s="612"/>
      <c r="BG53" s="612"/>
      <c r="BH53" s="612"/>
      <c r="BI53" s="576"/>
      <c r="BJ53" s="576"/>
      <c r="BK53" s="576"/>
      <c r="BL53" s="602"/>
      <c r="BM53" s="553" t="s">
        <v>837</v>
      </c>
      <c r="BN53" s="612" t="s">
        <v>837</v>
      </c>
      <c r="BO53" s="576"/>
      <c r="BP53" s="606"/>
      <c r="BQ53" s="576"/>
      <c r="BR53" s="570"/>
      <c r="BS53" s="755">
        <v>80000</v>
      </c>
      <c r="BT53" s="756">
        <v>80000</v>
      </c>
      <c r="BU53" s="756">
        <v>80000</v>
      </c>
      <c r="BV53" s="756">
        <v>80000</v>
      </c>
      <c r="BW53" s="756">
        <v>80000</v>
      </c>
      <c r="BX53" s="756">
        <v>80000</v>
      </c>
      <c r="BY53" s="756">
        <v>80000</v>
      </c>
      <c r="BZ53" s="756">
        <v>80000</v>
      </c>
      <c r="CA53" s="756">
        <v>80000</v>
      </c>
      <c r="CB53" s="756">
        <v>80000</v>
      </c>
      <c r="CC53" s="756">
        <v>80000</v>
      </c>
      <c r="CD53" s="757"/>
      <c r="CE53" s="755">
        <v>80000</v>
      </c>
      <c r="CF53" s="756">
        <v>80000</v>
      </c>
      <c r="CG53" s="756">
        <v>80000</v>
      </c>
      <c r="CH53" s="756">
        <v>80000</v>
      </c>
      <c r="CI53" s="756">
        <v>80000</v>
      </c>
      <c r="CJ53" s="756">
        <v>80000</v>
      </c>
      <c r="CK53" s="756">
        <v>80000</v>
      </c>
      <c r="CL53" s="756">
        <v>80000</v>
      </c>
      <c r="CM53" s="756">
        <v>80000</v>
      </c>
      <c r="CN53" s="757">
        <v>80000</v>
      </c>
      <c r="CO53" s="640"/>
      <c r="CP53" s="640"/>
      <c r="CQ53" s="640"/>
      <c r="CR53" s="640"/>
      <c r="CS53" s="640"/>
      <c r="CT53" s="640"/>
      <c r="CU53" s="640"/>
      <c r="CV53" s="640"/>
      <c r="CW53" s="640"/>
      <c r="CX53" s="640"/>
      <c r="CY53" s="640"/>
      <c r="CZ53" s="640"/>
      <c r="DA53" s="640"/>
      <c r="DB53" s="640"/>
      <c r="DC53" s="640"/>
      <c r="DD53" s="640"/>
      <c r="DE53" s="640"/>
      <c r="DF53" s="640"/>
      <c r="DG53" s="640"/>
      <c r="DH53" s="640"/>
      <c r="DI53" s="641"/>
      <c r="DJ53" s="641"/>
      <c r="DK53" s="641"/>
      <c r="DL53" s="641"/>
      <c r="DM53" s="641"/>
      <c r="DN53" s="641"/>
      <c r="DO53" s="641"/>
      <c r="DP53" s="576"/>
      <c r="DQ53" s="576"/>
      <c r="DR53" s="576"/>
      <c r="DS53" s="576"/>
      <c r="DT53" s="576"/>
      <c r="DU53" s="576"/>
      <c r="DV53" s="576"/>
      <c r="DW53" s="576"/>
      <c r="DX53" s="576"/>
      <c r="DY53" s="576"/>
      <c r="DZ53" s="576"/>
      <c r="EA53" s="576"/>
      <c r="EB53" s="576"/>
      <c r="EC53" s="576"/>
      <c r="ED53" s="576"/>
      <c r="EE53" s="576"/>
      <c r="EF53" s="576"/>
      <c r="EG53" s="576"/>
      <c r="EH53" s="576"/>
    </row>
    <row r="54" spans="1:138" s="14" customFormat="1" x14ac:dyDescent="0.25">
      <c r="A54" s="8">
        <v>50</v>
      </c>
      <c r="B54" s="4" t="s">
        <v>744</v>
      </c>
      <c r="C54" s="4"/>
      <c r="D54" s="4" t="s">
        <v>59</v>
      </c>
      <c r="E54" s="4" t="s">
        <v>75</v>
      </c>
      <c r="F54" s="19" t="s">
        <v>8</v>
      </c>
      <c r="G54" s="19" t="s">
        <v>837</v>
      </c>
      <c r="H54" s="556" t="s">
        <v>837</v>
      </c>
      <c r="I54" s="556" t="s">
        <v>837</v>
      </c>
      <c r="J54" s="556" t="s">
        <v>837</v>
      </c>
      <c r="K54" s="556" t="s">
        <v>837</v>
      </c>
      <c r="L54" s="556" t="s">
        <v>837</v>
      </c>
      <c r="M54" s="556" t="s">
        <v>837</v>
      </c>
      <c r="N54" s="556" t="s">
        <v>837</v>
      </c>
      <c r="O54" s="556" t="s">
        <v>837</v>
      </c>
      <c r="P54" s="556" t="s">
        <v>837</v>
      </c>
      <c r="Q54" s="556" t="s">
        <v>837</v>
      </c>
      <c r="R54" s="556" t="s">
        <v>837</v>
      </c>
      <c r="S54" s="556" t="s">
        <v>837</v>
      </c>
      <c r="T54" s="556" t="s">
        <v>837</v>
      </c>
      <c r="U54" s="556" t="s">
        <v>837</v>
      </c>
      <c r="V54" s="556" t="s">
        <v>837</v>
      </c>
      <c r="W54" s="556" t="s">
        <v>837</v>
      </c>
      <c r="X54" s="556" t="s">
        <v>837</v>
      </c>
      <c r="Y54" s="556" t="s">
        <v>837</v>
      </c>
      <c r="Z54" s="556" t="s">
        <v>837</v>
      </c>
      <c r="AA54" s="556" t="s">
        <v>837</v>
      </c>
      <c r="AB54" s="556" t="s">
        <v>837</v>
      </c>
      <c r="AC54" s="556" t="s">
        <v>837</v>
      </c>
      <c r="AD54" s="556" t="s">
        <v>837</v>
      </c>
      <c r="AE54" s="556" t="s">
        <v>837</v>
      </c>
      <c r="AF54" s="556" t="s">
        <v>837</v>
      </c>
      <c r="AG54" s="556" t="s">
        <v>837</v>
      </c>
      <c r="AH54" s="556" t="s">
        <v>837</v>
      </c>
      <c r="AI54" s="556" t="s">
        <v>837</v>
      </c>
      <c r="AJ54" s="556" t="s">
        <v>837</v>
      </c>
      <c r="AK54" s="556" t="s">
        <v>837</v>
      </c>
      <c r="AL54" s="556" t="s">
        <v>837</v>
      </c>
      <c r="AM54" s="556" t="s">
        <v>837</v>
      </c>
      <c r="AN54" s="556" t="s">
        <v>837</v>
      </c>
      <c r="AO54" s="556" t="s">
        <v>837</v>
      </c>
      <c r="AP54" s="556" t="s">
        <v>837</v>
      </c>
      <c r="AQ54" s="556" t="s">
        <v>837</v>
      </c>
      <c r="AR54" s="556" t="s">
        <v>837</v>
      </c>
      <c r="AS54" s="556" t="s">
        <v>837</v>
      </c>
      <c r="AT54" s="556" t="s">
        <v>837</v>
      </c>
      <c r="AU54" s="556" t="s">
        <v>837</v>
      </c>
      <c r="AV54" s="556" t="s">
        <v>837</v>
      </c>
      <c r="AW54" s="556" t="s">
        <v>837</v>
      </c>
      <c r="AX54" s="556" t="s">
        <v>837</v>
      </c>
      <c r="AY54" s="556" t="s">
        <v>837</v>
      </c>
      <c r="AZ54" s="556" t="s">
        <v>837</v>
      </c>
      <c r="BA54" s="556" t="s">
        <v>837</v>
      </c>
      <c r="BB54" s="556" t="s">
        <v>837</v>
      </c>
      <c r="BC54" s="556" t="s">
        <v>837</v>
      </c>
      <c r="BD54" s="556" t="s">
        <v>837</v>
      </c>
      <c r="BE54" s="556" t="s">
        <v>837</v>
      </c>
      <c r="BF54" s="612"/>
      <c r="BG54" s="612"/>
      <c r="BH54" s="612"/>
      <c r="BI54" s="576"/>
      <c r="BJ54" s="576"/>
      <c r="BK54" s="576"/>
      <c r="BL54" s="602"/>
      <c r="BM54" s="553" t="s">
        <v>837</v>
      </c>
      <c r="BN54" s="612" t="s">
        <v>837</v>
      </c>
      <c r="BO54" s="576"/>
      <c r="BP54" s="606"/>
      <c r="BQ54" s="576"/>
      <c r="BR54" s="570"/>
      <c r="BS54" s="547"/>
      <c r="BT54" s="549"/>
      <c r="BU54" s="549"/>
      <c r="BV54" s="549"/>
      <c r="BW54" s="549"/>
      <c r="BX54" s="549"/>
      <c r="BY54" s="549"/>
      <c r="BZ54" s="549"/>
      <c r="CA54" s="549"/>
      <c r="CB54" s="549"/>
      <c r="CC54" s="549"/>
      <c r="CD54" s="548"/>
      <c r="CE54" s="547"/>
      <c r="CF54" s="549"/>
      <c r="CG54" s="549"/>
      <c r="CH54" s="549"/>
      <c r="CI54" s="549"/>
      <c r="CJ54" s="549"/>
      <c r="CK54" s="549"/>
      <c r="CL54" s="549"/>
      <c r="CM54" s="549"/>
      <c r="CN54" s="548"/>
      <c r="CO54" s="640"/>
      <c r="CP54" s="640"/>
      <c r="CQ54" s="640"/>
      <c r="CR54" s="640"/>
      <c r="CS54" s="640"/>
      <c r="CT54" s="640"/>
      <c r="CU54" s="640"/>
      <c r="CV54" s="640"/>
      <c r="CW54" s="640"/>
      <c r="CX54" s="640"/>
      <c r="CY54" s="640"/>
      <c r="CZ54" s="640"/>
      <c r="DA54" s="640"/>
      <c r="DB54" s="640"/>
      <c r="DC54" s="640"/>
      <c r="DD54" s="640"/>
      <c r="DE54" s="640"/>
      <c r="DF54" s="640"/>
      <c r="DG54" s="640"/>
      <c r="DH54" s="640"/>
      <c r="DI54" s="641"/>
      <c r="DJ54" s="641"/>
      <c r="DK54" s="641"/>
      <c r="DL54" s="641"/>
      <c r="DM54" s="641"/>
      <c r="DN54" s="641"/>
      <c r="DO54" s="641"/>
      <c r="DP54" s="576"/>
      <c r="DQ54" s="576"/>
      <c r="DR54" s="576"/>
      <c r="DS54" s="576"/>
      <c r="DT54" s="576"/>
      <c r="DU54" s="576"/>
      <c r="DV54" s="576"/>
      <c r="DW54" s="576"/>
      <c r="DX54" s="576"/>
      <c r="DY54" s="576"/>
      <c r="DZ54" s="576"/>
      <c r="EA54" s="576"/>
      <c r="EB54" s="576"/>
      <c r="EC54" s="576"/>
      <c r="ED54" s="576"/>
      <c r="EE54" s="576"/>
      <c r="EF54" s="576"/>
      <c r="EG54" s="576"/>
      <c r="EH54" s="576"/>
    </row>
    <row r="55" spans="1:138" s="14" customFormat="1" x14ac:dyDescent="0.25">
      <c r="A55" s="8">
        <v>51</v>
      </c>
      <c r="B55" s="4" t="s">
        <v>715</v>
      </c>
      <c r="C55" s="4"/>
      <c r="D55" s="4" t="s">
        <v>52</v>
      </c>
      <c r="E55" s="4" t="s">
        <v>74</v>
      </c>
      <c r="F55" s="19" t="s">
        <v>8</v>
      </c>
      <c r="G55" s="19" t="s">
        <v>837</v>
      </c>
      <c r="H55" s="556" t="s">
        <v>837</v>
      </c>
      <c r="I55" s="556" t="s">
        <v>837</v>
      </c>
      <c r="J55" s="556" t="s">
        <v>837</v>
      </c>
      <c r="K55" s="556">
        <v>10004</v>
      </c>
      <c r="L55" s="556">
        <v>10005</v>
      </c>
      <c r="M55" s="556" t="s">
        <v>837</v>
      </c>
      <c r="N55" s="556" t="s">
        <v>837</v>
      </c>
      <c r="O55" s="556" t="s">
        <v>837</v>
      </c>
      <c r="P55" s="556">
        <v>10004</v>
      </c>
      <c r="Q55" s="556">
        <v>10005</v>
      </c>
      <c r="R55" s="556" t="s">
        <v>837</v>
      </c>
      <c r="S55" s="556" t="s">
        <v>837</v>
      </c>
      <c r="T55" s="556" t="s">
        <v>837</v>
      </c>
      <c r="U55" s="556">
        <v>10004</v>
      </c>
      <c r="V55" s="556">
        <v>10005</v>
      </c>
      <c r="W55" s="556" t="s">
        <v>837</v>
      </c>
      <c r="X55" s="556" t="s">
        <v>837</v>
      </c>
      <c r="Y55" s="556" t="s">
        <v>837</v>
      </c>
      <c r="Z55" s="556" t="s">
        <v>837</v>
      </c>
      <c r="AA55" s="556" t="s">
        <v>837</v>
      </c>
      <c r="AB55" s="556" t="s">
        <v>837</v>
      </c>
      <c r="AC55" s="556" t="s">
        <v>837</v>
      </c>
      <c r="AD55" s="556" t="s">
        <v>837</v>
      </c>
      <c r="AE55" s="556">
        <v>10004</v>
      </c>
      <c r="AF55" s="556">
        <v>10005</v>
      </c>
      <c r="AG55" s="556" t="s">
        <v>837</v>
      </c>
      <c r="AH55" s="556" t="s">
        <v>837</v>
      </c>
      <c r="AI55" s="556" t="s">
        <v>837</v>
      </c>
      <c r="AJ55" s="556" t="s">
        <v>837</v>
      </c>
      <c r="AK55" s="556">
        <v>10005</v>
      </c>
      <c r="AL55" s="556" t="s">
        <v>837</v>
      </c>
      <c r="AM55" s="556" t="s">
        <v>837</v>
      </c>
      <c r="AN55" s="556" t="s">
        <v>837</v>
      </c>
      <c r="AO55" s="556" t="s">
        <v>837</v>
      </c>
      <c r="AP55" s="556">
        <v>10005</v>
      </c>
      <c r="AQ55" s="556" t="s">
        <v>837</v>
      </c>
      <c r="AR55" s="556" t="s">
        <v>837</v>
      </c>
      <c r="AS55" s="556" t="s">
        <v>837</v>
      </c>
      <c r="AT55" s="556" t="s">
        <v>837</v>
      </c>
      <c r="AU55" s="556">
        <v>10005</v>
      </c>
      <c r="AV55" s="556" t="s">
        <v>837</v>
      </c>
      <c r="AW55" s="556" t="s">
        <v>837</v>
      </c>
      <c r="AX55" s="556" t="s">
        <v>837</v>
      </c>
      <c r="AY55" s="556" t="s">
        <v>837</v>
      </c>
      <c r="AZ55" s="556" t="s">
        <v>837</v>
      </c>
      <c r="BA55" s="556" t="s">
        <v>837</v>
      </c>
      <c r="BB55" s="556" t="s">
        <v>837</v>
      </c>
      <c r="BC55" s="556" t="s">
        <v>837</v>
      </c>
      <c r="BD55" s="556" t="s">
        <v>837</v>
      </c>
      <c r="BE55" s="556">
        <v>10005</v>
      </c>
      <c r="BF55" s="636"/>
      <c r="BG55" s="636"/>
      <c r="BH55" s="636"/>
      <c r="BI55" s="576"/>
      <c r="BJ55" s="576"/>
      <c r="BK55" s="576"/>
      <c r="BL55" s="602"/>
      <c r="BM55" s="553" t="s">
        <v>837</v>
      </c>
      <c r="BN55" s="612" t="s">
        <v>837</v>
      </c>
      <c r="BO55" s="576"/>
      <c r="BP55" s="606"/>
      <c r="BQ55" s="576"/>
      <c r="BR55" s="570"/>
      <c r="BS55" s="547"/>
      <c r="BT55" s="549"/>
      <c r="BU55" s="549"/>
      <c r="BV55" s="549"/>
      <c r="BW55" s="549"/>
      <c r="BX55" s="549"/>
      <c r="BY55" s="549"/>
      <c r="BZ55" s="549"/>
      <c r="CA55" s="549"/>
      <c r="CB55" s="549"/>
      <c r="CC55" s="549"/>
      <c r="CD55" s="548"/>
      <c r="CE55" s="547"/>
      <c r="CF55" s="549"/>
      <c r="CG55" s="549"/>
      <c r="CH55" s="549"/>
      <c r="CI55" s="549"/>
      <c r="CJ55" s="549"/>
      <c r="CK55" s="549"/>
      <c r="CL55" s="549"/>
      <c r="CM55" s="549"/>
      <c r="CN55" s="548"/>
      <c r="CO55" s="640"/>
      <c r="CP55" s="640"/>
      <c r="CQ55" s="640"/>
      <c r="CR55" s="640"/>
      <c r="CS55" s="640"/>
      <c r="CT55" s="640"/>
      <c r="CU55" s="640"/>
      <c r="CV55" s="640"/>
      <c r="CW55" s="640"/>
      <c r="CX55" s="640"/>
      <c r="CY55" s="640"/>
      <c r="CZ55" s="640"/>
      <c r="DA55" s="640"/>
      <c r="DB55" s="640"/>
      <c r="DC55" s="645">
        <v>80000</v>
      </c>
      <c r="DD55" s="645">
        <v>80000</v>
      </c>
      <c r="DE55" s="645">
        <v>80000</v>
      </c>
      <c r="DF55" s="645">
        <v>80000</v>
      </c>
      <c r="DG55" s="645">
        <v>80000</v>
      </c>
      <c r="DH55" s="645">
        <v>80000</v>
      </c>
      <c r="DI55" s="641"/>
      <c r="DJ55" s="641"/>
      <c r="DK55" s="641"/>
      <c r="DL55" s="641"/>
      <c r="DM55" s="641"/>
      <c r="DN55" s="641"/>
      <c r="DO55" s="641"/>
      <c r="DP55" s="576"/>
      <c r="DQ55" s="576"/>
      <c r="DR55" s="576"/>
      <c r="DS55" s="576"/>
      <c r="DT55" s="576"/>
      <c r="DU55" s="576"/>
      <c r="DV55" s="576"/>
      <c r="DW55" s="576"/>
      <c r="DX55" s="576"/>
      <c r="DY55" s="576"/>
      <c r="DZ55" s="576"/>
      <c r="EA55" s="576"/>
      <c r="EB55" s="576"/>
      <c r="EC55" s="576"/>
      <c r="ED55" s="576"/>
      <c r="EE55" s="576"/>
      <c r="EF55" s="576"/>
      <c r="EG55" s="576"/>
      <c r="EH55" s="576"/>
    </row>
    <row r="56" spans="1:138" s="14" customFormat="1" x14ac:dyDescent="0.25">
      <c r="A56" s="8">
        <v>52</v>
      </c>
      <c r="B56" s="4" t="s">
        <v>716</v>
      </c>
      <c r="C56" s="4"/>
      <c r="D56" s="4" t="s">
        <v>52</v>
      </c>
      <c r="E56" s="4" t="s">
        <v>75</v>
      </c>
      <c r="F56" s="19" t="s">
        <v>8</v>
      </c>
      <c r="G56" s="19" t="s">
        <v>837</v>
      </c>
      <c r="H56" s="556" t="s">
        <v>837</v>
      </c>
      <c r="I56" s="556" t="s">
        <v>837</v>
      </c>
      <c r="J56" s="556" t="s">
        <v>837</v>
      </c>
      <c r="K56" s="556" t="s">
        <v>837</v>
      </c>
      <c r="L56" s="556" t="s">
        <v>837</v>
      </c>
      <c r="M56" s="556" t="s">
        <v>837</v>
      </c>
      <c r="N56" s="556" t="s">
        <v>837</v>
      </c>
      <c r="O56" s="556" t="s">
        <v>837</v>
      </c>
      <c r="P56" s="556" t="s">
        <v>837</v>
      </c>
      <c r="Q56" s="556" t="s">
        <v>837</v>
      </c>
      <c r="R56" s="556" t="s">
        <v>837</v>
      </c>
      <c r="S56" s="556" t="s">
        <v>837</v>
      </c>
      <c r="T56" s="556" t="s">
        <v>837</v>
      </c>
      <c r="U56" s="556" t="s">
        <v>837</v>
      </c>
      <c r="V56" s="556" t="s">
        <v>837</v>
      </c>
      <c r="W56" s="556" t="s">
        <v>837</v>
      </c>
      <c r="X56" s="556" t="s">
        <v>837</v>
      </c>
      <c r="Y56" s="556" t="s">
        <v>837</v>
      </c>
      <c r="Z56" s="556" t="s">
        <v>837</v>
      </c>
      <c r="AA56" s="556" t="s">
        <v>837</v>
      </c>
      <c r="AB56" s="556" t="s">
        <v>837</v>
      </c>
      <c r="AC56" s="556" t="s">
        <v>837</v>
      </c>
      <c r="AD56" s="556" t="s">
        <v>837</v>
      </c>
      <c r="AE56" s="556" t="s">
        <v>837</v>
      </c>
      <c r="AF56" s="556" t="s">
        <v>837</v>
      </c>
      <c r="AG56" s="556" t="s">
        <v>837</v>
      </c>
      <c r="AH56" s="556" t="s">
        <v>837</v>
      </c>
      <c r="AI56" s="556" t="s">
        <v>837</v>
      </c>
      <c r="AJ56" s="556" t="s">
        <v>837</v>
      </c>
      <c r="AK56" s="556" t="s">
        <v>837</v>
      </c>
      <c r="AL56" s="556" t="s">
        <v>837</v>
      </c>
      <c r="AM56" s="556" t="s">
        <v>837</v>
      </c>
      <c r="AN56" s="556" t="s">
        <v>837</v>
      </c>
      <c r="AO56" s="556" t="s">
        <v>837</v>
      </c>
      <c r="AP56" s="556" t="s">
        <v>837</v>
      </c>
      <c r="AQ56" s="556" t="s">
        <v>837</v>
      </c>
      <c r="AR56" s="556" t="s">
        <v>837</v>
      </c>
      <c r="AS56" s="556" t="s">
        <v>837</v>
      </c>
      <c r="AT56" s="556" t="s">
        <v>837</v>
      </c>
      <c r="AU56" s="556" t="s">
        <v>837</v>
      </c>
      <c r="AV56" s="556" t="s">
        <v>837</v>
      </c>
      <c r="AW56" s="556" t="s">
        <v>837</v>
      </c>
      <c r="AX56" s="556" t="s">
        <v>837</v>
      </c>
      <c r="AY56" s="556" t="s">
        <v>837</v>
      </c>
      <c r="AZ56" s="556" t="s">
        <v>837</v>
      </c>
      <c r="BA56" s="556" t="s">
        <v>837</v>
      </c>
      <c r="BB56" s="556" t="s">
        <v>837</v>
      </c>
      <c r="BC56" s="556" t="s">
        <v>837</v>
      </c>
      <c r="BD56" s="556" t="s">
        <v>837</v>
      </c>
      <c r="BE56" s="556" t="s">
        <v>837</v>
      </c>
      <c r="BF56" s="612"/>
      <c r="BG56" s="612"/>
      <c r="BH56" s="612"/>
      <c r="BI56" s="576"/>
      <c r="BJ56" s="576"/>
      <c r="BK56" s="576"/>
      <c r="BL56" s="602"/>
      <c r="BM56" s="553" t="s">
        <v>837</v>
      </c>
      <c r="BN56" s="612" t="s">
        <v>837</v>
      </c>
      <c r="BO56" s="576"/>
      <c r="BP56" s="606"/>
      <c r="BQ56" s="576"/>
      <c r="BR56" s="570"/>
      <c r="BS56" s="547"/>
      <c r="BT56" s="549"/>
      <c r="BU56" s="549"/>
      <c r="BV56" s="549"/>
      <c r="BW56" s="549"/>
      <c r="BX56" s="549"/>
      <c r="BY56" s="549"/>
      <c r="BZ56" s="549"/>
      <c r="CA56" s="549"/>
      <c r="CB56" s="549"/>
      <c r="CC56" s="549"/>
      <c r="CD56" s="548"/>
      <c r="CE56" s="547"/>
      <c r="CF56" s="549"/>
      <c r="CG56" s="549"/>
      <c r="CH56" s="549"/>
      <c r="CI56" s="549"/>
      <c r="CJ56" s="549"/>
      <c r="CK56" s="549"/>
      <c r="CL56" s="549"/>
      <c r="CM56" s="549"/>
      <c r="CN56" s="548"/>
      <c r="CO56" s="640"/>
      <c r="CP56" s="640"/>
      <c r="CQ56" s="640"/>
      <c r="CR56" s="640"/>
      <c r="CS56" s="640"/>
      <c r="CT56" s="640"/>
      <c r="CU56" s="640"/>
      <c r="CV56" s="640"/>
      <c r="CW56" s="640"/>
      <c r="CX56" s="640"/>
      <c r="CY56" s="640"/>
      <c r="CZ56" s="640"/>
      <c r="DA56" s="640"/>
      <c r="DB56" s="640"/>
      <c r="DC56" s="640"/>
      <c r="DD56" s="640"/>
      <c r="DE56" s="640"/>
      <c r="DF56" s="640"/>
      <c r="DG56" s="640"/>
      <c r="DH56" s="640"/>
      <c r="DI56" s="641"/>
      <c r="DJ56" s="641"/>
      <c r="DK56" s="641"/>
      <c r="DL56" s="641"/>
      <c r="DM56" s="641"/>
      <c r="DN56" s="641"/>
      <c r="DO56" s="641"/>
      <c r="DP56" s="576"/>
      <c r="DQ56" s="576"/>
      <c r="DR56" s="576"/>
      <c r="DS56" s="576"/>
      <c r="DT56" s="576"/>
      <c r="DU56" s="576"/>
      <c r="DV56" s="576"/>
      <c r="DW56" s="576"/>
      <c r="DX56" s="576"/>
      <c r="DY56" s="576"/>
      <c r="DZ56" s="576"/>
      <c r="EA56" s="576"/>
      <c r="EB56" s="576"/>
      <c r="EC56" s="576"/>
      <c r="ED56" s="576"/>
      <c r="EE56" s="576"/>
      <c r="EF56" s="576"/>
      <c r="EG56" s="576"/>
      <c r="EH56" s="576"/>
    </row>
    <row r="57" spans="1:138" s="14" customFormat="1" x14ac:dyDescent="0.25">
      <c r="A57" s="8">
        <v>53</v>
      </c>
      <c r="B57" s="4" t="s">
        <v>13</v>
      </c>
      <c r="C57" s="4"/>
      <c r="D57" s="4" t="s">
        <v>52</v>
      </c>
      <c r="E57" s="4" t="s">
        <v>74</v>
      </c>
      <c r="F57" s="19" t="s">
        <v>8</v>
      </c>
      <c r="G57" s="19" t="s">
        <v>837</v>
      </c>
      <c r="H57" s="556" t="s">
        <v>837</v>
      </c>
      <c r="I57" s="556" t="s">
        <v>837</v>
      </c>
      <c r="J57" s="556" t="s">
        <v>837</v>
      </c>
      <c r="K57" s="556" t="s">
        <v>837</v>
      </c>
      <c r="L57" s="556">
        <v>10005</v>
      </c>
      <c r="M57" s="556" t="s">
        <v>837</v>
      </c>
      <c r="N57" s="556" t="s">
        <v>837</v>
      </c>
      <c r="O57" s="556" t="s">
        <v>837</v>
      </c>
      <c r="P57" s="556" t="s">
        <v>837</v>
      </c>
      <c r="Q57" s="556">
        <v>10005</v>
      </c>
      <c r="R57" s="556" t="s">
        <v>837</v>
      </c>
      <c r="S57" s="556" t="s">
        <v>837</v>
      </c>
      <c r="T57" s="556" t="s">
        <v>837</v>
      </c>
      <c r="U57" s="556" t="s">
        <v>837</v>
      </c>
      <c r="V57" s="556">
        <v>10005</v>
      </c>
      <c r="W57" s="556" t="s">
        <v>837</v>
      </c>
      <c r="X57" s="556" t="s">
        <v>837</v>
      </c>
      <c r="Y57" s="556" t="s">
        <v>837</v>
      </c>
      <c r="Z57" s="556" t="s">
        <v>837</v>
      </c>
      <c r="AA57" s="556" t="s">
        <v>837</v>
      </c>
      <c r="AB57" s="556" t="s">
        <v>837</v>
      </c>
      <c r="AC57" s="556" t="s">
        <v>837</v>
      </c>
      <c r="AD57" s="556" t="s">
        <v>837</v>
      </c>
      <c r="AE57" s="556" t="s">
        <v>837</v>
      </c>
      <c r="AF57" s="556">
        <v>10005</v>
      </c>
      <c r="AG57" s="556" t="s">
        <v>837</v>
      </c>
      <c r="AH57" s="556" t="s">
        <v>837</v>
      </c>
      <c r="AI57" s="556" t="s">
        <v>837</v>
      </c>
      <c r="AJ57" s="556" t="s">
        <v>837</v>
      </c>
      <c r="AK57" s="556" t="s">
        <v>837</v>
      </c>
      <c r="AL57" s="556" t="s">
        <v>837</v>
      </c>
      <c r="AM57" s="556" t="s">
        <v>837</v>
      </c>
      <c r="AN57" s="556" t="s">
        <v>837</v>
      </c>
      <c r="AO57" s="556" t="s">
        <v>837</v>
      </c>
      <c r="AP57" s="556" t="s">
        <v>837</v>
      </c>
      <c r="AQ57" s="556" t="s">
        <v>837</v>
      </c>
      <c r="AR57" s="556" t="s">
        <v>837</v>
      </c>
      <c r="AS57" s="556" t="s">
        <v>837</v>
      </c>
      <c r="AT57" s="556" t="s">
        <v>837</v>
      </c>
      <c r="AU57" s="556" t="s">
        <v>837</v>
      </c>
      <c r="AV57" s="556" t="s">
        <v>837</v>
      </c>
      <c r="AW57" s="556" t="s">
        <v>837</v>
      </c>
      <c r="AX57" s="556" t="s">
        <v>837</v>
      </c>
      <c r="AY57" s="556" t="s">
        <v>837</v>
      </c>
      <c r="AZ57" s="556" t="s">
        <v>837</v>
      </c>
      <c r="BA57" s="556" t="s">
        <v>837</v>
      </c>
      <c r="BB57" s="556" t="s">
        <v>837</v>
      </c>
      <c r="BC57" s="556" t="s">
        <v>837</v>
      </c>
      <c r="BD57" s="556" t="s">
        <v>837</v>
      </c>
      <c r="BE57" s="556" t="s">
        <v>837</v>
      </c>
      <c r="BF57" s="636"/>
      <c r="BG57" s="636"/>
      <c r="BH57" s="636">
        <v>20001</v>
      </c>
      <c r="BI57" s="576"/>
      <c r="BJ57" s="576"/>
      <c r="BK57" s="576"/>
      <c r="BL57" s="602"/>
      <c r="BM57" s="553">
        <v>40001</v>
      </c>
      <c r="BN57" s="612">
        <v>40001</v>
      </c>
      <c r="BO57" s="576"/>
      <c r="BP57" s="606"/>
      <c r="BQ57" s="576"/>
      <c r="BR57" s="570"/>
      <c r="BS57" s="547"/>
      <c r="BT57" s="549"/>
      <c r="BU57" s="549"/>
      <c r="BV57" s="549"/>
      <c r="BW57" s="549"/>
      <c r="BX57" s="549"/>
      <c r="BY57" s="549"/>
      <c r="BZ57" s="549"/>
      <c r="CA57" s="549"/>
      <c r="CB57" s="549"/>
      <c r="CC57" s="549"/>
      <c r="CD57" s="548"/>
      <c r="CE57" s="547"/>
      <c r="CF57" s="549"/>
      <c r="CG57" s="549"/>
      <c r="CH57" s="549"/>
      <c r="CI57" s="549"/>
      <c r="CJ57" s="549"/>
      <c r="CK57" s="549"/>
      <c r="CL57" s="549"/>
      <c r="CM57" s="549"/>
      <c r="CN57" s="548"/>
      <c r="CO57" s="640"/>
      <c r="CP57" s="640"/>
      <c r="CQ57" s="640"/>
      <c r="CR57" s="640"/>
      <c r="CS57" s="640"/>
      <c r="CT57" s="640"/>
      <c r="CU57" s="640"/>
      <c r="CV57" s="640"/>
      <c r="CW57" s="640"/>
      <c r="CX57" s="640"/>
      <c r="CY57" s="640"/>
      <c r="CZ57" s="640"/>
      <c r="DA57" s="640"/>
      <c r="DB57" s="640"/>
      <c r="DC57" s="640"/>
      <c r="DD57" s="640"/>
      <c r="DE57" s="640"/>
      <c r="DF57" s="640"/>
      <c r="DG57" s="640"/>
      <c r="DH57" s="640"/>
      <c r="DI57" s="641"/>
      <c r="DJ57" s="641"/>
      <c r="DK57" s="641"/>
      <c r="DL57" s="641"/>
      <c r="DM57" s="641"/>
      <c r="DN57" s="641"/>
      <c r="DO57" s="641"/>
      <c r="DP57" s="576"/>
      <c r="DQ57" s="576"/>
      <c r="DR57" s="576"/>
      <c r="DS57" s="576"/>
      <c r="DT57" s="576"/>
      <c r="DU57" s="576"/>
      <c r="DV57" s="576"/>
      <c r="DW57" s="576"/>
      <c r="DX57" s="576"/>
      <c r="DY57" s="576"/>
      <c r="DZ57" s="576"/>
      <c r="EA57" s="576"/>
      <c r="EB57" s="576"/>
      <c r="EC57" s="576"/>
      <c r="ED57" s="576"/>
      <c r="EE57" s="576"/>
      <c r="EF57" s="576"/>
      <c r="EG57" s="576"/>
      <c r="EH57" s="576"/>
    </row>
    <row r="58" spans="1:138" s="14" customFormat="1" x14ac:dyDescent="0.25">
      <c r="A58" s="8">
        <v>54</v>
      </c>
      <c r="B58" s="4" t="s">
        <v>12</v>
      </c>
      <c r="C58" s="4"/>
      <c r="D58" s="4" t="s">
        <v>52</v>
      </c>
      <c r="E58" s="4" t="s">
        <v>74</v>
      </c>
      <c r="F58" s="19" t="s">
        <v>8</v>
      </c>
      <c r="G58" s="19" t="s">
        <v>837</v>
      </c>
      <c r="H58" s="556" t="s">
        <v>837</v>
      </c>
      <c r="I58" s="556">
        <v>10002</v>
      </c>
      <c r="J58" s="556" t="s">
        <v>837</v>
      </c>
      <c r="K58" s="556">
        <v>10004</v>
      </c>
      <c r="L58" s="556">
        <v>10005</v>
      </c>
      <c r="M58" s="556" t="s">
        <v>837</v>
      </c>
      <c r="N58" s="556">
        <v>10002</v>
      </c>
      <c r="O58" s="556" t="s">
        <v>837</v>
      </c>
      <c r="P58" s="556">
        <v>10004</v>
      </c>
      <c r="Q58" s="556">
        <v>10005</v>
      </c>
      <c r="R58" s="556" t="s">
        <v>837</v>
      </c>
      <c r="S58" s="556">
        <v>10002</v>
      </c>
      <c r="T58" s="556" t="s">
        <v>837</v>
      </c>
      <c r="U58" s="556">
        <v>10004</v>
      </c>
      <c r="V58" s="556">
        <v>10005</v>
      </c>
      <c r="W58" s="556" t="s">
        <v>837</v>
      </c>
      <c r="X58" s="556" t="s">
        <v>837</v>
      </c>
      <c r="Y58" s="556" t="s">
        <v>837</v>
      </c>
      <c r="Z58" s="556" t="s">
        <v>837</v>
      </c>
      <c r="AA58" s="556" t="s">
        <v>837</v>
      </c>
      <c r="AB58" s="556" t="s">
        <v>837</v>
      </c>
      <c r="AC58" s="556">
        <v>10002</v>
      </c>
      <c r="AD58" s="556" t="s">
        <v>837</v>
      </c>
      <c r="AE58" s="556">
        <v>10004</v>
      </c>
      <c r="AF58" s="556">
        <v>10005</v>
      </c>
      <c r="AG58" s="556" t="s">
        <v>837</v>
      </c>
      <c r="AH58" s="556">
        <v>10002</v>
      </c>
      <c r="AI58" s="556" t="s">
        <v>837</v>
      </c>
      <c r="AJ58" s="556">
        <v>10004</v>
      </c>
      <c r="AK58" s="556">
        <v>10005</v>
      </c>
      <c r="AL58" s="556" t="s">
        <v>837</v>
      </c>
      <c r="AM58" s="556">
        <v>10002</v>
      </c>
      <c r="AN58" s="556" t="s">
        <v>837</v>
      </c>
      <c r="AO58" s="556">
        <v>10004</v>
      </c>
      <c r="AP58" s="556">
        <v>10005</v>
      </c>
      <c r="AQ58" s="556" t="s">
        <v>837</v>
      </c>
      <c r="AR58" s="556">
        <v>10002</v>
      </c>
      <c r="AS58" s="556" t="s">
        <v>837</v>
      </c>
      <c r="AT58" s="556">
        <v>10004</v>
      </c>
      <c r="AU58" s="556">
        <v>10005</v>
      </c>
      <c r="AV58" s="556" t="s">
        <v>837</v>
      </c>
      <c r="AW58" s="556" t="s">
        <v>837</v>
      </c>
      <c r="AX58" s="556" t="s">
        <v>837</v>
      </c>
      <c r="AY58" s="556" t="s">
        <v>837</v>
      </c>
      <c r="AZ58" s="556" t="s">
        <v>837</v>
      </c>
      <c r="BA58" s="556" t="s">
        <v>837</v>
      </c>
      <c r="BB58" s="556">
        <v>10002</v>
      </c>
      <c r="BC58" s="556" t="s">
        <v>837</v>
      </c>
      <c r="BD58" s="556">
        <v>10004</v>
      </c>
      <c r="BE58" s="556">
        <v>10005</v>
      </c>
      <c r="BF58" s="636"/>
      <c r="BG58" s="636"/>
      <c r="BH58" s="636">
        <v>20001</v>
      </c>
      <c r="BI58" s="576"/>
      <c r="BJ58" s="576"/>
      <c r="BK58" s="576"/>
      <c r="BL58" s="602"/>
      <c r="BM58" s="553">
        <v>40001</v>
      </c>
      <c r="BN58" s="612">
        <v>40001</v>
      </c>
      <c r="BO58" s="576"/>
      <c r="BP58" s="606"/>
      <c r="BQ58" s="576"/>
      <c r="BR58" s="570"/>
      <c r="BS58" s="547"/>
      <c r="BT58" s="549"/>
      <c r="BU58" s="549"/>
      <c r="BV58" s="549"/>
      <c r="BW58" s="549"/>
      <c r="BX58" s="549"/>
      <c r="BY58" s="549"/>
      <c r="BZ58" s="549"/>
      <c r="CA58" s="549"/>
      <c r="CB58" s="549"/>
      <c r="CC58" s="549"/>
      <c r="CD58" s="548"/>
      <c r="CE58" s="547"/>
      <c r="CF58" s="549"/>
      <c r="CG58" s="549"/>
      <c r="CH58" s="549"/>
      <c r="CI58" s="549"/>
      <c r="CJ58" s="549"/>
      <c r="CK58" s="549"/>
      <c r="CL58" s="549"/>
      <c r="CM58" s="549"/>
      <c r="CN58" s="548"/>
      <c r="CO58" s="640"/>
      <c r="CP58" s="640"/>
      <c r="CQ58" s="640"/>
      <c r="CR58" s="640"/>
      <c r="CS58" s="640"/>
      <c r="CT58" s="640"/>
      <c r="CU58" s="640"/>
      <c r="CV58" s="640"/>
      <c r="CW58" s="640"/>
      <c r="CX58" s="640"/>
      <c r="CY58" s="640"/>
      <c r="CZ58" s="640"/>
      <c r="DA58" s="640"/>
      <c r="DB58" s="640"/>
      <c r="DC58" s="645">
        <v>80000</v>
      </c>
      <c r="DD58" s="645">
        <v>80000</v>
      </c>
      <c r="DE58" s="645">
        <v>80000</v>
      </c>
      <c r="DF58" s="645">
        <v>80000</v>
      </c>
      <c r="DG58" s="645">
        <v>80000</v>
      </c>
      <c r="DH58" s="645">
        <v>80000</v>
      </c>
      <c r="DI58" s="641"/>
      <c r="DJ58" s="641"/>
      <c r="DK58" s="641"/>
      <c r="DL58" s="641"/>
      <c r="DM58" s="641"/>
      <c r="DN58" s="641"/>
      <c r="DO58" s="641"/>
      <c r="DP58" s="576"/>
      <c r="DQ58" s="576"/>
      <c r="DR58" s="576"/>
      <c r="DS58" s="576"/>
      <c r="DT58" s="576"/>
      <c r="DU58" s="576"/>
      <c r="DV58" s="576"/>
      <c r="DW58" s="576"/>
      <c r="DX58" s="576"/>
      <c r="DY58" s="576"/>
      <c r="DZ58" s="576"/>
      <c r="EA58" s="576"/>
      <c r="EB58" s="576"/>
      <c r="EC58" s="576"/>
      <c r="ED58" s="576"/>
      <c r="EE58" s="576"/>
      <c r="EF58" s="576"/>
      <c r="EG58" s="576"/>
      <c r="EH58" s="576"/>
    </row>
    <row r="59" spans="1:138" s="14" customFormat="1" x14ac:dyDescent="0.25">
      <c r="A59" s="8">
        <v>55</v>
      </c>
      <c r="B59" s="4" t="s">
        <v>26</v>
      </c>
      <c r="C59" s="4"/>
      <c r="D59" s="4" t="s">
        <v>52</v>
      </c>
      <c r="E59" s="4" t="s">
        <v>75</v>
      </c>
      <c r="F59" s="19" t="s">
        <v>8</v>
      </c>
      <c r="G59" s="19" t="s">
        <v>837</v>
      </c>
      <c r="H59" s="556" t="s">
        <v>837</v>
      </c>
      <c r="I59" s="556" t="s">
        <v>837</v>
      </c>
      <c r="J59" s="556" t="s">
        <v>837</v>
      </c>
      <c r="K59" s="556" t="s">
        <v>837</v>
      </c>
      <c r="L59" s="556" t="s">
        <v>837</v>
      </c>
      <c r="M59" s="556" t="s">
        <v>837</v>
      </c>
      <c r="N59" s="556" t="s">
        <v>837</v>
      </c>
      <c r="O59" s="556" t="s">
        <v>837</v>
      </c>
      <c r="P59" s="556" t="s">
        <v>837</v>
      </c>
      <c r="Q59" s="556" t="s">
        <v>837</v>
      </c>
      <c r="R59" s="556" t="s">
        <v>837</v>
      </c>
      <c r="S59" s="556" t="s">
        <v>837</v>
      </c>
      <c r="T59" s="556" t="s">
        <v>837</v>
      </c>
      <c r="U59" s="556" t="s">
        <v>837</v>
      </c>
      <c r="V59" s="556" t="s">
        <v>837</v>
      </c>
      <c r="W59" s="556" t="s">
        <v>837</v>
      </c>
      <c r="X59" s="556" t="s">
        <v>837</v>
      </c>
      <c r="Y59" s="556" t="s">
        <v>837</v>
      </c>
      <c r="Z59" s="556" t="s">
        <v>837</v>
      </c>
      <c r="AA59" s="556" t="s">
        <v>837</v>
      </c>
      <c r="AB59" s="556" t="s">
        <v>837</v>
      </c>
      <c r="AC59" s="556" t="s">
        <v>837</v>
      </c>
      <c r="AD59" s="556" t="s">
        <v>837</v>
      </c>
      <c r="AE59" s="556" t="s">
        <v>837</v>
      </c>
      <c r="AF59" s="556" t="s">
        <v>837</v>
      </c>
      <c r="AG59" s="556" t="s">
        <v>837</v>
      </c>
      <c r="AH59" s="556" t="s">
        <v>837</v>
      </c>
      <c r="AI59" s="556" t="s">
        <v>837</v>
      </c>
      <c r="AJ59" s="556" t="s">
        <v>837</v>
      </c>
      <c r="AK59" s="556" t="s">
        <v>837</v>
      </c>
      <c r="AL59" s="556" t="s">
        <v>837</v>
      </c>
      <c r="AM59" s="556" t="s">
        <v>837</v>
      </c>
      <c r="AN59" s="556" t="s">
        <v>837</v>
      </c>
      <c r="AO59" s="556" t="s">
        <v>837</v>
      </c>
      <c r="AP59" s="556" t="s">
        <v>837</v>
      </c>
      <c r="AQ59" s="556" t="s">
        <v>837</v>
      </c>
      <c r="AR59" s="556" t="s">
        <v>837</v>
      </c>
      <c r="AS59" s="556" t="s">
        <v>837</v>
      </c>
      <c r="AT59" s="556" t="s">
        <v>837</v>
      </c>
      <c r="AU59" s="556" t="s">
        <v>837</v>
      </c>
      <c r="AV59" s="556" t="s">
        <v>837</v>
      </c>
      <c r="AW59" s="556" t="s">
        <v>837</v>
      </c>
      <c r="AX59" s="556" t="s">
        <v>837</v>
      </c>
      <c r="AY59" s="556" t="s">
        <v>837</v>
      </c>
      <c r="AZ59" s="556" t="s">
        <v>837</v>
      </c>
      <c r="BA59" s="556" t="s">
        <v>837</v>
      </c>
      <c r="BB59" s="556" t="s">
        <v>837</v>
      </c>
      <c r="BC59" s="556" t="s">
        <v>837</v>
      </c>
      <c r="BD59" s="556" t="s">
        <v>837</v>
      </c>
      <c r="BE59" s="556" t="s">
        <v>837</v>
      </c>
      <c r="BF59" s="612"/>
      <c r="BG59" s="612"/>
      <c r="BH59" s="612"/>
      <c r="BI59" s="576"/>
      <c r="BJ59" s="576"/>
      <c r="BK59" s="576"/>
      <c r="BL59" s="602"/>
      <c r="BM59" s="553" t="s">
        <v>837</v>
      </c>
      <c r="BN59" s="612" t="s">
        <v>837</v>
      </c>
      <c r="BO59" s="576"/>
      <c r="BP59" s="606"/>
      <c r="BQ59" s="576"/>
      <c r="BR59" s="570"/>
      <c r="BS59" s="547"/>
      <c r="BT59" s="549"/>
      <c r="BU59" s="549"/>
      <c r="BV59" s="549"/>
      <c r="BW59" s="549"/>
      <c r="BX59" s="549"/>
      <c r="BY59" s="549"/>
      <c r="BZ59" s="549"/>
      <c r="CA59" s="549"/>
      <c r="CB59" s="549"/>
      <c r="CC59" s="549"/>
      <c r="CD59" s="548"/>
      <c r="CE59" s="547"/>
      <c r="CF59" s="549"/>
      <c r="CG59" s="549"/>
      <c r="CH59" s="549"/>
      <c r="CI59" s="549"/>
      <c r="CJ59" s="549"/>
      <c r="CK59" s="549"/>
      <c r="CL59" s="549"/>
      <c r="CM59" s="549"/>
      <c r="CN59" s="548"/>
      <c r="CO59" s="640"/>
      <c r="CP59" s="640"/>
      <c r="CQ59" s="640"/>
      <c r="CR59" s="640"/>
      <c r="CS59" s="640"/>
      <c r="CT59" s="640"/>
      <c r="CU59" s="640"/>
      <c r="CV59" s="640"/>
      <c r="CW59" s="640"/>
      <c r="CX59" s="640"/>
      <c r="CY59" s="640"/>
      <c r="CZ59" s="640"/>
      <c r="DA59" s="640"/>
      <c r="DB59" s="640"/>
      <c r="DC59" s="640"/>
      <c r="DD59" s="640"/>
      <c r="DE59" s="640"/>
      <c r="DF59" s="640"/>
      <c r="DG59" s="640"/>
      <c r="DH59" s="640"/>
      <c r="DI59" s="641"/>
      <c r="DJ59" s="641"/>
      <c r="DK59" s="641"/>
      <c r="DL59" s="641"/>
      <c r="DM59" s="641"/>
      <c r="DN59" s="641"/>
      <c r="DO59" s="641"/>
      <c r="DP59" s="576"/>
      <c r="DQ59" s="576"/>
      <c r="DR59" s="576"/>
      <c r="DS59" s="576"/>
      <c r="DT59" s="576"/>
      <c r="DU59" s="576"/>
      <c r="DV59" s="576"/>
      <c r="DW59" s="576"/>
      <c r="DX59" s="576"/>
      <c r="DY59" s="576"/>
      <c r="DZ59" s="576"/>
      <c r="EA59" s="576"/>
      <c r="EB59" s="576"/>
      <c r="EC59" s="576"/>
      <c r="ED59" s="576"/>
      <c r="EE59" s="576"/>
      <c r="EF59" s="576"/>
      <c r="EG59" s="576"/>
      <c r="EH59" s="576"/>
    </row>
    <row r="60" spans="1:138" s="14" customFormat="1" x14ac:dyDescent="0.25">
      <c r="A60" s="8">
        <v>56</v>
      </c>
      <c r="B60" s="4" t="s">
        <v>27</v>
      </c>
      <c r="C60" s="4"/>
      <c r="D60" s="4" t="s">
        <v>52</v>
      </c>
      <c r="E60" s="4" t="s">
        <v>75</v>
      </c>
      <c r="F60" s="19" t="s">
        <v>8</v>
      </c>
      <c r="G60" s="19" t="s">
        <v>837</v>
      </c>
      <c r="H60" s="556" t="s">
        <v>837</v>
      </c>
      <c r="I60" s="556" t="s">
        <v>837</v>
      </c>
      <c r="J60" s="556" t="s">
        <v>837</v>
      </c>
      <c r="K60" s="556" t="s">
        <v>837</v>
      </c>
      <c r="L60" s="556" t="s">
        <v>837</v>
      </c>
      <c r="M60" s="556" t="s">
        <v>837</v>
      </c>
      <c r="N60" s="556" t="s">
        <v>837</v>
      </c>
      <c r="O60" s="556" t="s">
        <v>837</v>
      </c>
      <c r="P60" s="556" t="s">
        <v>837</v>
      </c>
      <c r="Q60" s="556" t="s">
        <v>837</v>
      </c>
      <c r="R60" s="556" t="s">
        <v>837</v>
      </c>
      <c r="S60" s="556" t="s">
        <v>837</v>
      </c>
      <c r="T60" s="556" t="s">
        <v>837</v>
      </c>
      <c r="U60" s="556" t="s">
        <v>837</v>
      </c>
      <c r="V60" s="556" t="s">
        <v>837</v>
      </c>
      <c r="W60" s="556" t="s">
        <v>837</v>
      </c>
      <c r="X60" s="556" t="s">
        <v>837</v>
      </c>
      <c r="Y60" s="556" t="s">
        <v>837</v>
      </c>
      <c r="Z60" s="556" t="s">
        <v>837</v>
      </c>
      <c r="AA60" s="556" t="s">
        <v>837</v>
      </c>
      <c r="AB60" s="556" t="s">
        <v>837</v>
      </c>
      <c r="AC60" s="556" t="s">
        <v>837</v>
      </c>
      <c r="AD60" s="556" t="s">
        <v>837</v>
      </c>
      <c r="AE60" s="556" t="s">
        <v>837</v>
      </c>
      <c r="AF60" s="556" t="s">
        <v>837</v>
      </c>
      <c r="AG60" s="556" t="s">
        <v>837</v>
      </c>
      <c r="AH60" s="556" t="s">
        <v>837</v>
      </c>
      <c r="AI60" s="556" t="s">
        <v>837</v>
      </c>
      <c r="AJ60" s="556" t="s">
        <v>837</v>
      </c>
      <c r="AK60" s="556" t="s">
        <v>837</v>
      </c>
      <c r="AL60" s="556" t="s">
        <v>837</v>
      </c>
      <c r="AM60" s="556" t="s">
        <v>837</v>
      </c>
      <c r="AN60" s="556" t="s">
        <v>837</v>
      </c>
      <c r="AO60" s="556" t="s">
        <v>837</v>
      </c>
      <c r="AP60" s="556" t="s">
        <v>837</v>
      </c>
      <c r="AQ60" s="556" t="s">
        <v>837</v>
      </c>
      <c r="AR60" s="556" t="s">
        <v>837</v>
      </c>
      <c r="AS60" s="556" t="s">
        <v>837</v>
      </c>
      <c r="AT60" s="556" t="s">
        <v>837</v>
      </c>
      <c r="AU60" s="556" t="s">
        <v>837</v>
      </c>
      <c r="AV60" s="556" t="s">
        <v>837</v>
      </c>
      <c r="AW60" s="556" t="s">
        <v>837</v>
      </c>
      <c r="AX60" s="556" t="s">
        <v>837</v>
      </c>
      <c r="AY60" s="556" t="s">
        <v>837</v>
      </c>
      <c r="AZ60" s="556" t="s">
        <v>837</v>
      </c>
      <c r="BA60" s="556" t="s">
        <v>837</v>
      </c>
      <c r="BB60" s="556" t="s">
        <v>837</v>
      </c>
      <c r="BC60" s="556" t="s">
        <v>837</v>
      </c>
      <c r="BD60" s="556" t="s">
        <v>837</v>
      </c>
      <c r="BE60" s="556" t="s">
        <v>837</v>
      </c>
      <c r="BF60" s="612"/>
      <c r="BG60" s="612"/>
      <c r="BH60" s="612"/>
      <c r="BI60" s="576"/>
      <c r="BJ60" s="576"/>
      <c r="BK60" s="576"/>
      <c r="BL60" s="602"/>
      <c r="BM60" s="553" t="s">
        <v>837</v>
      </c>
      <c r="BN60" s="612" t="s">
        <v>837</v>
      </c>
      <c r="BO60" s="576"/>
      <c r="BP60" s="606"/>
      <c r="BQ60" s="576"/>
      <c r="BR60" s="570"/>
      <c r="BS60" s="547"/>
      <c r="BT60" s="549"/>
      <c r="BU60" s="549"/>
      <c r="BV60" s="549"/>
      <c r="BW60" s="549"/>
      <c r="BX60" s="549"/>
      <c r="BY60" s="549"/>
      <c r="BZ60" s="549"/>
      <c r="CA60" s="549"/>
      <c r="CB60" s="549"/>
      <c r="CC60" s="549"/>
      <c r="CD60" s="548"/>
      <c r="CE60" s="547"/>
      <c r="CF60" s="549"/>
      <c r="CG60" s="549"/>
      <c r="CH60" s="549"/>
      <c r="CI60" s="549"/>
      <c r="CJ60" s="549"/>
      <c r="CK60" s="549"/>
      <c r="CL60" s="549"/>
      <c r="CM60" s="549"/>
      <c r="CN60" s="548"/>
      <c r="CO60" s="640"/>
      <c r="CP60" s="640"/>
      <c r="CQ60" s="640"/>
      <c r="CR60" s="640"/>
      <c r="CS60" s="640"/>
      <c r="CT60" s="640"/>
      <c r="CU60" s="640"/>
      <c r="CV60" s="640"/>
      <c r="CW60" s="640"/>
      <c r="CX60" s="640"/>
      <c r="CY60" s="640"/>
      <c r="CZ60" s="640"/>
      <c r="DA60" s="640"/>
      <c r="DB60" s="640"/>
      <c r="DC60" s="640"/>
      <c r="DD60" s="640"/>
      <c r="DE60" s="640"/>
      <c r="DF60" s="640"/>
      <c r="DG60" s="640"/>
      <c r="DH60" s="640"/>
      <c r="DI60" s="641"/>
      <c r="DJ60" s="641"/>
      <c r="DK60" s="641"/>
      <c r="DL60" s="641"/>
      <c r="DM60" s="641"/>
      <c r="DN60" s="641"/>
      <c r="DO60" s="641"/>
      <c r="DP60" s="576"/>
      <c r="DQ60" s="576"/>
      <c r="DR60" s="576"/>
      <c r="DS60" s="576"/>
      <c r="DT60" s="576"/>
      <c r="DU60" s="576"/>
      <c r="DV60" s="576"/>
      <c r="DW60" s="576"/>
      <c r="DX60" s="576"/>
      <c r="DY60" s="576"/>
      <c r="DZ60" s="576"/>
      <c r="EA60" s="576"/>
      <c r="EB60" s="576"/>
      <c r="EC60" s="576"/>
      <c r="ED60" s="576"/>
      <c r="EE60" s="576"/>
      <c r="EF60" s="576"/>
      <c r="EG60" s="576"/>
      <c r="EH60" s="576"/>
    </row>
    <row r="61" spans="1:138" s="14" customFormat="1" x14ac:dyDescent="0.25">
      <c r="A61" s="8">
        <v>57</v>
      </c>
      <c r="B61" s="4" t="s">
        <v>105</v>
      </c>
      <c r="C61" s="4" t="s">
        <v>106</v>
      </c>
      <c r="D61" s="4" t="s">
        <v>52</v>
      </c>
      <c r="E61" s="4" t="s">
        <v>74</v>
      </c>
      <c r="F61" s="19" t="s">
        <v>8</v>
      </c>
      <c r="G61" s="19" t="s">
        <v>837</v>
      </c>
      <c r="H61" s="556" t="s">
        <v>837</v>
      </c>
      <c r="I61" s="556" t="s">
        <v>837</v>
      </c>
      <c r="J61" s="556" t="s">
        <v>837</v>
      </c>
      <c r="K61" s="556" t="s">
        <v>837</v>
      </c>
      <c r="L61" s="556" t="s">
        <v>837</v>
      </c>
      <c r="M61" s="556" t="s">
        <v>837</v>
      </c>
      <c r="N61" s="556" t="s">
        <v>837</v>
      </c>
      <c r="O61" s="556" t="s">
        <v>837</v>
      </c>
      <c r="P61" s="556" t="s">
        <v>837</v>
      </c>
      <c r="Q61" s="556" t="s">
        <v>837</v>
      </c>
      <c r="R61" s="556" t="s">
        <v>837</v>
      </c>
      <c r="S61" s="556" t="s">
        <v>837</v>
      </c>
      <c r="T61" s="556" t="s">
        <v>837</v>
      </c>
      <c r="U61" s="556" t="s">
        <v>837</v>
      </c>
      <c r="V61" s="556" t="s">
        <v>837</v>
      </c>
      <c r="W61" s="556" t="s">
        <v>837</v>
      </c>
      <c r="X61" s="556" t="s">
        <v>837</v>
      </c>
      <c r="Y61" s="556" t="s">
        <v>837</v>
      </c>
      <c r="Z61" s="556" t="s">
        <v>837</v>
      </c>
      <c r="AA61" s="556" t="s">
        <v>837</v>
      </c>
      <c r="AB61" s="556" t="s">
        <v>837</v>
      </c>
      <c r="AC61" s="556" t="s">
        <v>837</v>
      </c>
      <c r="AD61" s="556" t="s">
        <v>837</v>
      </c>
      <c r="AE61" s="556" t="s">
        <v>837</v>
      </c>
      <c r="AF61" s="556" t="s">
        <v>837</v>
      </c>
      <c r="AG61" s="556" t="s">
        <v>837</v>
      </c>
      <c r="AH61" s="556" t="s">
        <v>837</v>
      </c>
      <c r="AI61" s="556" t="s">
        <v>837</v>
      </c>
      <c r="AJ61" s="556" t="s">
        <v>837</v>
      </c>
      <c r="AK61" s="556" t="s">
        <v>837</v>
      </c>
      <c r="AL61" s="556" t="s">
        <v>837</v>
      </c>
      <c r="AM61" s="556" t="s">
        <v>837</v>
      </c>
      <c r="AN61" s="556" t="s">
        <v>837</v>
      </c>
      <c r="AO61" s="556" t="s">
        <v>837</v>
      </c>
      <c r="AP61" s="556" t="s">
        <v>837</v>
      </c>
      <c r="AQ61" s="556" t="s">
        <v>837</v>
      </c>
      <c r="AR61" s="556" t="s">
        <v>837</v>
      </c>
      <c r="AS61" s="556" t="s">
        <v>837</v>
      </c>
      <c r="AT61" s="556" t="s">
        <v>837</v>
      </c>
      <c r="AU61" s="556" t="s">
        <v>837</v>
      </c>
      <c r="AV61" s="556" t="s">
        <v>837</v>
      </c>
      <c r="AW61" s="556" t="s">
        <v>837</v>
      </c>
      <c r="AX61" s="556" t="s">
        <v>837</v>
      </c>
      <c r="AY61" s="556" t="s">
        <v>837</v>
      </c>
      <c r="AZ61" s="556" t="s">
        <v>837</v>
      </c>
      <c r="BA61" s="556" t="s">
        <v>837</v>
      </c>
      <c r="BB61" s="556" t="s">
        <v>837</v>
      </c>
      <c r="BC61" s="556" t="s">
        <v>837</v>
      </c>
      <c r="BD61" s="556" t="s">
        <v>837</v>
      </c>
      <c r="BE61" s="556" t="s">
        <v>837</v>
      </c>
      <c r="BF61" s="636"/>
      <c r="BG61" s="636"/>
      <c r="BH61" s="636">
        <v>20001</v>
      </c>
      <c r="BI61" s="576"/>
      <c r="BJ61" s="576"/>
      <c r="BK61" s="576"/>
      <c r="BL61" s="602"/>
      <c r="BM61" s="553">
        <v>40001</v>
      </c>
      <c r="BN61" s="612">
        <v>40001</v>
      </c>
      <c r="BO61" s="576"/>
      <c r="BP61" s="606"/>
      <c r="BQ61" s="576"/>
      <c r="BR61" s="570"/>
      <c r="BS61" s="547"/>
      <c r="BT61" s="549"/>
      <c r="BU61" s="549"/>
      <c r="BV61" s="549"/>
      <c r="BW61" s="549"/>
      <c r="BX61" s="549"/>
      <c r="BY61" s="549"/>
      <c r="BZ61" s="549"/>
      <c r="CA61" s="549"/>
      <c r="CB61" s="549"/>
      <c r="CC61" s="549"/>
      <c r="CD61" s="548"/>
      <c r="CE61" s="547"/>
      <c r="CF61" s="549"/>
      <c r="CG61" s="549"/>
      <c r="CH61" s="549"/>
      <c r="CI61" s="549"/>
      <c r="CJ61" s="549"/>
      <c r="CK61" s="549"/>
      <c r="CL61" s="549"/>
      <c r="CM61" s="549"/>
      <c r="CN61" s="548"/>
      <c r="CO61" s="640"/>
      <c r="CP61" s="640"/>
      <c r="CQ61" s="640"/>
      <c r="CR61" s="640"/>
      <c r="CS61" s="640"/>
      <c r="CT61" s="640"/>
      <c r="CU61" s="640"/>
      <c r="CV61" s="640"/>
      <c r="CW61" s="640"/>
      <c r="CX61" s="640"/>
      <c r="CY61" s="640"/>
      <c r="CZ61" s="640"/>
      <c r="DA61" s="640"/>
      <c r="DB61" s="640"/>
      <c r="DC61" s="640"/>
      <c r="DD61" s="640"/>
      <c r="DE61" s="640"/>
      <c r="DF61" s="640"/>
      <c r="DG61" s="640"/>
      <c r="DH61" s="640"/>
      <c r="DI61" s="641"/>
      <c r="DJ61" s="641"/>
      <c r="DK61" s="641"/>
      <c r="DL61" s="641"/>
      <c r="DM61" s="641"/>
      <c r="DN61" s="641"/>
      <c r="DO61" s="641"/>
      <c r="DP61" s="576"/>
      <c r="DQ61" s="576"/>
      <c r="DR61" s="576"/>
      <c r="DS61" s="576"/>
      <c r="DT61" s="576"/>
      <c r="DU61" s="576"/>
      <c r="DV61" s="576"/>
      <c r="DW61" s="576"/>
      <c r="DX61" s="576"/>
      <c r="DY61" s="576"/>
      <c r="DZ61" s="576"/>
      <c r="EA61" s="576"/>
      <c r="EB61" s="576"/>
      <c r="EC61" s="576"/>
      <c r="ED61" s="576"/>
      <c r="EE61" s="576"/>
      <c r="EF61" s="576"/>
      <c r="EG61" s="576"/>
      <c r="EH61" s="576"/>
    </row>
    <row r="62" spans="1:138" s="14" customFormat="1" x14ac:dyDescent="0.25">
      <c r="A62" s="8">
        <v>58</v>
      </c>
      <c r="B62" s="4" t="s">
        <v>749</v>
      </c>
      <c r="C62" s="4"/>
      <c r="D62" s="4" t="s">
        <v>52</v>
      </c>
      <c r="E62" s="4" t="s">
        <v>75</v>
      </c>
      <c r="F62" s="19" t="s">
        <v>8</v>
      </c>
      <c r="G62" s="19" t="s">
        <v>837</v>
      </c>
      <c r="H62" s="556" t="s">
        <v>837</v>
      </c>
      <c r="I62" s="556" t="s">
        <v>837</v>
      </c>
      <c r="J62" s="556" t="s">
        <v>837</v>
      </c>
      <c r="K62" s="556" t="s">
        <v>837</v>
      </c>
      <c r="L62" s="556">
        <v>10005</v>
      </c>
      <c r="M62" s="556" t="s">
        <v>837</v>
      </c>
      <c r="N62" s="556" t="s">
        <v>837</v>
      </c>
      <c r="O62" s="556" t="s">
        <v>837</v>
      </c>
      <c r="P62" s="556" t="s">
        <v>837</v>
      </c>
      <c r="Q62" s="556">
        <v>10005</v>
      </c>
      <c r="R62" s="556" t="s">
        <v>837</v>
      </c>
      <c r="S62" s="556" t="s">
        <v>837</v>
      </c>
      <c r="T62" s="556" t="s">
        <v>837</v>
      </c>
      <c r="U62" s="556" t="s">
        <v>837</v>
      </c>
      <c r="V62" s="556">
        <v>10005</v>
      </c>
      <c r="W62" s="556" t="s">
        <v>837</v>
      </c>
      <c r="X62" s="556" t="s">
        <v>837</v>
      </c>
      <c r="Y62" s="556" t="s">
        <v>837</v>
      </c>
      <c r="Z62" s="556" t="s">
        <v>837</v>
      </c>
      <c r="AA62" s="556" t="s">
        <v>837</v>
      </c>
      <c r="AB62" s="556" t="s">
        <v>837</v>
      </c>
      <c r="AC62" s="556" t="s">
        <v>837</v>
      </c>
      <c r="AD62" s="556" t="s">
        <v>837</v>
      </c>
      <c r="AE62" s="556" t="s">
        <v>837</v>
      </c>
      <c r="AF62" s="556">
        <v>10005</v>
      </c>
      <c r="AG62" s="556" t="s">
        <v>837</v>
      </c>
      <c r="AH62" s="556" t="s">
        <v>837</v>
      </c>
      <c r="AI62" s="556" t="s">
        <v>837</v>
      </c>
      <c r="AJ62" s="556" t="s">
        <v>837</v>
      </c>
      <c r="AK62" s="556">
        <v>10005</v>
      </c>
      <c r="AL62" s="556" t="s">
        <v>837</v>
      </c>
      <c r="AM62" s="556" t="s">
        <v>837</v>
      </c>
      <c r="AN62" s="556" t="s">
        <v>837</v>
      </c>
      <c r="AO62" s="556" t="s">
        <v>837</v>
      </c>
      <c r="AP62" s="556">
        <v>10005</v>
      </c>
      <c r="AQ62" s="556" t="s">
        <v>837</v>
      </c>
      <c r="AR62" s="556" t="s">
        <v>837</v>
      </c>
      <c r="AS62" s="556" t="s">
        <v>837</v>
      </c>
      <c r="AT62" s="556" t="s">
        <v>837</v>
      </c>
      <c r="AU62" s="556">
        <v>10005</v>
      </c>
      <c r="AV62" s="556" t="s">
        <v>837</v>
      </c>
      <c r="AW62" s="556" t="s">
        <v>837</v>
      </c>
      <c r="AX62" s="556" t="s">
        <v>837</v>
      </c>
      <c r="AY62" s="556" t="s">
        <v>837</v>
      </c>
      <c r="AZ62" s="556" t="s">
        <v>837</v>
      </c>
      <c r="BA62" s="556" t="s">
        <v>837</v>
      </c>
      <c r="BB62" s="556" t="s">
        <v>837</v>
      </c>
      <c r="BC62" s="556" t="s">
        <v>837</v>
      </c>
      <c r="BD62" s="556" t="s">
        <v>837</v>
      </c>
      <c r="BE62" s="556">
        <v>10005</v>
      </c>
      <c r="BF62" s="612"/>
      <c r="BG62" s="612"/>
      <c r="BH62" s="612"/>
      <c r="BI62" s="576"/>
      <c r="BJ62" s="576"/>
      <c r="BK62" s="576"/>
      <c r="BL62" s="602"/>
      <c r="BM62" s="553" t="s">
        <v>837</v>
      </c>
      <c r="BN62" s="612" t="s">
        <v>837</v>
      </c>
      <c r="BO62" s="576"/>
      <c r="BP62" s="606"/>
      <c r="BQ62" s="576"/>
      <c r="BR62" s="570"/>
      <c r="BS62" s="547"/>
      <c r="BT62" s="549"/>
      <c r="BU62" s="549"/>
      <c r="BV62" s="549"/>
      <c r="BW62" s="549"/>
      <c r="BX62" s="549"/>
      <c r="BY62" s="549"/>
      <c r="BZ62" s="549"/>
      <c r="CA62" s="549"/>
      <c r="CB62" s="549"/>
      <c r="CC62" s="549"/>
      <c r="CD62" s="548"/>
      <c r="CE62" s="547"/>
      <c r="CF62" s="549"/>
      <c r="CG62" s="549"/>
      <c r="CH62" s="549"/>
      <c r="CI62" s="549"/>
      <c r="CJ62" s="549"/>
      <c r="CK62" s="549"/>
      <c r="CL62" s="549"/>
      <c r="CM62" s="549"/>
      <c r="CN62" s="548"/>
      <c r="CO62" s="640"/>
      <c r="CP62" s="640"/>
      <c r="CQ62" s="640"/>
      <c r="CR62" s="640"/>
      <c r="CS62" s="640"/>
      <c r="CT62" s="640"/>
      <c r="CU62" s="640"/>
      <c r="CV62" s="640"/>
      <c r="CW62" s="640"/>
      <c r="CX62" s="640"/>
      <c r="CY62" s="640"/>
      <c r="CZ62" s="640"/>
      <c r="DA62" s="640"/>
      <c r="DB62" s="640"/>
      <c r="DC62" s="640"/>
      <c r="DD62" s="640"/>
      <c r="DE62" s="640"/>
      <c r="DF62" s="640"/>
      <c r="DG62" s="640"/>
      <c r="DH62" s="640"/>
      <c r="DI62" s="641"/>
      <c r="DJ62" s="641"/>
      <c r="DK62" s="641"/>
      <c r="DL62" s="641"/>
      <c r="DM62" s="641"/>
      <c r="DN62" s="641"/>
      <c r="DO62" s="641"/>
      <c r="DP62" s="576"/>
      <c r="DQ62" s="576"/>
      <c r="DR62" s="576"/>
      <c r="DS62" s="576"/>
      <c r="DT62" s="576"/>
      <c r="DU62" s="576"/>
      <c r="DV62" s="576"/>
      <c r="DW62" s="576"/>
      <c r="DX62" s="576"/>
      <c r="DY62" s="576"/>
      <c r="DZ62" s="576"/>
      <c r="EA62" s="576"/>
      <c r="EB62" s="576"/>
      <c r="EC62" s="576"/>
      <c r="ED62" s="576"/>
      <c r="EE62" s="576"/>
      <c r="EF62" s="576"/>
      <c r="EG62" s="576"/>
      <c r="EH62" s="576"/>
    </row>
    <row r="63" spans="1:138" s="14" customFormat="1" x14ac:dyDescent="0.25">
      <c r="A63" s="8">
        <v>59</v>
      </c>
      <c r="B63" s="4" t="s">
        <v>68</v>
      </c>
      <c r="C63" s="4"/>
      <c r="D63" s="4" t="s">
        <v>60</v>
      </c>
      <c r="E63" s="4" t="s">
        <v>75</v>
      </c>
      <c r="F63" s="19" t="s">
        <v>8</v>
      </c>
      <c r="G63" s="19" t="s">
        <v>837</v>
      </c>
      <c r="H63" s="556" t="s">
        <v>837</v>
      </c>
      <c r="I63" s="556">
        <v>10002</v>
      </c>
      <c r="J63" s="556" t="s">
        <v>837</v>
      </c>
      <c r="K63" s="556">
        <v>10004</v>
      </c>
      <c r="L63" s="556" t="s">
        <v>837</v>
      </c>
      <c r="M63" s="556" t="s">
        <v>837</v>
      </c>
      <c r="N63" s="556">
        <v>10002</v>
      </c>
      <c r="O63" s="556" t="s">
        <v>837</v>
      </c>
      <c r="P63" s="556">
        <v>10004</v>
      </c>
      <c r="Q63" s="556" t="s">
        <v>837</v>
      </c>
      <c r="R63" s="556" t="s">
        <v>837</v>
      </c>
      <c r="S63" s="556">
        <v>10002</v>
      </c>
      <c r="T63" s="556" t="s">
        <v>837</v>
      </c>
      <c r="U63" s="556">
        <v>10004</v>
      </c>
      <c r="V63" s="556" t="s">
        <v>837</v>
      </c>
      <c r="W63" s="556" t="s">
        <v>837</v>
      </c>
      <c r="X63" s="556" t="s">
        <v>837</v>
      </c>
      <c r="Y63" s="556" t="s">
        <v>837</v>
      </c>
      <c r="Z63" s="556" t="s">
        <v>837</v>
      </c>
      <c r="AA63" s="556" t="s">
        <v>837</v>
      </c>
      <c r="AB63" s="556" t="s">
        <v>837</v>
      </c>
      <c r="AC63" s="556">
        <v>10002</v>
      </c>
      <c r="AD63" s="556" t="s">
        <v>837</v>
      </c>
      <c r="AE63" s="556">
        <v>10004</v>
      </c>
      <c r="AF63" s="556" t="s">
        <v>837</v>
      </c>
      <c r="AG63" s="556" t="s">
        <v>837</v>
      </c>
      <c r="AH63" s="556" t="s">
        <v>837</v>
      </c>
      <c r="AI63" s="556" t="s">
        <v>837</v>
      </c>
      <c r="AJ63" s="556" t="s">
        <v>837</v>
      </c>
      <c r="AK63" s="556" t="s">
        <v>837</v>
      </c>
      <c r="AL63" s="556" t="s">
        <v>837</v>
      </c>
      <c r="AM63" s="556" t="s">
        <v>837</v>
      </c>
      <c r="AN63" s="556" t="s">
        <v>837</v>
      </c>
      <c r="AO63" s="556" t="s">
        <v>837</v>
      </c>
      <c r="AP63" s="556" t="s">
        <v>837</v>
      </c>
      <c r="AQ63" s="556" t="s">
        <v>837</v>
      </c>
      <c r="AR63" s="556" t="s">
        <v>837</v>
      </c>
      <c r="AS63" s="556" t="s">
        <v>837</v>
      </c>
      <c r="AT63" s="556" t="s">
        <v>837</v>
      </c>
      <c r="AU63" s="556" t="s">
        <v>837</v>
      </c>
      <c r="AV63" s="556" t="s">
        <v>837</v>
      </c>
      <c r="AW63" s="556" t="s">
        <v>837</v>
      </c>
      <c r="AX63" s="556" t="s">
        <v>837</v>
      </c>
      <c r="AY63" s="556" t="s">
        <v>837</v>
      </c>
      <c r="AZ63" s="556" t="s">
        <v>837</v>
      </c>
      <c r="BA63" s="556" t="s">
        <v>837</v>
      </c>
      <c r="BB63" s="556" t="s">
        <v>837</v>
      </c>
      <c r="BC63" s="556" t="s">
        <v>837</v>
      </c>
      <c r="BD63" s="556" t="s">
        <v>837</v>
      </c>
      <c r="BE63" s="556" t="s">
        <v>837</v>
      </c>
      <c r="BF63" s="612"/>
      <c r="BG63" s="612"/>
      <c r="BH63" s="612"/>
      <c r="BI63" s="576"/>
      <c r="BJ63" s="576"/>
      <c r="BK63" s="576"/>
      <c r="BL63" s="602"/>
      <c r="BM63" s="553" t="s">
        <v>837</v>
      </c>
      <c r="BN63" s="612" t="s">
        <v>837</v>
      </c>
      <c r="BO63" s="576"/>
      <c r="BP63" s="606"/>
      <c r="BQ63" s="576"/>
      <c r="BR63" s="570"/>
      <c r="BS63" s="547"/>
      <c r="BT63" s="549"/>
      <c r="BU63" s="549"/>
      <c r="BV63" s="549"/>
      <c r="BW63" s="549"/>
      <c r="BX63" s="549"/>
      <c r="BY63" s="549"/>
      <c r="BZ63" s="549"/>
      <c r="CA63" s="549"/>
      <c r="CB63" s="549"/>
      <c r="CC63" s="549"/>
      <c r="CD63" s="548"/>
      <c r="CE63" s="547"/>
      <c r="CF63" s="549"/>
      <c r="CG63" s="549"/>
      <c r="CH63" s="549"/>
      <c r="CI63" s="549"/>
      <c r="CJ63" s="549"/>
      <c r="CK63" s="549"/>
      <c r="CL63" s="549"/>
      <c r="CM63" s="549"/>
      <c r="CN63" s="548"/>
      <c r="CO63" s="640"/>
      <c r="CP63" s="640"/>
      <c r="CQ63" s="640"/>
      <c r="CR63" s="640"/>
      <c r="CS63" s="640"/>
      <c r="CT63" s="640"/>
      <c r="CU63" s="640"/>
      <c r="CV63" s="640"/>
      <c r="CW63" s="640"/>
      <c r="CX63" s="640"/>
      <c r="CY63" s="640"/>
      <c r="CZ63" s="640"/>
      <c r="DA63" s="640"/>
      <c r="DB63" s="640"/>
      <c r="DC63" s="640"/>
      <c r="DD63" s="640"/>
      <c r="DE63" s="640"/>
      <c r="DF63" s="640"/>
      <c r="DG63" s="640"/>
      <c r="DH63" s="640"/>
      <c r="DI63" s="641"/>
      <c r="DJ63" s="641"/>
      <c r="DK63" s="641"/>
      <c r="DL63" s="641"/>
      <c r="DM63" s="641"/>
      <c r="DN63" s="641"/>
      <c r="DO63" s="641"/>
      <c r="DP63" s="576"/>
      <c r="DQ63" s="576"/>
      <c r="DR63" s="576"/>
      <c r="DS63" s="576"/>
      <c r="DT63" s="576"/>
      <c r="DU63" s="576"/>
      <c r="DV63" s="576"/>
      <c r="DW63" s="576"/>
      <c r="DX63" s="576"/>
      <c r="DY63" s="576"/>
      <c r="DZ63" s="576"/>
      <c r="EA63" s="576"/>
      <c r="EB63" s="576"/>
      <c r="EC63" s="576"/>
      <c r="ED63" s="576"/>
      <c r="EE63" s="576"/>
      <c r="EF63" s="576"/>
      <c r="EG63" s="576"/>
      <c r="EH63" s="576"/>
    </row>
    <row r="64" spans="1:138" s="14" customFormat="1" x14ac:dyDescent="0.25">
      <c r="A64" s="8">
        <v>60</v>
      </c>
      <c r="B64" s="4" t="s">
        <v>70</v>
      </c>
      <c r="C64" s="4"/>
      <c r="D64" s="4" t="s">
        <v>60</v>
      </c>
      <c r="E64" s="4" t="s">
        <v>75</v>
      </c>
      <c r="F64" s="526"/>
      <c r="G64" s="526" t="s">
        <v>6</v>
      </c>
      <c r="H64" s="556" t="s">
        <v>837</v>
      </c>
      <c r="I64" s="556">
        <v>10002</v>
      </c>
      <c r="J64" s="556" t="s">
        <v>837</v>
      </c>
      <c r="K64" s="556">
        <v>10004</v>
      </c>
      <c r="L64" s="556" t="s">
        <v>837</v>
      </c>
      <c r="M64" s="556" t="s">
        <v>837</v>
      </c>
      <c r="N64" s="556">
        <v>10002</v>
      </c>
      <c r="O64" s="556" t="s">
        <v>837</v>
      </c>
      <c r="P64" s="556">
        <v>10004</v>
      </c>
      <c r="Q64" s="556" t="s">
        <v>837</v>
      </c>
      <c r="R64" s="556"/>
      <c r="S64" s="556" t="s">
        <v>837</v>
      </c>
      <c r="T64" s="556"/>
      <c r="U64" s="556" t="s">
        <v>837</v>
      </c>
      <c r="V64" s="556" t="s">
        <v>837</v>
      </c>
      <c r="W64" s="556" t="s">
        <v>837</v>
      </c>
      <c r="X64" s="556">
        <v>10002</v>
      </c>
      <c r="Y64" s="556" t="s">
        <v>837</v>
      </c>
      <c r="Z64" s="556">
        <v>10004</v>
      </c>
      <c r="AA64" s="556" t="s">
        <v>837</v>
      </c>
      <c r="AB64" s="556" t="s">
        <v>837</v>
      </c>
      <c r="AC64" s="556">
        <v>10002</v>
      </c>
      <c r="AD64" s="556" t="s">
        <v>837</v>
      </c>
      <c r="AE64" s="556">
        <v>10004</v>
      </c>
      <c r="AF64" s="556" t="s">
        <v>837</v>
      </c>
      <c r="AG64" s="556" t="s">
        <v>837</v>
      </c>
      <c r="AH64" s="556" t="s">
        <v>837</v>
      </c>
      <c r="AI64" s="556" t="s">
        <v>837</v>
      </c>
      <c r="AJ64" s="556" t="s">
        <v>837</v>
      </c>
      <c r="AK64" s="556" t="s">
        <v>837</v>
      </c>
      <c r="AL64" s="556" t="s">
        <v>837</v>
      </c>
      <c r="AM64" s="556" t="s">
        <v>837</v>
      </c>
      <c r="AN64" s="556" t="s">
        <v>837</v>
      </c>
      <c r="AO64" s="556" t="s">
        <v>837</v>
      </c>
      <c r="AP64" s="556" t="s">
        <v>837</v>
      </c>
      <c r="AQ64" s="556" t="s">
        <v>837</v>
      </c>
      <c r="AR64" s="556" t="s">
        <v>837</v>
      </c>
      <c r="AS64" s="556" t="s">
        <v>837</v>
      </c>
      <c r="AT64" s="556" t="s">
        <v>837</v>
      </c>
      <c r="AU64" s="556" t="s">
        <v>837</v>
      </c>
      <c r="AV64" s="556" t="s">
        <v>837</v>
      </c>
      <c r="AW64" s="556" t="s">
        <v>837</v>
      </c>
      <c r="AX64" s="556" t="s">
        <v>837</v>
      </c>
      <c r="AY64" s="556" t="s">
        <v>837</v>
      </c>
      <c r="AZ64" s="556" t="s">
        <v>837</v>
      </c>
      <c r="BA64" s="556" t="s">
        <v>837</v>
      </c>
      <c r="BB64" s="556" t="s">
        <v>837</v>
      </c>
      <c r="BC64" s="556" t="s">
        <v>837</v>
      </c>
      <c r="BD64" s="556" t="s">
        <v>837</v>
      </c>
      <c r="BE64" s="556" t="s">
        <v>837</v>
      </c>
      <c r="BF64" s="612"/>
      <c r="BG64" s="612"/>
      <c r="BH64" s="612"/>
      <c r="BI64" s="576"/>
      <c r="BJ64" s="576"/>
      <c r="BK64" s="576"/>
      <c r="BL64" s="602"/>
      <c r="BM64" s="553" t="s">
        <v>837</v>
      </c>
      <c r="BN64" s="612" t="s">
        <v>837</v>
      </c>
      <c r="BO64" s="576"/>
      <c r="BP64" s="606"/>
      <c r="BQ64" s="576"/>
      <c r="BR64" s="570"/>
      <c r="BS64" s="547"/>
      <c r="BT64" s="549"/>
      <c r="BU64" s="549"/>
      <c r="BV64" s="549"/>
      <c r="BW64" s="549"/>
      <c r="BX64" s="549"/>
      <c r="BY64" s="549"/>
      <c r="BZ64" s="549"/>
      <c r="CA64" s="549"/>
      <c r="CB64" s="549"/>
      <c r="CC64" s="549"/>
      <c r="CD64" s="548"/>
      <c r="CE64" s="547"/>
      <c r="CF64" s="549"/>
      <c r="CG64" s="549"/>
      <c r="CH64" s="549"/>
      <c r="CI64" s="549"/>
      <c r="CJ64" s="549"/>
      <c r="CK64" s="549"/>
      <c r="CL64" s="549"/>
      <c r="CM64" s="549"/>
      <c r="CN64" s="548"/>
      <c r="CO64" s="640"/>
      <c r="CP64" s="640"/>
      <c r="CQ64" s="640"/>
      <c r="CR64" s="640"/>
      <c r="CS64" s="640"/>
      <c r="CT64" s="640"/>
      <c r="CU64" s="640"/>
      <c r="CV64" s="640"/>
      <c r="CW64" s="640"/>
      <c r="CX64" s="640"/>
      <c r="CY64" s="640"/>
      <c r="CZ64" s="640"/>
      <c r="DA64" s="640"/>
      <c r="DB64" s="640"/>
      <c r="DC64" s="640"/>
      <c r="DD64" s="640"/>
      <c r="DE64" s="640"/>
      <c r="DF64" s="640"/>
      <c r="DG64" s="640"/>
      <c r="DH64" s="640"/>
      <c r="DI64" s="641"/>
      <c r="DJ64" s="641"/>
      <c r="DK64" s="641"/>
      <c r="DL64" s="641"/>
      <c r="DM64" s="641"/>
      <c r="DN64" s="641"/>
      <c r="DO64" s="641"/>
      <c r="DP64" s="576"/>
      <c r="DQ64" s="576"/>
      <c r="DR64" s="576"/>
      <c r="DS64" s="576"/>
      <c r="DT64" s="576"/>
      <c r="DU64" s="576"/>
      <c r="DV64" s="576"/>
      <c r="DW64" s="576"/>
      <c r="DX64" s="576"/>
      <c r="DY64" s="576"/>
      <c r="DZ64" s="576"/>
      <c r="EA64" s="576"/>
      <c r="EB64" s="576"/>
      <c r="EC64" s="576"/>
      <c r="ED64" s="576"/>
      <c r="EE64" s="576"/>
      <c r="EF64" s="576"/>
      <c r="EG64" s="576"/>
      <c r="EH64" s="576"/>
    </row>
    <row r="65" spans="1:138" s="14" customFormat="1" x14ac:dyDescent="0.25">
      <c r="A65" s="8">
        <v>61</v>
      </c>
      <c r="B65" s="5" t="s">
        <v>49</v>
      </c>
      <c r="C65" s="5"/>
      <c r="D65" s="4" t="s">
        <v>60</v>
      </c>
      <c r="E65" s="4" t="s">
        <v>75</v>
      </c>
      <c r="F65" s="19" t="s">
        <v>8</v>
      </c>
      <c r="G65" s="19" t="s">
        <v>837</v>
      </c>
      <c r="H65" s="556" t="s">
        <v>837</v>
      </c>
      <c r="I65" s="556" t="s">
        <v>837</v>
      </c>
      <c r="J65" s="556" t="s">
        <v>837</v>
      </c>
      <c r="K65" s="556" t="s">
        <v>837</v>
      </c>
      <c r="L65" s="556" t="s">
        <v>837</v>
      </c>
      <c r="M65" s="556" t="s">
        <v>837</v>
      </c>
      <c r="N65" s="556" t="s">
        <v>837</v>
      </c>
      <c r="O65" s="556" t="s">
        <v>837</v>
      </c>
      <c r="P65" s="556" t="s">
        <v>837</v>
      </c>
      <c r="Q65" s="556" t="s">
        <v>837</v>
      </c>
      <c r="R65" s="556" t="s">
        <v>837</v>
      </c>
      <c r="S65" s="556" t="s">
        <v>837</v>
      </c>
      <c r="T65" s="556" t="s">
        <v>837</v>
      </c>
      <c r="U65" s="556" t="s">
        <v>837</v>
      </c>
      <c r="V65" s="556" t="s">
        <v>837</v>
      </c>
      <c r="W65" s="556" t="s">
        <v>837</v>
      </c>
      <c r="X65" s="556" t="s">
        <v>837</v>
      </c>
      <c r="Y65" s="556" t="s">
        <v>837</v>
      </c>
      <c r="Z65" s="556" t="s">
        <v>837</v>
      </c>
      <c r="AA65" s="556" t="s">
        <v>837</v>
      </c>
      <c r="AB65" s="556" t="s">
        <v>837</v>
      </c>
      <c r="AC65" s="556" t="s">
        <v>837</v>
      </c>
      <c r="AD65" s="556" t="s">
        <v>837</v>
      </c>
      <c r="AE65" s="556" t="s">
        <v>837</v>
      </c>
      <c r="AF65" s="556" t="s">
        <v>837</v>
      </c>
      <c r="AG65" s="556" t="s">
        <v>837</v>
      </c>
      <c r="AH65" s="556" t="s">
        <v>837</v>
      </c>
      <c r="AI65" s="556" t="s">
        <v>837</v>
      </c>
      <c r="AJ65" s="556" t="s">
        <v>837</v>
      </c>
      <c r="AK65" s="556" t="s">
        <v>837</v>
      </c>
      <c r="AL65" s="556" t="s">
        <v>837</v>
      </c>
      <c r="AM65" s="556" t="s">
        <v>837</v>
      </c>
      <c r="AN65" s="556" t="s">
        <v>837</v>
      </c>
      <c r="AO65" s="556" t="s">
        <v>837</v>
      </c>
      <c r="AP65" s="556" t="s">
        <v>837</v>
      </c>
      <c r="AQ65" s="556" t="s">
        <v>837</v>
      </c>
      <c r="AR65" s="556" t="s">
        <v>837</v>
      </c>
      <c r="AS65" s="556" t="s">
        <v>837</v>
      </c>
      <c r="AT65" s="556" t="s">
        <v>837</v>
      </c>
      <c r="AU65" s="556" t="s">
        <v>837</v>
      </c>
      <c r="AV65" s="556" t="s">
        <v>837</v>
      </c>
      <c r="AW65" s="556" t="s">
        <v>837</v>
      </c>
      <c r="AX65" s="556" t="s">
        <v>837</v>
      </c>
      <c r="AY65" s="556" t="s">
        <v>837</v>
      </c>
      <c r="AZ65" s="556" t="s">
        <v>837</v>
      </c>
      <c r="BA65" s="556" t="s">
        <v>837</v>
      </c>
      <c r="BB65" s="556" t="s">
        <v>837</v>
      </c>
      <c r="BC65" s="556" t="s">
        <v>837</v>
      </c>
      <c r="BD65" s="556" t="s">
        <v>837</v>
      </c>
      <c r="BE65" s="556" t="s">
        <v>837</v>
      </c>
      <c r="BF65" s="614"/>
      <c r="BG65" s="614"/>
      <c r="BH65" s="614"/>
      <c r="BI65" s="576"/>
      <c r="BJ65" s="576"/>
      <c r="BK65" s="576"/>
      <c r="BL65" s="602"/>
      <c r="BM65" s="553" t="s">
        <v>837</v>
      </c>
      <c r="BN65" s="612" t="s">
        <v>837</v>
      </c>
      <c r="BO65" s="576"/>
      <c r="BP65" s="606"/>
      <c r="BQ65" s="576"/>
      <c r="BR65" s="570"/>
      <c r="BS65" s="547"/>
      <c r="BT65" s="549"/>
      <c r="BU65" s="549"/>
      <c r="BV65" s="549"/>
      <c r="BW65" s="549"/>
      <c r="BX65" s="549"/>
      <c r="BY65" s="549"/>
      <c r="BZ65" s="549"/>
      <c r="CA65" s="549"/>
      <c r="CB65" s="549"/>
      <c r="CC65" s="549"/>
      <c r="CD65" s="548"/>
      <c r="CE65" s="547"/>
      <c r="CF65" s="549"/>
      <c r="CG65" s="549"/>
      <c r="CH65" s="549"/>
      <c r="CI65" s="549"/>
      <c r="CJ65" s="549"/>
      <c r="CK65" s="549"/>
      <c r="CL65" s="549"/>
      <c r="CM65" s="549"/>
      <c r="CN65" s="548"/>
      <c r="CO65" s="640"/>
      <c r="CP65" s="640"/>
      <c r="CQ65" s="640"/>
      <c r="CR65" s="640"/>
      <c r="CS65" s="640"/>
      <c r="CT65" s="640"/>
      <c r="CU65" s="640"/>
      <c r="CV65" s="640"/>
      <c r="CW65" s="640"/>
      <c r="CX65" s="640"/>
      <c r="CY65" s="640"/>
      <c r="CZ65" s="640"/>
      <c r="DA65" s="640"/>
      <c r="DB65" s="640"/>
      <c r="DC65" s="640"/>
      <c r="DD65" s="640"/>
      <c r="DE65" s="640"/>
      <c r="DF65" s="640"/>
      <c r="DG65" s="640"/>
      <c r="DH65" s="640"/>
      <c r="DI65" s="641"/>
      <c r="DJ65" s="641"/>
      <c r="DK65" s="641"/>
      <c r="DL65" s="641"/>
      <c r="DM65" s="641"/>
      <c r="DN65" s="641"/>
      <c r="DO65" s="641"/>
      <c r="DP65" s="576"/>
      <c r="DQ65" s="576"/>
      <c r="DR65" s="576"/>
      <c r="DS65" s="576"/>
      <c r="DT65" s="576"/>
      <c r="DU65" s="576"/>
      <c r="DV65" s="576"/>
      <c r="DW65" s="576"/>
      <c r="DX65" s="576"/>
      <c r="DY65" s="576"/>
      <c r="DZ65" s="576"/>
      <c r="EA65" s="576"/>
      <c r="EB65" s="576"/>
      <c r="EC65" s="576"/>
      <c r="ED65" s="576"/>
      <c r="EE65" s="576"/>
      <c r="EF65" s="576"/>
      <c r="EG65" s="576"/>
      <c r="EH65" s="576"/>
    </row>
    <row r="66" spans="1:138" s="14" customFormat="1" x14ac:dyDescent="0.25">
      <c r="A66" s="8">
        <v>62</v>
      </c>
      <c r="B66" s="5" t="s">
        <v>719</v>
      </c>
      <c r="C66" s="5"/>
      <c r="D66" s="4" t="s">
        <v>60</v>
      </c>
      <c r="E66" s="4" t="s">
        <v>75</v>
      </c>
      <c r="F66" s="19" t="s">
        <v>8</v>
      </c>
      <c r="G66" s="19" t="s">
        <v>837</v>
      </c>
      <c r="H66" s="556" t="s">
        <v>837</v>
      </c>
      <c r="I66" s="556">
        <v>10002</v>
      </c>
      <c r="J66" s="556" t="s">
        <v>837</v>
      </c>
      <c r="K66" s="556">
        <v>10004</v>
      </c>
      <c r="L66" s="556" t="s">
        <v>837</v>
      </c>
      <c r="M66" s="556" t="s">
        <v>837</v>
      </c>
      <c r="N66" s="556">
        <v>10002</v>
      </c>
      <c r="O66" s="556" t="s">
        <v>837</v>
      </c>
      <c r="P66" s="556">
        <v>10004</v>
      </c>
      <c r="Q66" s="556" t="s">
        <v>837</v>
      </c>
      <c r="R66" s="556" t="s">
        <v>837</v>
      </c>
      <c r="S66" s="556">
        <v>10002</v>
      </c>
      <c r="T66" s="556" t="s">
        <v>837</v>
      </c>
      <c r="U66" s="556">
        <v>10004</v>
      </c>
      <c r="V66" s="556" t="s">
        <v>837</v>
      </c>
      <c r="W66" s="556" t="s">
        <v>837</v>
      </c>
      <c r="X66" s="556" t="s">
        <v>837</v>
      </c>
      <c r="Y66" s="556" t="s">
        <v>837</v>
      </c>
      <c r="Z66" s="556" t="s">
        <v>837</v>
      </c>
      <c r="AA66" s="556" t="s">
        <v>837</v>
      </c>
      <c r="AB66" s="556" t="s">
        <v>837</v>
      </c>
      <c r="AC66" s="556">
        <v>10002</v>
      </c>
      <c r="AD66" s="556" t="s">
        <v>837</v>
      </c>
      <c r="AE66" s="556">
        <v>10004</v>
      </c>
      <c r="AF66" s="556" t="s">
        <v>837</v>
      </c>
      <c r="AG66" s="556" t="s">
        <v>837</v>
      </c>
      <c r="AH66" s="556" t="s">
        <v>837</v>
      </c>
      <c r="AI66" s="556" t="s">
        <v>837</v>
      </c>
      <c r="AJ66" s="556" t="s">
        <v>837</v>
      </c>
      <c r="AK66" s="556" t="s">
        <v>837</v>
      </c>
      <c r="AL66" s="556" t="s">
        <v>837</v>
      </c>
      <c r="AM66" s="556" t="s">
        <v>837</v>
      </c>
      <c r="AN66" s="556" t="s">
        <v>837</v>
      </c>
      <c r="AO66" s="556" t="s">
        <v>837</v>
      </c>
      <c r="AP66" s="556" t="s">
        <v>837</v>
      </c>
      <c r="AQ66" s="556" t="s">
        <v>837</v>
      </c>
      <c r="AR66" s="556" t="s">
        <v>837</v>
      </c>
      <c r="AS66" s="556" t="s">
        <v>837</v>
      </c>
      <c r="AT66" s="556" t="s">
        <v>837</v>
      </c>
      <c r="AU66" s="556" t="s">
        <v>837</v>
      </c>
      <c r="AV66" s="556" t="s">
        <v>837</v>
      </c>
      <c r="AW66" s="556" t="s">
        <v>837</v>
      </c>
      <c r="AX66" s="556" t="s">
        <v>837</v>
      </c>
      <c r="AY66" s="556" t="s">
        <v>837</v>
      </c>
      <c r="AZ66" s="556" t="s">
        <v>837</v>
      </c>
      <c r="BA66" s="556" t="s">
        <v>837</v>
      </c>
      <c r="BB66" s="556" t="s">
        <v>837</v>
      </c>
      <c r="BC66" s="556" t="s">
        <v>837</v>
      </c>
      <c r="BD66" s="556" t="s">
        <v>837</v>
      </c>
      <c r="BE66" s="556" t="s">
        <v>837</v>
      </c>
      <c r="BF66" s="614"/>
      <c r="BG66" s="614"/>
      <c r="BH66" s="614"/>
      <c r="BI66" s="576"/>
      <c r="BJ66" s="576"/>
      <c r="BK66" s="576"/>
      <c r="BL66" s="602"/>
      <c r="BM66" s="553" t="s">
        <v>837</v>
      </c>
      <c r="BN66" s="612" t="s">
        <v>837</v>
      </c>
      <c r="BO66" s="576"/>
      <c r="BP66" s="606"/>
      <c r="BQ66" s="576"/>
      <c r="BR66" s="570"/>
      <c r="BS66" s="547"/>
      <c r="BT66" s="549"/>
      <c r="BU66" s="549"/>
      <c r="BV66" s="549"/>
      <c r="BW66" s="549"/>
      <c r="BX66" s="549"/>
      <c r="BY66" s="549"/>
      <c r="BZ66" s="549"/>
      <c r="CA66" s="549"/>
      <c r="CB66" s="549"/>
      <c r="CC66" s="549"/>
      <c r="CD66" s="548"/>
      <c r="CE66" s="547"/>
      <c r="CF66" s="549"/>
      <c r="CG66" s="549"/>
      <c r="CH66" s="549"/>
      <c r="CI66" s="549"/>
      <c r="CJ66" s="549"/>
      <c r="CK66" s="549"/>
      <c r="CL66" s="549"/>
      <c r="CM66" s="549"/>
      <c r="CN66" s="548"/>
      <c r="CO66" s="640"/>
      <c r="CP66" s="640"/>
      <c r="CQ66" s="640"/>
      <c r="CR66" s="640"/>
      <c r="CS66" s="640"/>
      <c r="CT66" s="640"/>
      <c r="CU66" s="640"/>
      <c r="CV66" s="640"/>
      <c r="CW66" s="640"/>
      <c r="CX66" s="640"/>
      <c r="CY66" s="640"/>
      <c r="CZ66" s="640"/>
      <c r="DA66" s="640"/>
      <c r="DB66" s="640"/>
      <c r="DC66" s="640"/>
      <c r="DD66" s="640"/>
      <c r="DE66" s="640"/>
      <c r="DF66" s="640"/>
      <c r="DG66" s="640"/>
      <c r="DH66" s="640"/>
      <c r="DI66" s="641"/>
      <c r="DJ66" s="641"/>
      <c r="DK66" s="641"/>
      <c r="DL66" s="641"/>
      <c r="DM66" s="641"/>
      <c r="DN66" s="641"/>
      <c r="DO66" s="641"/>
      <c r="DP66" s="576"/>
      <c r="DQ66" s="576"/>
      <c r="DR66" s="576"/>
      <c r="DS66" s="576"/>
      <c r="DT66" s="576"/>
      <c r="DU66" s="576"/>
      <c r="DV66" s="576"/>
      <c r="DW66" s="576"/>
      <c r="DX66" s="576"/>
      <c r="DY66" s="576"/>
      <c r="DZ66" s="576"/>
      <c r="EA66" s="576"/>
      <c r="EB66" s="576"/>
      <c r="EC66" s="576"/>
      <c r="ED66" s="576"/>
      <c r="EE66" s="576"/>
      <c r="EF66" s="576"/>
      <c r="EG66" s="576"/>
      <c r="EH66" s="576"/>
    </row>
    <row r="67" spans="1:138" s="14" customFormat="1" x14ac:dyDescent="0.25">
      <c r="A67" s="8">
        <v>63</v>
      </c>
      <c r="B67" s="4" t="s">
        <v>720</v>
      </c>
      <c r="C67" s="4"/>
      <c r="D67" s="4" t="s">
        <v>60</v>
      </c>
      <c r="E67" s="4" t="s">
        <v>75</v>
      </c>
      <c r="F67" s="19" t="s">
        <v>8</v>
      </c>
      <c r="G67" s="19" t="s">
        <v>837</v>
      </c>
      <c r="H67" s="556" t="s">
        <v>837</v>
      </c>
      <c r="I67" s="556" t="s">
        <v>837</v>
      </c>
      <c r="J67" s="556" t="s">
        <v>837</v>
      </c>
      <c r="K67" s="556" t="s">
        <v>837</v>
      </c>
      <c r="L67" s="556" t="s">
        <v>837</v>
      </c>
      <c r="M67" s="556" t="s">
        <v>837</v>
      </c>
      <c r="N67" s="556" t="s">
        <v>837</v>
      </c>
      <c r="O67" s="556" t="s">
        <v>837</v>
      </c>
      <c r="P67" s="556" t="s">
        <v>837</v>
      </c>
      <c r="Q67" s="556" t="s">
        <v>837</v>
      </c>
      <c r="R67" s="556" t="s">
        <v>837</v>
      </c>
      <c r="S67" s="556" t="s">
        <v>837</v>
      </c>
      <c r="T67" s="556" t="s">
        <v>837</v>
      </c>
      <c r="U67" s="556" t="s">
        <v>837</v>
      </c>
      <c r="V67" s="556" t="s">
        <v>837</v>
      </c>
      <c r="W67" s="556" t="s">
        <v>837</v>
      </c>
      <c r="X67" s="556" t="s">
        <v>837</v>
      </c>
      <c r="Y67" s="556" t="s">
        <v>837</v>
      </c>
      <c r="Z67" s="556" t="s">
        <v>837</v>
      </c>
      <c r="AA67" s="556" t="s">
        <v>837</v>
      </c>
      <c r="AB67" s="556" t="s">
        <v>837</v>
      </c>
      <c r="AC67" s="556" t="s">
        <v>837</v>
      </c>
      <c r="AD67" s="556" t="s">
        <v>837</v>
      </c>
      <c r="AE67" s="556" t="s">
        <v>837</v>
      </c>
      <c r="AF67" s="556" t="s">
        <v>837</v>
      </c>
      <c r="AG67" s="556" t="s">
        <v>837</v>
      </c>
      <c r="AH67" s="556" t="s">
        <v>837</v>
      </c>
      <c r="AI67" s="556" t="s">
        <v>837</v>
      </c>
      <c r="AJ67" s="556" t="s">
        <v>837</v>
      </c>
      <c r="AK67" s="556" t="s">
        <v>837</v>
      </c>
      <c r="AL67" s="556" t="s">
        <v>837</v>
      </c>
      <c r="AM67" s="556" t="s">
        <v>837</v>
      </c>
      <c r="AN67" s="556" t="s">
        <v>837</v>
      </c>
      <c r="AO67" s="556" t="s">
        <v>837</v>
      </c>
      <c r="AP67" s="556" t="s">
        <v>837</v>
      </c>
      <c r="AQ67" s="556" t="s">
        <v>837</v>
      </c>
      <c r="AR67" s="556" t="s">
        <v>837</v>
      </c>
      <c r="AS67" s="556" t="s">
        <v>837</v>
      </c>
      <c r="AT67" s="556" t="s">
        <v>837</v>
      </c>
      <c r="AU67" s="556" t="s">
        <v>837</v>
      </c>
      <c r="AV67" s="556" t="s">
        <v>837</v>
      </c>
      <c r="AW67" s="556" t="s">
        <v>837</v>
      </c>
      <c r="AX67" s="556" t="s">
        <v>837</v>
      </c>
      <c r="AY67" s="556" t="s">
        <v>837</v>
      </c>
      <c r="AZ67" s="556" t="s">
        <v>837</v>
      </c>
      <c r="BA67" s="556" t="s">
        <v>837</v>
      </c>
      <c r="BB67" s="556" t="s">
        <v>837</v>
      </c>
      <c r="BC67" s="556" t="s">
        <v>837</v>
      </c>
      <c r="BD67" s="556" t="s">
        <v>837</v>
      </c>
      <c r="BE67" s="556" t="s">
        <v>837</v>
      </c>
      <c r="BF67" s="612"/>
      <c r="BG67" s="612"/>
      <c r="BH67" s="612"/>
      <c r="BI67" s="576"/>
      <c r="BJ67" s="576"/>
      <c r="BK67" s="576"/>
      <c r="BL67" s="602"/>
      <c r="BM67" s="553" t="s">
        <v>837</v>
      </c>
      <c r="BN67" s="612" t="s">
        <v>837</v>
      </c>
      <c r="BO67" s="576"/>
      <c r="BP67" s="606"/>
      <c r="BQ67" s="576"/>
      <c r="BR67" s="570"/>
      <c r="BS67" s="547"/>
      <c r="BT67" s="549"/>
      <c r="BU67" s="549"/>
      <c r="BV67" s="549"/>
      <c r="BW67" s="549"/>
      <c r="BX67" s="549"/>
      <c r="BY67" s="549"/>
      <c r="BZ67" s="549"/>
      <c r="CA67" s="549"/>
      <c r="CB67" s="549"/>
      <c r="CC67" s="549"/>
      <c r="CD67" s="548"/>
      <c r="CE67" s="547"/>
      <c r="CF67" s="549"/>
      <c r="CG67" s="549"/>
      <c r="CH67" s="549"/>
      <c r="CI67" s="549"/>
      <c r="CJ67" s="549"/>
      <c r="CK67" s="549"/>
      <c r="CL67" s="549"/>
      <c r="CM67" s="549"/>
      <c r="CN67" s="548"/>
      <c r="CO67" s="640"/>
      <c r="CP67" s="640"/>
      <c r="CQ67" s="640"/>
      <c r="CR67" s="640"/>
      <c r="CS67" s="640"/>
      <c r="CT67" s="640"/>
      <c r="CU67" s="640"/>
      <c r="CV67" s="640"/>
      <c r="CW67" s="640"/>
      <c r="CX67" s="640"/>
      <c r="CY67" s="640"/>
      <c r="CZ67" s="640"/>
      <c r="DA67" s="640"/>
      <c r="DB67" s="640"/>
      <c r="DC67" s="640"/>
      <c r="DD67" s="640"/>
      <c r="DE67" s="640"/>
      <c r="DF67" s="640"/>
      <c r="DG67" s="640"/>
      <c r="DH67" s="640"/>
      <c r="DI67" s="641"/>
      <c r="DJ67" s="641"/>
      <c r="DK67" s="641"/>
      <c r="DL67" s="641"/>
      <c r="DM67" s="641"/>
      <c r="DN67" s="641"/>
      <c r="DO67" s="641"/>
      <c r="DP67" s="576"/>
      <c r="DQ67" s="576"/>
      <c r="DR67" s="576"/>
      <c r="DS67" s="576"/>
      <c r="DT67" s="576"/>
      <c r="DU67" s="576"/>
      <c r="DV67" s="576"/>
      <c r="DW67" s="576"/>
      <c r="DX67" s="576"/>
      <c r="DY67" s="576"/>
      <c r="DZ67" s="576"/>
      <c r="EA67" s="576"/>
      <c r="EB67" s="576"/>
      <c r="EC67" s="576"/>
      <c r="ED67" s="576"/>
      <c r="EE67" s="576"/>
      <c r="EF67" s="576"/>
      <c r="EG67" s="576"/>
      <c r="EH67" s="576"/>
    </row>
    <row r="68" spans="1:138" s="14" customFormat="1" x14ac:dyDescent="0.25">
      <c r="A68" s="8">
        <v>64</v>
      </c>
      <c r="B68" s="4" t="s">
        <v>747</v>
      </c>
      <c r="C68" s="4"/>
      <c r="D68" s="4" t="s">
        <v>60</v>
      </c>
      <c r="E68" s="4" t="s">
        <v>75</v>
      </c>
      <c r="F68" s="19" t="s">
        <v>8</v>
      </c>
      <c r="G68" s="19" t="s">
        <v>837</v>
      </c>
      <c r="H68" s="556" t="s">
        <v>837</v>
      </c>
      <c r="I68" s="556" t="s">
        <v>837</v>
      </c>
      <c r="J68" s="556" t="s">
        <v>837</v>
      </c>
      <c r="K68" s="556" t="s">
        <v>837</v>
      </c>
      <c r="L68" s="556" t="s">
        <v>837</v>
      </c>
      <c r="M68" s="556" t="s">
        <v>837</v>
      </c>
      <c r="N68" s="556" t="s">
        <v>837</v>
      </c>
      <c r="O68" s="556" t="s">
        <v>837</v>
      </c>
      <c r="P68" s="556" t="s">
        <v>837</v>
      </c>
      <c r="Q68" s="556" t="s">
        <v>837</v>
      </c>
      <c r="R68" s="556" t="s">
        <v>837</v>
      </c>
      <c r="S68" s="556" t="s">
        <v>837</v>
      </c>
      <c r="T68" s="556" t="s">
        <v>837</v>
      </c>
      <c r="U68" s="556" t="s">
        <v>837</v>
      </c>
      <c r="V68" s="556" t="s">
        <v>837</v>
      </c>
      <c r="W68" s="556" t="s">
        <v>837</v>
      </c>
      <c r="X68" s="556" t="s">
        <v>837</v>
      </c>
      <c r="Y68" s="556" t="s">
        <v>837</v>
      </c>
      <c r="Z68" s="556" t="s">
        <v>837</v>
      </c>
      <c r="AA68" s="556" t="s">
        <v>837</v>
      </c>
      <c r="AB68" s="556" t="s">
        <v>837</v>
      </c>
      <c r="AC68" s="556" t="s">
        <v>837</v>
      </c>
      <c r="AD68" s="556" t="s">
        <v>837</v>
      </c>
      <c r="AE68" s="556" t="s">
        <v>837</v>
      </c>
      <c r="AF68" s="556" t="s">
        <v>837</v>
      </c>
      <c r="AG68" s="556" t="s">
        <v>837</v>
      </c>
      <c r="AH68" s="556" t="s">
        <v>837</v>
      </c>
      <c r="AI68" s="556" t="s">
        <v>837</v>
      </c>
      <c r="AJ68" s="556" t="s">
        <v>837</v>
      </c>
      <c r="AK68" s="556" t="s">
        <v>837</v>
      </c>
      <c r="AL68" s="556" t="s">
        <v>837</v>
      </c>
      <c r="AM68" s="556" t="s">
        <v>837</v>
      </c>
      <c r="AN68" s="556" t="s">
        <v>837</v>
      </c>
      <c r="AO68" s="556" t="s">
        <v>837</v>
      </c>
      <c r="AP68" s="556" t="s">
        <v>837</v>
      </c>
      <c r="AQ68" s="556" t="s">
        <v>837</v>
      </c>
      <c r="AR68" s="556" t="s">
        <v>837</v>
      </c>
      <c r="AS68" s="556" t="s">
        <v>837</v>
      </c>
      <c r="AT68" s="556" t="s">
        <v>837</v>
      </c>
      <c r="AU68" s="556" t="s">
        <v>837</v>
      </c>
      <c r="AV68" s="556" t="s">
        <v>837</v>
      </c>
      <c r="AW68" s="556" t="s">
        <v>837</v>
      </c>
      <c r="AX68" s="556" t="s">
        <v>837</v>
      </c>
      <c r="AY68" s="556" t="s">
        <v>837</v>
      </c>
      <c r="AZ68" s="556" t="s">
        <v>837</v>
      </c>
      <c r="BA68" s="556" t="s">
        <v>837</v>
      </c>
      <c r="BB68" s="556" t="s">
        <v>837</v>
      </c>
      <c r="BC68" s="556" t="s">
        <v>837</v>
      </c>
      <c r="BD68" s="556" t="s">
        <v>837</v>
      </c>
      <c r="BE68" s="556" t="s">
        <v>837</v>
      </c>
      <c r="BF68" s="636"/>
      <c r="BG68" s="636"/>
      <c r="BH68" s="636">
        <v>20001</v>
      </c>
      <c r="BI68" s="576"/>
      <c r="BJ68" s="576"/>
      <c r="BK68" s="576"/>
      <c r="BL68" s="602"/>
      <c r="BM68" s="553" t="s">
        <v>837</v>
      </c>
      <c r="BN68" s="612" t="s">
        <v>837</v>
      </c>
      <c r="BO68" s="576"/>
      <c r="BP68" s="606"/>
      <c r="BQ68" s="576"/>
      <c r="BR68" s="570"/>
      <c r="BS68" s="547"/>
      <c r="BT68" s="549"/>
      <c r="BU68" s="549"/>
      <c r="BV68" s="549"/>
      <c r="BW68" s="549"/>
      <c r="BX68" s="549"/>
      <c r="BY68" s="549"/>
      <c r="BZ68" s="549"/>
      <c r="CA68" s="549"/>
      <c r="CB68" s="549"/>
      <c r="CC68" s="549"/>
      <c r="CD68" s="548"/>
      <c r="CE68" s="547"/>
      <c r="CF68" s="549"/>
      <c r="CG68" s="549"/>
      <c r="CH68" s="549"/>
      <c r="CI68" s="549"/>
      <c r="CJ68" s="549"/>
      <c r="CK68" s="549"/>
      <c r="CL68" s="549"/>
      <c r="CM68" s="549"/>
      <c r="CN68" s="548"/>
      <c r="CO68" s="640"/>
      <c r="CP68" s="640"/>
      <c r="CQ68" s="640"/>
      <c r="CR68" s="640"/>
      <c r="CS68" s="640"/>
      <c r="CT68" s="640"/>
      <c r="CU68" s="640"/>
      <c r="CV68" s="640"/>
      <c r="CW68" s="640"/>
      <c r="CX68" s="640"/>
      <c r="CY68" s="640"/>
      <c r="CZ68" s="640"/>
      <c r="DA68" s="640"/>
      <c r="DB68" s="640"/>
      <c r="DC68" s="640"/>
      <c r="DD68" s="640"/>
      <c r="DE68" s="640"/>
      <c r="DF68" s="640"/>
      <c r="DG68" s="640"/>
      <c r="DH68" s="640"/>
      <c r="DI68" s="641"/>
      <c r="DJ68" s="641"/>
      <c r="DK68" s="641"/>
      <c r="DL68" s="641"/>
      <c r="DM68" s="641"/>
      <c r="DN68" s="641"/>
      <c r="DO68" s="641"/>
      <c r="DP68" s="576"/>
      <c r="DQ68" s="576"/>
      <c r="DR68" s="576"/>
      <c r="DS68" s="576"/>
      <c r="DT68" s="576"/>
      <c r="DU68" s="576"/>
      <c r="DV68" s="576"/>
      <c r="DW68" s="576"/>
      <c r="DX68" s="576"/>
      <c r="DY68" s="576"/>
      <c r="DZ68" s="576"/>
      <c r="EA68" s="576"/>
      <c r="EB68" s="576"/>
      <c r="EC68" s="576"/>
      <c r="ED68" s="576"/>
      <c r="EE68" s="576"/>
      <c r="EF68" s="576"/>
      <c r="EG68" s="576"/>
      <c r="EH68" s="576"/>
    </row>
    <row r="69" spans="1:138" s="14" customFormat="1" x14ac:dyDescent="0.25">
      <c r="A69" s="8">
        <v>65</v>
      </c>
      <c r="B69" s="4" t="s">
        <v>48</v>
      </c>
      <c r="C69" s="4"/>
      <c r="D69" s="4" t="s">
        <v>60</v>
      </c>
      <c r="E69" s="4" t="s">
        <v>75</v>
      </c>
      <c r="F69" s="19" t="s">
        <v>8</v>
      </c>
      <c r="G69" s="19" t="s">
        <v>837</v>
      </c>
      <c r="H69" s="556" t="s">
        <v>837</v>
      </c>
      <c r="I69" s="556" t="s">
        <v>837</v>
      </c>
      <c r="J69" s="556" t="s">
        <v>837</v>
      </c>
      <c r="K69" s="556" t="s">
        <v>837</v>
      </c>
      <c r="L69" s="556" t="s">
        <v>837</v>
      </c>
      <c r="M69" s="556" t="s">
        <v>837</v>
      </c>
      <c r="N69" s="556" t="s">
        <v>837</v>
      </c>
      <c r="O69" s="556" t="s">
        <v>837</v>
      </c>
      <c r="P69" s="556" t="s">
        <v>837</v>
      </c>
      <c r="Q69" s="556" t="s">
        <v>837</v>
      </c>
      <c r="R69" s="556" t="s">
        <v>837</v>
      </c>
      <c r="S69" s="556" t="s">
        <v>837</v>
      </c>
      <c r="T69" s="556" t="s">
        <v>837</v>
      </c>
      <c r="U69" s="556" t="s">
        <v>837</v>
      </c>
      <c r="V69" s="556" t="s">
        <v>837</v>
      </c>
      <c r="W69" s="556" t="s">
        <v>837</v>
      </c>
      <c r="X69" s="556" t="s">
        <v>837</v>
      </c>
      <c r="Y69" s="556" t="s">
        <v>837</v>
      </c>
      <c r="Z69" s="556" t="s">
        <v>837</v>
      </c>
      <c r="AA69" s="556" t="s">
        <v>837</v>
      </c>
      <c r="AB69" s="556" t="s">
        <v>837</v>
      </c>
      <c r="AC69" s="556" t="s">
        <v>837</v>
      </c>
      <c r="AD69" s="556" t="s">
        <v>837</v>
      </c>
      <c r="AE69" s="556" t="s">
        <v>837</v>
      </c>
      <c r="AF69" s="556" t="s">
        <v>837</v>
      </c>
      <c r="AG69" s="556" t="s">
        <v>837</v>
      </c>
      <c r="AH69" s="556" t="s">
        <v>837</v>
      </c>
      <c r="AI69" s="556" t="s">
        <v>837</v>
      </c>
      <c r="AJ69" s="556" t="s">
        <v>837</v>
      </c>
      <c r="AK69" s="556" t="s">
        <v>837</v>
      </c>
      <c r="AL69" s="556" t="s">
        <v>837</v>
      </c>
      <c r="AM69" s="556" t="s">
        <v>837</v>
      </c>
      <c r="AN69" s="556" t="s">
        <v>837</v>
      </c>
      <c r="AO69" s="556" t="s">
        <v>837</v>
      </c>
      <c r="AP69" s="556" t="s">
        <v>837</v>
      </c>
      <c r="AQ69" s="556" t="s">
        <v>837</v>
      </c>
      <c r="AR69" s="556" t="s">
        <v>837</v>
      </c>
      <c r="AS69" s="556" t="s">
        <v>837</v>
      </c>
      <c r="AT69" s="556" t="s">
        <v>837</v>
      </c>
      <c r="AU69" s="556" t="s">
        <v>837</v>
      </c>
      <c r="AV69" s="556" t="s">
        <v>837</v>
      </c>
      <c r="AW69" s="556" t="s">
        <v>837</v>
      </c>
      <c r="AX69" s="556" t="s">
        <v>837</v>
      </c>
      <c r="AY69" s="556" t="s">
        <v>837</v>
      </c>
      <c r="AZ69" s="556" t="s">
        <v>837</v>
      </c>
      <c r="BA69" s="556" t="s">
        <v>837</v>
      </c>
      <c r="BB69" s="556" t="s">
        <v>837</v>
      </c>
      <c r="BC69" s="556" t="s">
        <v>837</v>
      </c>
      <c r="BD69" s="556" t="s">
        <v>837</v>
      </c>
      <c r="BE69" s="556" t="s">
        <v>837</v>
      </c>
      <c r="BF69" s="612"/>
      <c r="BG69" s="612"/>
      <c r="BH69" s="612"/>
      <c r="BI69" s="576"/>
      <c r="BJ69" s="576"/>
      <c r="BK69" s="576"/>
      <c r="BL69" s="602"/>
      <c r="BM69" s="553" t="s">
        <v>837</v>
      </c>
      <c r="BN69" s="612" t="s">
        <v>837</v>
      </c>
      <c r="BO69" s="576"/>
      <c r="BP69" s="606"/>
      <c r="BQ69" s="576"/>
      <c r="BR69" s="570"/>
      <c r="BS69" s="547"/>
      <c r="BT69" s="549"/>
      <c r="BU69" s="549"/>
      <c r="BV69" s="549"/>
      <c r="BW69" s="549"/>
      <c r="BX69" s="549"/>
      <c r="BY69" s="549"/>
      <c r="BZ69" s="549"/>
      <c r="CA69" s="549"/>
      <c r="CB69" s="549"/>
      <c r="CC69" s="549"/>
      <c r="CD69" s="548"/>
      <c r="CE69" s="547"/>
      <c r="CF69" s="549"/>
      <c r="CG69" s="549"/>
      <c r="CH69" s="549"/>
      <c r="CI69" s="549"/>
      <c r="CJ69" s="549"/>
      <c r="CK69" s="549"/>
      <c r="CL69" s="549"/>
      <c r="CM69" s="549"/>
      <c r="CN69" s="548"/>
      <c r="CO69" s="640"/>
      <c r="CP69" s="640"/>
      <c r="CQ69" s="640"/>
      <c r="CR69" s="640"/>
      <c r="CS69" s="640"/>
      <c r="CT69" s="640"/>
      <c r="CU69" s="640"/>
      <c r="CV69" s="640"/>
      <c r="CW69" s="640"/>
      <c r="CX69" s="640"/>
      <c r="CY69" s="640"/>
      <c r="CZ69" s="640"/>
      <c r="DA69" s="640"/>
      <c r="DB69" s="640"/>
      <c r="DC69" s="640"/>
      <c r="DD69" s="640"/>
      <c r="DE69" s="640"/>
      <c r="DF69" s="640"/>
      <c r="DG69" s="640"/>
      <c r="DH69" s="640"/>
      <c r="DI69" s="641"/>
      <c r="DJ69" s="641"/>
      <c r="DK69" s="641"/>
      <c r="DL69" s="641"/>
      <c r="DM69" s="641"/>
      <c r="DN69" s="641"/>
      <c r="DO69" s="641"/>
      <c r="DP69" s="576"/>
      <c r="DQ69" s="576"/>
      <c r="DR69" s="576"/>
      <c r="DS69" s="576"/>
      <c r="DT69" s="576"/>
      <c r="DU69" s="576"/>
      <c r="DV69" s="576"/>
      <c r="DW69" s="576"/>
      <c r="DX69" s="576"/>
      <c r="DY69" s="576"/>
      <c r="DZ69" s="576"/>
      <c r="EA69" s="576"/>
      <c r="EB69" s="576"/>
      <c r="EC69" s="576"/>
      <c r="ED69" s="576"/>
      <c r="EE69" s="576"/>
      <c r="EF69" s="576"/>
      <c r="EG69" s="576"/>
      <c r="EH69" s="576"/>
    </row>
    <row r="70" spans="1:138" s="14" customFormat="1" x14ac:dyDescent="0.25">
      <c r="A70" s="8">
        <v>66</v>
      </c>
      <c r="B70" s="4" t="s">
        <v>31</v>
      </c>
      <c r="C70" s="4"/>
      <c r="D70" s="4" t="s">
        <v>77</v>
      </c>
      <c r="E70" s="4" t="s">
        <v>75</v>
      </c>
      <c r="F70" s="19" t="s">
        <v>8</v>
      </c>
      <c r="G70" s="19" t="s">
        <v>837</v>
      </c>
      <c r="H70" s="556" t="s">
        <v>837</v>
      </c>
      <c r="I70" s="556">
        <v>10002</v>
      </c>
      <c r="J70" s="556" t="s">
        <v>837</v>
      </c>
      <c r="K70" s="556">
        <v>10004</v>
      </c>
      <c r="L70" s="556" t="s">
        <v>837</v>
      </c>
      <c r="M70" s="556" t="s">
        <v>837</v>
      </c>
      <c r="N70" s="556">
        <v>10002</v>
      </c>
      <c r="O70" s="556" t="s">
        <v>837</v>
      </c>
      <c r="P70" s="556">
        <v>10004</v>
      </c>
      <c r="Q70" s="556" t="s">
        <v>837</v>
      </c>
      <c r="R70" s="556" t="s">
        <v>837</v>
      </c>
      <c r="S70" s="556">
        <v>10002</v>
      </c>
      <c r="T70" s="556" t="s">
        <v>837</v>
      </c>
      <c r="U70" s="556">
        <v>10004</v>
      </c>
      <c r="V70" s="556" t="s">
        <v>837</v>
      </c>
      <c r="W70" s="556" t="s">
        <v>837</v>
      </c>
      <c r="X70" s="556" t="s">
        <v>837</v>
      </c>
      <c r="Y70" s="556" t="s">
        <v>837</v>
      </c>
      <c r="Z70" s="556" t="s">
        <v>837</v>
      </c>
      <c r="AA70" s="556" t="s">
        <v>837</v>
      </c>
      <c r="AB70" s="556" t="s">
        <v>837</v>
      </c>
      <c r="AC70" s="556">
        <v>10002</v>
      </c>
      <c r="AD70" s="556" t="s">
        <v>837</v>
      </c>
      <c r="AE70" s="556">
        <v>10004</v>
      </c>
      <c r="AF70" s="556" t="s">
        <v>837</v>
      </c>
      <c r="AG70" s="556" t="s">
        <v>837</v>
      </c>
      <c r="AH70" s="556">
        <v>10002</v>
      </c>
      <c r="AI70" s="556" t="s">
        <v>837</v>
      </c>
      <c r="AJ70" s="556">
        <v>10004</v>
      </c>
      <c r="AK70" s="556" t="s">
        <v>837</v>
      </c>
      <c r="AL70" s="556" t="s">
        <v>837</v>
      </c>
      <c r="AM70" s="556">
        <v>10002</v>
      </c>
      <c r="AN70" s="556" t="s">
        <v>837</v>
      </c>
      <c r="AO70" s="556">
        <v>10004</v>
      </c>
      <c r="AP70" s="556" t="s">
        <v>837</v>
      </c>
      <c r="AQ70" s="556" t="s">
        <v>837</v>
      </c>
      <c r="AR70" s="556">
        <v>10002</v>
      </c>
      <c r="AS70" s="556" t="s">
        <v>837</v>
      </c>
      <c r="AT70" s="556">
        <v>10004</v>
      </c>
      <c r="AU70" s="556" t="s">
        <v>837</v>
      </c>
      <c r="AV70" s="556" t="s">
        <v>837</v>
      </c>
      <c r="AW70" s="556" t="s">
        <v>837</v>
      </c>
      <c r="AX70" s="556" t="s">
        <v>837</v>
      </c>
      <c r="AY70" s="556" t="s">
        <v>837</v>
      </c>
      <c r="AZ70" s="556" t="s">
        <v>837</v>
      </c>
      <c r="BA70" s="556" t="s">
        <v>837</v>
      </c>
      <c r="BB70" s="556">
        <v>10002</v>
      </c>
      <c r="BC70" s="556" t="s">
        <v>837</v>
      </c>
      <c r="BD70" s="556">
        <v>10004</v>
      </c>
      <c r="BE70" s="556" t="s">
        <v>837</v>
      </c>
      <c r="BF70" s="636"/>
      <c r="BG70" s="636"/>
      <c r="BH70" s="636">
        <v>20001</v>
      </c>
      <c r="BI70" s="576"/>
      <c r="BJ70" s="576"/>
      <c r="BK70" s="576"/>
      <c r="BL70" s="602"/>
      <c r="BM70" s="553">
        <v>40001</v>
      </c>
      <c r="BN70" s="612">
        <v>40001</v>
      </c>
      <c r="BO70" s="576"/>
      <c r="BP70" s="606"/>
      <c r="BQ70" s="576"/>
      <c r="BR70" s="570"/>
      <c r="BS70" s="547"/>
      <c r="BT70" s="549"/>
      <c r="BU70" s="549"/>
      <c r="BV70" s="549"/>
      <c r="BW70" s="549"/>
      <c r="BX70" s="549"/>
      <c r="BY70" s="549"/>
      <c r="BZ70" s="549"/>
      <c r="CA70" s="549"/>
      <c r="CB70" s="549"/>
      <c r="CC70" s="549"/>
      <c r="CD70" s="548"/>
      <c r="CE70" s="547"/>
      <c r="CF70" s="549"/>
      <c r="CG70" s="549"/>
      <c r="CH70" s="549"/>
      <c r="CI70" s="549"/>
      <c r="CJ70" s="549"/>
      <c r="CK70" s="549"/>
      <c r="CL70" s="549"/>
      <c r="CM70" s="549"/>
      <c r="CN70" s="548"/>
      <c r="CO70" s="640"/>
      <c r="CP70" s="640"/>
      <c r="CQ70" s="640"/>
      <c r="CR70" s="640"/>
      <c r="CS70" s="640"/>
      <c r="CT70" s="640"/>
      <c r="CU70" s="640"/>
      <c r="CV70" s="640"/>
      <c r="CW70" s="640"/>
      <c r="CX70" s="640"/>
      <c r="CY70" s="640"/>
      <c r="CZ70" s="640"/>
      <c r="DA70" s="640"/>
      <c r="DB70" s="640"/>
      <c r="DC70" s="640"/>
      <c r="DD70" s="640"/>
      <c r="DE70" s="640"/>
      <c r="DF70" s="640"/>
      <c r="DG70" s="640"/>
      <c r="DH70" s="640"/>
      <c r="DI70" s="641"/>
      <c r="DJ70" s="641"/>
      <c r="DK70" s="641"/>
      <c r="DL70" s="641"/>
      <c r="DM70" s="641"/>
      <c r="DN70" s="641"/>
      <c r="DO70" s="641"/>
      <c r="DP70" s="576"/>
      <c r="DQ70" s="576"/>
      <c r="DR70" s="576"/>
      <c r="DS70" s="576"/>
      <c r="DT70" s="576"/>
      <c r="DU70" s="576"/>
      <c r="DV70" s="576"/>
      <c r="DW70" s="576"/>
      <c r="DX70" s="576"/>
      <c r="DY70" s="576"/>
      <c r="DZ70" s="576"/>
      <c r="EA70" s="576"/>
      <c r="EB70" s="576"/>
      <c r="EC70" s="576"/>
      <c r="ED70" s="576"/>
      <c r="EE70" s="576"/>
      <c r="EF70" s="576"/>
      <c r="EG70" s="576"/>
      <c r="EH70" s="576"/>
    </row>
    <row r="71" spans="1:138" s="14" customFormat="1" x14ac:dyDescent="0.25">
      <c r="A71" s="8">
        <v>67</v>
      </c>
      <c r="B71" s="4" t="s">
        <v>690</v>
      </c>
      <c r="C71" s="4"/>
      <c r="D71" s="4" t="s">
        <v>77</v>
      </c>
      <c r="E71" s="4" t="s">
        <v>75</v>
      </c>
      <c r="F71" s="19" t="s">
        <v>8</v>
      </c>
      <c r="G71" s="19" t="s">
        <v>837</v>
      </c>
      <c r="H71" s="556" t="s">
        <v>837</v>
      </c>
      <c r="I71" s="556">
        <v>10002</v>
      </c>
      <c r="J71" s="556" t="s">
        <v>837</v>
      </c>
      <c r="K71" s="556">
        <v>10004</v>
      </c>
      <c r="L71" s="556" t="s">
        <v>837</v>
      </c>
      <c r="M71" s="556" t="s">
        <v>837</v>
      </c>
      <c r="N71" s="556">
        <v>10002</v>
      </c>
      <c r="O71" s="556" t="s">
        <v>837</v>
      </c>
      <c r="P71" s="556">
        <v>10004</v>
      </c>
      <c r="Q71" s="556" t="s">
        <v>837</v>
      </c>
      <c r="R71" s="556" t="s">
        <v>837</v>
      </c>
      <c r="S71" s="556">
        <v>10002</v>
      </c>
      <c r="T71" s="556" t="s">
        <v>837</v>
      </c>
      <c r="U71" s="556">
        <v>10004</v>
      </c>
      <c r="V71" s="556" t="s">
        <v>837</v>
      </c>
      <c r="W71" s="556" t="s">
        <v>837</v>
      </c>
      <c r="X71" s="556" t="s">
        <v>837</v>
      </c>
      <c r="Y71" s="556" t="s">
        <v>837</v>
      </c>
      <c r="Z71" s="556" t="s">
        <v>837</v>
      </c>
      <c r="AA71" s="556" t="s">
        <v>837</v>
      </c>
      <c r="AB71" s="556" t="s">
        <v>837</v>
      </c>
      <c r="AC71" s="556">
        <v>10002</v>
      </c>
      <c r="AD71" s="556" t="s">
        <v>837</v>
      </c>
      <c r="AE71" s="556">
        <v>10004</v>
      </c>
      <c r="AF71" s="556" t="s">
        <v>837</v>
      </c>
      <c r="AG71" s="556" t="s">
        <v>837</v>
      </c>
      <c r="AH71" s="556">
        <v>10002</v>
      </c>
      <c r="AI71" s="556" t="s">
        <v>837</v>
      </c>
      <c r="AJ71" s="556">
        <v>10004</v>
      </c>
      <c r="AK71" s="556" t="s">
        <v>837</v>
      </c>
      <c r="AL71" s="556" t="s">
        <v>837</v>
      </c>
      <c r="AM71" s="556">
        <v>10002</v>
      </c>
      <c r="AN71" s="556" t="s">
        <v>837</v>
      </c>
      <c r="AO71" s="556">
        <v>10004</v>
      </c>
      <c r="AP71" s="556" t="s">
        <v>837</v>
      </c>
      <c r="AQ71" s="556" t="s">
        <v>837</v>
      </c>
      <c r="AR71" s="556">
        <v>10002</v>
      </c>
      <c r="AS71" s="556" t="s">
        <v>837</v>
      </c>
      <c r="AT71" s="556">
        <v>10004</v>
      </c>
      <c r="AU71" s="556" t="s">
        <v>837</v>
      </c>
      <c r="AV71" s="556" t="s">
        <v>837</v>
      </c>
      <c r="AW71" s="556" t="s">
        <v>837</v>
      </c>
      <c r="AX71" s="556" t="s">
        <v>837</v>
      </c>
      <c r="AY71" s="556" t="s">
        <v>837</v>
      </c>
      <c r="AZ71" s="556" t="s">
        <v>837</v>
      </c>
      <c r="BA71" s="556" t="s">
        <v>837</v>
      </c>
      <c r="BB71" s="556">
        <v>10002</v>
      </c>
      <c r="BC71" s="556" t="s">
        <v>837</v>
      </c>
      <c r="BD71" s="556">
        <v>10004</v>
      </c>
      <c r="BE71" s="556" t="s">
        <v>837</v>
      </c>
      <c r="BF71" s="612"/>
      <c r="BG71" s="612"/>
      <c r="BH71" s="612"/>
      <c r="BI71" s="576"/>
      <c r="BJ71" s="576"/>
      <c r="BK71" s="576"/>
      <c r="BL71" s="602"/>
      <c r="BM71" s="553" t="s">
        <v>837</v>
      </c>
      <c r="BN71" s="612" t="s">
        <v>837</v>
      </c>
      <c r="BO71" s="576"/>
      <c r="BP71" s="606"/>
      <c r="BQ71" s="576"/>
      <c r="BR71" s="570"/>
      <c r="BS71" s="547"/>
      <c r="BT71" s="549"/>
      <c r="BU71" s="549"/>
      <c r="BV71" s="549"/>
      <c r="BW71" s="549"/>
      <c r="BX71" s="549"/>
      <c r="BY71" s="549"/>
      <c r="BZ71" s="549"/>
      <c r="CA71" s="549"/>
      <c r="CB71" s="549"/>
      <c r="CC71" s="549"/>
      <c r="CD71" s="548"/>
      <c r="CE71" s="547"/>
      <c r="CF71" s="549"/>
      <c r="CG71" s="549"/>
      <c r="CH71" s="549"/>
      <c r="CI71" s="549"/>
      <c r="CJ71" s="549"/>
      <c r="CK71" s="549"/>
      <c r="CL71" s="549"/>
      <c r="CM71" s="549"/>
      <c r="CN71" s="548"/>
      <c r="CO71" s="640"/>
      <c r="CP71" s="640"/>
      <c r="CQ71" s="640"/>
      <c r="CR71" s="640"/>
      <c r="CS71" s="640"/>
      <c r="CT71" s="640"/>
      <c r="CU71" s="640"/>
      <c r="CV71" s="640"/>
      <c r="CW71" s="640"/>
      <c r="CX71" s="640"/>
      <c r="CY71" s="640"/>
      <c r="CZ71" s="640"/>
      <c r="DA71" s="640"/>
      <c r="DB71" s="640"/>
      <c r="DC71" s="640"/>
      <c r="DD71" s="640"/>
      <c r="DE71" s="640"/>
      <c r="DF71" s="640"/>
      <c r="DG71" s="640"/>
      <c r="DH71" s="640"/>
      <c r="DI71" s="641"/>
      <c r="DJ71" s="641"/>
      <c r="DK71" s="641"/>
      <c r="DL71" s="641"/>
      <c r="DM71" s="641"/>
      <c r="DN71" s="641"/>
      <c r="DO71" s="641"/>
      <c r="DP71" s="576"/>
      <c r="DQ71" s="576"/>
      <c r="DR71" s="576"/>
      <c r="DS71" s="576"/>
      <c r="DT71" s="576"/>
      <c r="DU71" s="576"/>
      <c r="DV71" s="576"/>
      <c r="DW71" s="576"/>
      <c r="DX71" s="576"/>
      <c r="DY71" s="576"/>
      <c r="DZ71" s="576"/>
      <c r="EA71" s="576"/>
      <c r="EB71" s="576"/>
      <c r="EC71" s="576"/>
      <c r="ED71" s="576"/>
      <c r="EE71" s="576"/>
      <c r="EF71" s="576"/>
      <c r="EG71" s="576"/>
      <c r="EH71" s="576"/>
    </row>
    <row r="72" spans="1:138" s="14" customFormat="1" x14ac:dyDescent="0.25">
      <c r="A72" s="8">
        <v>68</v>
      </c>
      <c r="B72" s="4" t="s">
        <v>18</v>
      </c>
      <c r="C72" s="4"/>
      <c r="D72" s="4" t="s">
        <v>77</v>
      </c>
      <c r="E72" s="4" t="s">
        <v>74</v>
      </c>
      <c r="F72" s="19" t="s">
        <v>8</v>
      </c>
      <c r="G72" s="19" t="s">
        <v>6</v>
      </c>
      <c r="H72" s="556">
        <v>10001</v>
      </c>
      <c r="I72" s="556">
        <v>10002</v>
      </c>
      <c r="J72" s="556">
        <v>10003</v>
      </c>
      <c r="K72" s="556">
        <v>10004</v>
      </c>
      <c r="L72" s="556">
        <v>10005</v>
      </c>
      <c r="M72" s="556">
        <v>10001</v>
      </c>
      <c r="N72" s="556">
        <v>10002</v>
      </c>
      <c r="O72" s="556">
        <v>10003</v>
      </c>
      <c r="P72" s="556">
        <v>10004</v>
      </c>
      <c r="Q72" s="556">
        <v>10005</v>
      </c>
      <c r="R72" s="556"/>
      <c r="S72" s="556" t="s">
        <v>837</v>
      </c>
      <c r="T72" s="556"/>
      <c r="U72" s="556" t="s">
        <v>837</v>
      </c>
      <c r="V72" s="556" t="s">
        <v>837</v>
      </c>
      <c r="W72" s="556" t="s">
        <v>837</v>
      </c>
      <c r="X72" s="556">
        <v>10002</v>
      </c>
      <c r="Y72" s="556" t="s">
        <v>837</v>
      </c>
      <c r="Z72" s="556">
        <v>10004</v>
      </c>
      <c r="AA72" s="556">
        <v>10005</v>
      </c>
      <c r="AB72" s="556">
        <v>10001</v>
      </c>
      <c r="AC72" s="556">
        <v>10002</v>
      </c>
      <c r="AD72" s="556">
        <v>10003</v>
      </c>
      <c r="AE72" s="556">
        <v>10004</v>
      </c>
      <c r="AF72" s="556">
        <v>10005</v>
      </c>
      <c r="AG72" s="556" t="s">
        <v>837</v>
      </c>
      <c r="AH72" s="556" t="s">
        <v>837</v>
      </c>
      <c r="AI72" s="556" t="s">
        <v>837</v>
      </c>
      <c r="AJ72" s="556" t="s">
        <v>837</v>
      </c>
      <c r="AK72" s="556" t="s">
        <v>837</v>
      </c>
      <c r="AL72" s="556" t="s">
        <v>837</v>
      </c>
      <c r="AM72" s="556" t="s">
        <v>837</v>
      </c>
      <c r="AN72" s="556" t="s">
        <v>837</v>
      </c>
      <c r="AO72" s="556" t="s">
        <v>837</v>
      </c>
      <c r="AP72" s="556" t="s">
        <v>837</v>
      </c>
      <c r="AQ72" s="556" t="s">
        <v>837</v>
      </c>
      <c r="AR72" s="556" t="s">
        <v>837</v>
      </c>
      <c r="AS72" s="556" t="s">
        <v>837</v>
      </c>
      <c r="AT72" s="556" t="s">
        <v>837</v>
      </c>
      <c r="AU72" s="556" t="s">
        <v>837</v>
      </c>
      <c r="AV72" s="556" t="s">
        <v>837</v>
      </c>
      <c r="AW72" s="556" t="s">
        <v>837</v>
      </c>
      <c r="AX72" s="556" t="s">
        <v>837</v>
      </c>
      <c r="AY72" s="556" t="s">
        <v>837</v>
      </c>
      <c r="AZ72" s="556" t="s">
        <v>837</v>
      </c>
      <c r="BA72" s="556" t="s">
        <v>837</v>
      </c>
      <c r="BB72" s="556" t="s">
        <v>837</v>
      </c>
      <c r="BC72" s="556" t="s">
        <v>837</v>
      </c>
      <c r="BD72" s="556" t="s">
        <v>837</v>
      </c>
      <c r="BE72" s="556" t="s">
        <v>837</v>
      </c>
      <c r="BF72" s="636"/>
      <c r="BG72" s="636"/>
      <c r="BH72" s="636">
        <v>20001</v>
      </c>
      <c r="BI72" s="576"/>
      <c r="BJ72" s="576"/>
      <c r="BK72" s="576"/>
      <c r="BL72" s="602"/>
      <c r="BM72" s="553">
        <v>40001</v>
      </c>
      <c r="BN72" s="612">
        <v>40001</v>
      </c>
      <c r="BO72" s="576"/>
      <c r="BP72" s="606"/>
      <c r="BQ72" s="576"/>
      <c r="BR72" s="570"/>
      <c r="BS72" s="547"/>
      <c r="BT72" s="549"/>
      <c r="BU72" s="549"/>
      <c r="BV72" s="549"/>
      <c r="BW72" s="549"/>
      <c r="BX72" s="549"/>
      <c r="BY72" s="549"/>
      <c r="BZ72" s="549"/>
      <c r="CA72" s="549"/>
      <c r="CB72" s="549"/>
      <c r="CC72" s="549"/>
      <c r="CD72" s="548"/>
      <c r="CE72" s="547"/>
      <c r="CF72" s="549"/>
      <c r="CG72" s="549"/>
      <c r="CH72" s="549"/>
      <c r="CI72" s="549"/>
      <c r="CJ72" s="549"/>
      <c r="CK72" s="549"/>
      <c r="CL72" s="549"/>
      <c r="CM72" s="549"/>
      <c r="CN72" s="548"/>
      <c r="CO72" s="640"/>
      <c r="CP72" s="640"/>
      <c r="CQ72" s="640"/>
      <c r="CR72" s="640"/>
      <c r="CS72" s="640"/>
      <c r="CT72" s="640"/>
      <c r="CU72" s="640"/>
      <c r="CV72" s="640"/>
      <c r="CW72" s="640"/>
      <c r="CX72" s="640"/>
      <c r="CY72" s="640"/>
      <c r="CZ72" s="640"/>
      <c r="DA72" s="640"/>
      <c r="DB72" s="640"/>
      <c r="DC72" s="640"/>
      <c r="DD72" s="640"/>
      <c r="DE72" s="640"/>
      <c r="DF72" s="640"/>
      <c r="DG72" s="640"/>
      <c r="DH72" s="640"/>
      <c r="DI72" s="641"/>
      <c r="DJ72" s="641"/>
      <c r="DK72" s="641"/>
      <c r="DL72" s="641"/>
      <c r="DM72" s="641"/>
      <c r="DN72" s="641"/>
      <c r="DO72" s="641"/>
      <c r="DP72" s="576"/>
      <c r="DQ72" s="576"/>
      <c r="DR72" s="576"/>
      <c r="DS72" s="576"/>
      <c r="DT72" s="576"/>
      <c r="DU72" s="576"/>
      <c r="DV72" s="576"/>
      <c r="DW72" s="576"/>
      <c r="DX72" s="576"/>
      <c r="DY72" s="576"/>
      <c r="DZ72" s="576"/>
      <c r="EA72" s="576"/>
      <c r="EB72" s="576"/>
      <c r="EC72" s="576"/>
      <c r="ED72" s="576"/>
      <c r="EE72" s="576"/>
      <c r="EF72" s="576"/>
      <c r="EG72" s="576"/>
      <c r="EH72" s="576"/>
    </row>
    <row r="73" spans="1:138" s="14" customFormat="1" x14ac:dyDescent="0.25">
      <c r="A73" s="8">
        <v>69</v>
      </c>
      <c r="B73" s="4" t="s">
        <v>692</v>
      </c>
      <c r="C73" s="4"/>
      <c r="D73" s="4" t="s">
        <v>77</v>
      </c>
      <c r="E73" s="4" t="s">
        <v>74</v>
      </c>
      <c r="F73" s="19" t="s">
        <v>8</v>
      </c>
      <c r="G73" s="19" t="s">
        <v>837</v>
      </c>
      <c r="H73" s="556" t="s">
        <v>837</v>
      </c>
      <c r="I73" s="556">
        <v>10002</v>
      </c>
      <c r="J73" s="556" t="s">
        <v>837</v>
      </c>
      <c r="K73" s="556">
        <v>10004</v>
      </c>
      <c r="L73" s="556" t="s">
        <v>837</v>
      </c>
      <c r="M73" s="556" t="s">
        <v>837</v>
      </c>
      <c r="N73" s="556">
        <v>10002</v>
      </c>
      <c r="O73" s="556" t="s">
        <v>837</v>
      </c>
      <c r="P73" s="556">
        <v>10004</v>
      </c>
      <c r="Q73" s="556" t="s">
        <v>837</v>
      </c>
      <c r="R73" s="556" t="s">
        <v>837</v>
      </c>
      <c r="S73" s="556">
        <v>10002</v>
      </c>
      <c r="T73" s="556" t="s">
        <v>837</v>
      </c>
      <c r="U73" s="556">
        <v>10004</v>
      </c>
      <c r="V73" s="556" t="s">
        <v>837</v>
      </c>
      <c r="W73" s="556" t="s">
        <v>837</v>
      </c>
      <c r="X73" s="556" t="s">
        <v>837</v>
      </c>
      <c r="Y73" s="556" t="s">
        <v>837</v>
      </c>
      <c r="Z73" s="556" t="s">
        <v>837</v>
      </c>
      <c r="AA73" s="556" t="s">
        <v>837</v>
      </c>
      <c r="AB73" s="556" t="s">
        <v>837</v>
      </c>
      <c r="AC73" s="556">
        <v>10002</v>
      </c>
      <c r="AD73" s="556" t="s">
        <v>837</v>
      </c>
      <c r="AE73" s="556">
        <v>10004</v>
      </c>
      <c r="AF73" s="556" t="s">
        <v>837</v>
      </c>
      <c r="AG73" s="556" t="s">
        <v>837</v>
      </c>
      <c r="AH73" s="556">
        <v>10002</v>
      </c>
      <c r="AI73" s="556" t="s">
        <v>837</v>
      </c>
      <c r="AJ73" s="556">
        <v>10004</v>
      </c>
      <c r="AK73" s="556" t="s">
        <v>837</v>
      </c>
      <c r="AL73" s="556" t="s">
        <v>837</v>
      </c>
      <c r="AM73" s="556">
        <v>10002</v>
      </c>
      <c r="AN73" s="556" t="s">
        <v>837</v>
      </c>
      <c r="AO73" s="556">
        <v>10004</v>
      </c>
      <c r="AP73" s="556" t="s">
        <v>837</v>
      </c>
      <c r="AQ73" s="556" t="s">
        <v>837</v>
      </c>
      <c r="AR73" s="556">
        <v>10002</v>
      </c>
      <c r="AS73" s="556" t="s">
        <v>837</v>
      </c>
      <c r="AT73" s="556">
        <v>10004</v>
      </c>
      <c r="AU73" s="556" t="s">
        <v>837</v>
      </c>
      <c r="AV73" s="556" t="s">
        <v>837</v>
      </c>
      <c r="AW73" s="556" t="s">
        <v>837</v>
      </c>
      <c r="AX73" s="556" t="s">
        <v>837</v>
      </c>
      <c r="AY73" s="556" t="s">
        <v>837</v>
      </c>
      <c r="AZ73" s="556" t="s">
        <v>837</v>
      </c>
      <c r="BA73" s="556" t="s">
        <v>837</v>
      </c>
      <c r="BB73" s="556">
        <v>10002</v>
      </c>
      <c r="BC73" s="556" t="s">
        <v>837</v>
      </c>
      <c r="BD73" s="556">
        <v>10004</v>
      </c>
      <c r="BE73" s="556" t="s">
        <v>837</v>
      </c>
      <c r="BF73" s="636"/>
      <c r="BG73" s="636"/>
      <c r="BH73" s="636">
        <v>20001</v>
      </c>
      <c r="BI73" s="576"/>
      <c r="BJ73" s="576"/>
      <c r="BK73" s="576"/>
      <c r="BL73" s="602"/>
      <c r="BM73" s="553">
        <v>40001</v>
      </c>
      <c r="BN73" s="612">
        <v>40001</v>
      </c>
      <c r="BO73" s="576"/>
      <c r="BP73" s="606"/>
      <c r="BQ73" s="576"/>
      <c r="BR73" s="570"/>
      <c r="BS73" s="547"/>
      <c r="BT73" s="549"/>
      <c r="BU73" s="549"/>
      <c r="BV73" s="549"/>
      <c r="BW73" s="549"/>
      <c r="BX73" s="549"/>
      <c r="BY73" s="549"/>
      <c r="BZ73" s="549"/>
      <c r="CA73" s="549"/>
      <c r="CB73" s="549"/>
      <c r="CC73" s="549"/>
      <c r="CD73" s="548"/>
      <c r="CE73" s="547"/>
      <c r="CF73" s="549"/>
      <c r="CG73" s="549"/>
      <c r="CH73" s="549"/>
      <c r="CI73" s="549"/>
      <c r="CJ73" s="549"/>
      <c r="CK73" s="549"/>
      <c r="CL73" s="549"/>
      <c r="CM73" s="549"/>
      <c r="CN73" s="548"/>
      <c r="CO73" s="640"/>
      <c r="CP73" s="640"/>
      <c r="CQ73" s="640"/>
      <c r="CR73" s="640"/>
      <c r="CS73" s="640"/>
      <c r="CT73" s="640"/>
      <c r="CU73" s="640"/>
      <c r="CV73" s="640"/>
      <c r="CW73" s="640"/>
      <c r="CX73" s="640"/>
      <c r="CY73" s="640"/>
      <c r="CZ73" s="640"/>
      <c r="DA73" s="640"/>
      <c r="DB73" s="640"/>
      <c r="DC73" s="640"/>
      <c r="DD73" s="640"/>
      <c r="DE73" s="640"/>
      <c r="DF73" s="640"/>
      <c r="DG73" s="640"/>
      <c r="DH73" s="640"/>
      <c r="DI73" s="641"/>
      <c r="DJ73" s="641"/>
      <c r="DK73" s="641"/>
      <c r="DL73" s="641"/>
      <c r="DM73" s="641"/>
      <c r="DN73" s="641"/>
      <c r="DO73" s="641"/>
      <c r="DP73" s="576"/>
      <c r="DQ73" s="576"/>
      <c r="DR73" s="576"/>
      <c r="DS73" s="576"/>
      <c r="DT73" s="576"/>
      <c r="DU73" s="576"/>
      <c r="DV73" s="576"/>
      <c r="DW73" s="576"/>
      <c r="DX73" s="576"/>
      <c r="DY73" s="576"/>
      <c r="DZ73" s="576"/>
      <c r="EA73" s="576"/>
      <c r="EB73" s="576"/>
      <c r="EC73" s="576"/>
      <c r="ED73" s="576"/>
      <c r="EE73" s="576"/>
      <c r="EF73" s="576"/>
      <c r="EG73" s="576"/>
      <c r="EH73" s="576"/>
    </row>
    <row r="74" spans="1:138" s="14" customFormat="1" x14ac:dyDescent="0.25">
      <c r="A74" s="8">
        <v>70</v>
      </c>
      <c r="B74" s="4" t="s">
        <v>28</v>
      </c>
      <c r="C74" s="4"/>
      <c r="D74" s="4" t="s">
        <v>77</v>
      </c>
      <c r="E74" s="4" t="s">
        <v>74</v>
      </c>
      <c r="F74" s="19" t="s">
        <v>8</v>
      </c>
      <c r="G74" s="19" t="s">
        <v>837</v>
      </c>
      <c r="H74" s="556">
        <v>10001</v>
      </c>
      <c r="I74" s="556">
        <v>10002</v>
      </c>
      <c r="J74" s="556">
        <v>10003</v>
      </c>
      <c r="K74" s="556">
        <v>10004</v>
      </c>
      <c r="L74" s="556" t="s">
        <v>837</v>
      </c>
      <c r="M74" s="556">
        <v>10001</v>
      </c>
      <c r="N74" s="556">
        <v>10002</v>
      </c>
      <c r="O74" s="556">
        <v>10003</v>
      </c>
      <c r="P74" s="556">
        <v>10004</v>
      </c>
      <c r="Q74" s="556" t="s">
        <v>837</v>
      </c>
      <c r="R74" s="556">
        <v>10001</v>
      </c>
      <c r="S74" s="556">
        <v>10002</v>
      </c>
      <c r="T74" s="556">
        <v>10003</v>
      </c>
      <c r="U74" s="556">
        <v>10004</v>
      </c>
      <c r="V74" s="556" t="s">
        <v>837</v>
      </c>
      <c r="W74" s="556" t="s">
        <v>837</v>
      </c>
      <c r="X74" s="556" t="s">
        <v>837</v>
      </c>
      <c r="Y74" s="556" t="s">
        <v>837</v>
      </c>
      <c r="Z74" s="556" t="s">
        <v>837</v>
      </c>
      <c r="AA74" s="556" t="s">
        <v>837</v>
      </c>
      <c r="AB74" s="556">
        <v>10001</v>
      </c>
      <c r="AC74" s="556">
        <v>10002</v>
      </c>
      <c r="AD74" s="556">
        <v>10003</v>
      </c>
      <c r="AE74" s="556">
        <v>10004</v>
      </c>
      <c r="AF74" s="556" t="s">
        <v>837</v>
      </c>
      <c r="AG74" s="556" t="s">
        <v>837</v>
      </c>
      <c r="AH74" s="556">
        <v>10002</v>
      </c>
      <c r="AI74" s="556" t="s">
        <v>837</v>
      </c>
      <c r="AJ74" s="556">
        <v>10004</v>
      </c>
      <c r="AK74" s="556" t="s">
        <v>837</v>
      </c>
      <c r="AL74" s="556" t="s">
        <v>837</v>
      </c>
      <c r="AM74" s="556">
        <v>10002</v>
      </c>
      <c r="AN74" s="556" t="s">
        <v>837</v>
      </c>
      <c r="AO74" s="556">
        <v>10004</v>
      </c>
      <c r="AP74" s="556" t="s">
        <v>837</v>
      </c>
      <c r="AQ74" s="556" t="s">
        <v>837</v>
      </c>
      <c r="AR74" s="556">
        <v>10002</v>
      </c>
      <c r="AS74" s="556" t="s">
        <v>837</v>
      </c>
      <c r="AT74" s="556">
        <v>10004</v>
      </c>
      <c r="AU74" s="556" t="s">
        <v>837</v>
      </c>
      <c r="AV74" s="556" t="s">
        <v>837</v>
      </c>
      <c r="AW74" s="556" t="s">
        <v>837</v>
      </c>
      <c r="AX74" s="556" t="s">
        <v>837</v>
      </c>
      <c r="AY74" s="556" t="s">
        <v>837</v>
      </c>
      <c r="AZ74" s="556" t="s">
        <v>837</v>
      </c>
      <c r="BA74" s="556" t="s">
        <v>837</v>
      </c>
      <c r="BB74" s="556">
        <v>10002</v>
      </c>
      <c r="BC74" s="556" t="s">
        <v>837</v>
      </c>
      <c r="BD74" s="556">
        <v>10004</v>
      </c>
      <c r="BE74" s="556" t="s">
        <v>837</v>
      </c>
      <c r="BF74" s="612"/>
      <c r="BG74" s="612"/>
      <c r="BH74" s="612"/>
      <c r="BI74" s="576"/>
      <c r="BJ74" s="576"/>
      <c r="BK74" s="576"/>
      <c r="BL74" s="602"/>
      <c r="BM74" s="553">
        <v>40001</v>
      </c>
      <c r="BN74" s="612">
        <v>40001</v>
      </c>
      <c r="BO74" s="576"/>
      <c r="BP74" s="606"/>
      <c r="BQ74" s="576"/>
      <c r="BR74" s="570"/>
      <c r="BS74" s="743"/>
      <c r="BT74" s="657"/>
      <c r="BU74" s="657"/>
      <c r="BV74" s="657"/>
      <c r="BW74" s="657"/>
      <c r="BX74" s="647"/>
      <c r="BY74" s="655"/>
      <c r="BZ74" s="647"/>
      <c r="CA74" s="657"/>
      <c r="CB74" s="657"/>
      <c r="CC74" s="657"/>
      <c r="CD74" s="656"/>
      <c r="CE74" s="737"/>
      <c r="CF74" s="738"/>
      <c r="CG74" s="738"/>
      <c r="CH74" s="738"/>
      <c r="CI74" s="738"/>
      <c r="CJ74" s="738"/>
      <c r="CK74" s="738"/>
      <c r="CL74" s="738"/>
      <c r="CM74" s="738"/>
      <c r="CN74" s="739"/>
      <c r="CO74" s="640"/>
      <c r="CP74" s="640"/>
      <c r="CQ74" s="640"/>
      <c r="CR74" s="640"/>
      <c r="CS74" s="640"/>
      <c r="CT74" s="640"/>
      <c r="CU74" s="640"/>
      <c r="CV74" s="640"/>
      <c r="CW74" s="640"/>
      <c r="CX74" s="640"/>
      <c r="CY74" s="640"/>
      <c r="CZ74" s="640"/>
      <c r="DA74" s="640"/>
      <c r="DB74" s="640"/>
      <c r="DC74" s="640"/>
      <c r="DD74" s="640"/>
      <c r="DE74" s="640"/>
      <c r="DF74" s="640"/>
      <c r="DG74" s="640"/>
      <c r="DH74" s="640"/>
      <c r="DI74" s="641"/>
      <c r="DJ74" s="641"/>
      <c r="DK74" s="641"/>
      <c r="DL74" s="641"/>
      <c r="DM74" s="641"/>
      <c r="DN74" s="641"/>
      <c r="DO74" s="641"/>
      <c r="DP74" s="576"/>
      <c r="DQ74" s="576"/>
      <c r="DR74" s="576"/>
      <c r="DS74" s="576"/>
      <c r="DT74" s="576"/>
      <c r="DU74" s="576"/>
      <c r="DV74" s="576"/>
      <c r="DW74" s="576"/>
      <c r="DX74" s="576"/>
      <c r="DY74" s="576"/>
      <c r="DZ74" s="576"/>
      <c r="EA74" s="576"/>
      <c r="EB74" s="576"/>
      <c r="EC74" s="576"/>
      <c r="ED74" s="576"/>
      <c r="EE74" s="576"/>
      <c r="EF74" s="576"/>
      <c r="EG74" s="576"/>
      <c r="EH74" s="576"/>
    </row>
    <row r="75" spans="1:138" s="14" customFormat="1" x14ac:dyDescent="0.25">
      <c r="A75" s="8">
        <v>71</v>
      </c>
      <c r="B75" s="19" t="s">
        <v>633</v>
      </c>
      <c r="C75" s="19"/>
      <c r="D75" s="19" t="s">
        <v>77</v>
      </c>
      <c r="E75" s="19" t="s">
        <v>75</v>
      </c>
      <c r="F75" s="19" t="s">
        <v>8</v>
      </c>
      <c r="G75" s="19" t="s">
        <v>837</v>
      </c>
      <c r="H75" s="556" t="s">
        <v>837</v>
      </c>
      <c r="I75" s="556">
        <v>10002</v>
      </c>
      <c r="J75" s="556" t="s">
        <v>837</v>
      </c>
      <c r="K75" s="556" t="s">
        <v>837</v>
      </c>
      <c r="L75" s="556" t="s">
        <v>837</v>
      </c>
      <c r="M75" s="556" t="s">
        <v>837</v>
      </c>
      <c r="N75" s="556">
        <v>10002</v>
      </c>
      <c r="O75" s="556" t="s">
        <v>837</v>
      </c>
      <c r="P75" s="556" t="s">
        <v>837</v>
      </c>
      <c r="Q75" s="556" t="s">
        <v>837</v>
      </c>
      <c r="R75" s="556" t="s">
        <v>837</v>
      </c>
      <c r="S75" s="556">
        <v>10002</v>
      </c>
      <c r="T75" s="556" t="s">
        <v>837</v>
      </c>
      <c r="U75" s="556" t="s">
        <v>837</v>
      </c>
      <c r="V75" s="556" t="s">
        <v>837</v>
      </c>
      <c r="W75" s="556" t="s">
        <v>837</v>
      </c>
      <c r="X75" s="556" t="s">
        <v>837</v>
      </c>
      <c r="Y75" s="556" t="s">
        <v>837</v>
      </c>
      <c r="Z75" s="556" t="s">
        <v>837</v>
      </c>
      <c r="AA75" s="556" t="s">
        <v>837</v>
      </c>
      <c r="AB75" s="556" t="s">
        <v>837</v>
      </c>
      <c r="AC75" s="556">
        <v>10002</v>
      </c>
      <c r="AD75" s="556" t="s">
        <v>837</v>
      </c>
      <c r="AE75" s="556" t="s">
        <v>837</v>
      </c>
      <c r="AF75" s="556" t="s">
        <v>837</v>
      </c>
      <c r="AG75" s="556" t="s">
        <v>837</v>
      </c>
      <c r="AH75" s="556">
        <v>10002</v>
      </c>
      <c r="AI75" s="556" t="s">
        <v>837</v>
      </c>
      <c r="AJ75" s="556" t="s">
        <v>837</v>
      </c>
      <c r="AK75" s="556" t="s">
        <v>837</v>
      </c>
      <c r="AL75" s="556" t="s">
        <v>837</v>
      </c>
      <c r="AM75" s="556">
        <v>10002</v>
      </c>
      <c r="AN75" s="556" t="s">
        <v>837</v>
      </c>
      <c r="AO75" s="556" t="s">
        <v>837</v>
      </c>
      <c r="AP75" s="556" t="s">
        <v>837</v>
      </c>
      <c r="AQ75" s="556" t="s">
        <v>837</v>
      </c>
      <c r="AR75" s="556">
        <v>10002</v>
      </c>
      <c r="AS75" s="556" t="s">
        <v>837</v>
      </c>
      <c r="AT75" s="556" t="s">
        <v>837</v>
      </c>
      <c r="AU75" s="556" t="s">
        <v>837</v>
      </c>
      <c r="AV75" s="556" t="s">
        <v>837</v>
      </c>
      <c r="AW75" s="556" t="s">
        <v>837</v>
      </c>
      <c r="AX75" s="556" t="s">
        <v>837</v>
      </c>
      <c r="AY75" s="556" t="s">
        <v>837</v>
      </c>
      <c r="AZ75" s="556" t="s">
        <v>837</v>
      </c>
      <c r="BA75" s="556" t="s">
        <v>837</v>
      </c>
      <c r="BB75" s="556">
        <v>10002</v>
      </c>
      <c r="BC75" s="556" t="s">
        <v>837</v>
      </c>
      <c r="BD75" s="556" t="s">
        <v>837</v>
      </c>
      <c r="BE75" s="556" t="s">
        <v>837</v>
      </c>
      <c r="BF75" s="636"/>
      <c r="BG75" s="636"/>
      <c r="BH75" s="636">
        <v>20001</v>
      </c>
      <c r="BI75" s="576"/>
      <c r="BJ75" s="576"/>
      <c r="BK75" s="576"/>
      <c r="BL75" s="602"/>
      <c r="BM75" s="553">
        <v>40001</v>
      </c>
      <c r="BN75" s="612">
        <v>40001</v>
      </c>
      <c r="BO75" s="576"/>
      <c r="BP75" s="606"/>
      <c r="BQ75" s="576"/>
      <c r="BR75" s="570"/>
      <c r="BS75" s="547"/>
      <c r="BT75" s="549"/>
      <c r="BU75" s="549"/>
      <c r="BV75" s="549"/>
      <c r="BW75" s="549"/>
      <c r="BX75" s="549"/>
      <c r="BY75" s="549"/>
      <c r="BZ75" s="549"/>
      <c r="CA75" s="549"/>
      <c r="CB75" s="549"/>
      <c r="CC75" s="549"/>
      <c r="CD75" s="548"/>
      <c r="CE75" s="547"/>
      <c r="CF75" s="549"/>
      <c r="CG75" s="549"/>
      <c r="CH75" s="549"/>
      <c r="CI75" s="549"/>
      <c r="CJ75" s="549"/>
      <c r="CK75" s="549"/>
      <c r="CL75" s="549"/>
      <c r="CM75" s="549"/>
      <c r="CN75" s="548"/>
      <c r="CO75" s="640"/>
      <c r="CP75" s="640"/>
      <c r="CQ75" s="640"/>
      <c r="CR75" s="640"/>
      <c r="CS75" s="640"/>
      <c r="CT75" s="640"/>
      <c r="CU75" s="640"/>
      <c r="CV75" s="640"/>
      <c r="CW75" s="640"/>
      <c r="CX75" s="640"/>
      <c r="CY75" s="640"/>
      <c r="CZ75" s="640"/>
      <c r="DA75" s="640"/>
      <c r="DB75" s="640"/>
      <c r="DC75" s="640"/>
      <c r="DD75" s="640"/>
      <c r="DE75" s="640"/>
      <c r="DF75" s="640"/>
      <c r="DG75" s="640"/>
      <c r="DH75" s="640"/>
      <c r="DI75" s="641"/>
      <c r="DJ75" s="641"/>
      <c r="DK75" s="641"/>
      <c r="DL75" s="641"/>
      <c r="DM75" s="641"/>
      <c r="DN75" s="641"/>
      <c r="DO75" s="641"/>
      <c r="DP75" s="576"/>
      <c r="DQ75" s="576"/>
      <c r="DR75" s="576"/>
      <c r="DS75" s="576"/>
      <c r="DT75" s="576"/>
      <c r="DU75" s="576"/>
      <c r="DV75" s="576"/>
      <c r="DW75" s="576"/>
      <c r="DX75" s="576"/>
      <c r="DY75" s="576"/>
      <c r="DZ75" s="576"/>
      <c r="EA75" s="576"/>
      <c r="EB75" s="576"/>
      <c r="EC75" s="576"/>
      <c r="ED75" s="576"/>
      <c r="EE75" s="576"/>
      <c r="EF75" s="576"/>
      <c r="EG75" s="576"/>
      <c r="EH75" s="576"/>
    </row>
    <row r="76" spans="1:138" s="14" customFormat="1" x14ac:dyDescent="0.25">
      <c r="A76" s="8">
        <v>72</v>
      </c>
      <c r="B76" s="19" t="s">
        <v>29</v>
      </c>
      <c r="C76" s="19"/>
      <c r="D76" s="19" t="s">
        <v>77</v>
      </c>
      <c r="E76" s="19" t="s">
        <v>75</v>
      </c>
      <c r="F76" s="19"/>
      <c r="G76" s="19" t="s">
        <v>6</v>
      </c>
      <c r="H76" s="556">
        <v>10001</v>
      </c>
      <c r="I76" s="556" t="s">
        <v>837</v>
      </c>
      <c r="J76" s="556">
        <v>10003</v>
      </c>
      <c r="K76" s="556">
        <v>10004</v>
      </c>
      <c r="L76" s="556" t="s">
        <v>837</v>
      </c>
      <c r="M76" s="556">
        <v>10001</v>
      </c>
      <c r="N76" s="556" t="s">
        <v>837</v>
      </c>
      <c r="O76" s="556">
        <v>10003</v>
      </c>
      <c r="P76" s="556">
        <v>10004</v>
      </c>
      <c r="Q76" s="556" t="s">
        <v>837</v>
      </c>
      <c r="R76" s="556"/>
      <c r="S76" s="556" t="s">
        <v>837</v>
      </c>
      <c r="T76" s="556"/>
      <c r="U76" s="556" t="s">
        <v>837</v>
      </c>
      <c r="V76" s="556" t="s">
        <v>837</v>
      </c>
      <c r="W76" s="556" t="s">
        <v>837</v>
      </c>
      <c r="X76" s="556" t="s">
        <v>837</v>
      </c>
      <c r="Y76" s="556" t="s">
        <v>837</v>
      </c>
      <c r="Z76" s="556">
        <v>10004</v>
      </c>
      <c r="AA76" s="556" t="s">
        <v>837</v>
      </c>
      <c r="AB76" s="556">
        <v>10001</v>
      </c>
      <c r="AC76" s="556" t="s">
        <v>837</v>
      </c>
      <c r="AD76" s="556">
        <v>10003</v>
      </c>
      <c r="AE76" s="556">
        <v>10004</v>
      </c>
      <c r="AF76" s="556" t="s">
        <v>837</v>
      </c>
      <c r="AG76" s="556" t="s">
        <v>837</v>
      </c>
      <c r="AH76" s="556" t="s">
        <v>837</v>
      </c>
      <c r="AI76" s="556" t="s">
        <v>837</v>
      </c>
      <c r="AJ76" s="556" t="s">
        <v>837</v>
      </c>
      <c r="AK76" s="556" t="s">
        <v>837</v>
      </c>
      <c r="AL76" s="556" t="s">
        <v>837</v>
      </c>
      <c r="AM76" s="556" t="s">
        <v>837</v>
      </c>
      <c r="AN76" s="556" t="s">
        <v>837</v>
      </c>
      <c r="AO76" s="556" t="s">
        <v>837</v>
      </c>
      <c r="AP76" s="556" t="s">
        <v>837</v>
      </c>
      <c r="AQ76" s="556" t="s">
        <v>837</v>
      </c>
      <c r="AR76" s="556" t="s">
        <v>837</v>
      </c>
      <c r="AS76" s="556" t="s">
        <v>837</v>
      </c>
      <c r="AT76" s="556" t="s">
        <v>837</v>
      </c>
      <c r="AU76" s="556" t="s">
        <v>837</v>
      </c>
      <c r="AV76" s="556" t="s">
        <v>837</v>
      </c>
      <c r="AW76" s="556" t="s">
        <v>837</v>
      </c>
      <c r="AX76" s="556" t="s">
        <v>837</v>
      </c>
      <c r="AY76" s="556" t="s">
        <v>837</v>
      </c>
      <c r="AZ76" s="556" t="s">
        <v>837</v>
      </c>
      <c r="BA76" s="556" t="s">
        <v>837</v>
      </c>
      <c r="BB76" s="556" t="s">
        <v>837</v>
      </c>
      <c r="BC76" s="556" t="s">
        <v>837</v>
      </c>
      <c r="BD76" s="556" t="s">
        <v>837</v>
      </c>
      <c r="BE76" s="556" t="s">
        <v>837</v>
      </c>
      <c r="BF76" s="612"/>
      <c r="BG76" s="612"/>
      <c r="BH76" s="612"/>
      <c r="BI76" s="576"/>
      <c r="BJ76" s="576"/>
      <c r="BK76" s="576"/>
      <c r="BL76" s="602"/>
      <c r="BM76" s="553" t="s">
        <v>837</v>
      </c>
      <c r="BN76" s="612" t="s">
        <v>837</v>
      </c>
      <c r="BO76" s="576"/>
      <c r="BP76" s="606"/>
      <c r="BQ76" s="576"/>
      <c r="BR76" s="570"/>
      <c r="BS76" s="547"/>
      <c r="BT76" s="549"/>
      <c r="BU76" s="549"/>
      <c r="BV76" s="549"/>
      <c r="BW76" s="549"/>
      <c r="BX76" s="549"/>
      <c r="BY76" s="549"/>
      <c r="BZ76" s="549"/>
      <c r="CA76" s="549"/>
      <c r="CB76" s="549"/>
      <c r="CC76" s="549"/>
      <c r="CD76" s="548"/>
      <c r="CE76" s="547"/>
      <c r="CF76" s="549"/>
      <c r="CG76" s="549"/>
      <c r="CH76" s="549"/>
      <c r="CI76" s="549"/>
      <c r="CJ76" s="549"/>
      <c r="CK76" s="549"/>
      <c r="CL76" s="549"/>
      <c r="CM76" s="549"/>
      <c r="CN76" s="548"/>
      <c r="CO76" s="640"/>
      <c r="CP76" s="640"/>
      <c r="CQ76" s="640"/>
      <c r="CR76" s="640"/>
      <c r="CS76" s="640"/>
      <c r="CT76" s="640"/>
      <c r="CU76" s="640"/>
      <c r="CV76" s="640"/>
      <c r="CW76" s="640"/>
      <c r="CX76" s="640"/>
      <c r="CY76" s="640"/>
      <c r="CZ76" s="640"/>
      <c r="DA76" s="640"/>
      <c r="DB76" s="640"/>
      <c r="DC76" s="640"/>
      <c r="DD76" s="640"/>
      <c r="DE76" s="640"/>
      <c r="DF76" s="640"/>
      <c r="DG76" s="640"/>
      <c r="DH76" s="640"/>
      <c r="DI76" s="641"/>
      <c r="DJ76" s="641"/>
      <c r="DK76" s="641"/>
      <c r="DL76" s="641"/>
      <c r="DM76" s="641"/>
      <c r="DN76" s="641"/>
      <c r="DO76" s="641"/>
      <c r="DP76" s="576"/>
      <c r="DQ76" s="576"/>
      <c r="DR76" s="576"/>
      <c r="DS76" s="576"/>
      <c r="DT76" s="576"/>
      <c r="DU76" s="576"/>
      <c r="DV76" s="576"/>
      <c r="DW76" s="576"/>
      <c r="DX76" s="576"/>
      <c r="DY76" s="576"/>
      <c r="DZ76" s="576"/>
      <c r="EA76" s="576"/>
      <c r="EB76" s="576"/>
      <c r="EC76" s="576"/>
      <c r="ED76" s="576"/>
      <c r="EE76" s="576"/>
      <c r="EF76" s="576"/>
      <c r="EG76" s="576"/>
      <c r="EH76" s="576"/>
    </row>
    <row r="77" spans="1:138" s="14" customFormat="1" x14ac:dyDescent="0.25">
      <c r="A77" s="8">
        <v>73</v>
      </c>
      <c r="B77" s="19" t="s">
        <v>721</v>
      </c>
      <c r="C77" s="19"/>
      <c r="D77" s="19" t="s">
        <v>77</v>
      </c>
      <c r="E77" s="19" t="s">
        <v>75</v>
      </c>
      <c r="F77" s="19" t="s">
        <v>8</v>
      </c>
      <c r="G77" s="19" t="s">
        <v>837</v>
      </c>
      <c r="H77" s="556">
        <v>10001</v>
      </c>
      <c r="I77" s="556">
        <v>10002</v>
      </c>
      <c r="J77" s="556" t="s">
        <v>837</v>
      </c>
      <c r="K77" s="556">
        <v>10004</v>
      </c>
      <c r="L77" s="556">
        <v>10005</v>
      </c>
      <c r="M77" s="556">
        <v>10001</v>
      </c>
      <c r="N77" s="556">
        <v>10002</v>
      </c>
      <c r="O77" s="556" t="s">
        <v>837</v>
      </c>
      <c r="P77" s="556">
        <v>10004</v>
      </c>
      <c r="Q77" s="556">
        <v>10005</v>
      </c>
      <c r="R77" s="556">
        <v>10001</v>
      </c>
      <c r="S77" s="556">
        <v>10002</v>
      </c>
      <c r="T77" s="556" t="s">
        <v>837</v>
      </c>
      <c r="U77" s="556">
        <v>10004</v>
      </c>
      <c r="V77" s="556">
        <v>10005</v>
      </c>
      <c r="W77" s="556" t="s">
        <v>837</v>
      </c>
      <c r="X77" s="556" t="s">
        <v>837</v>
      </c>
      <c r="Y77" s="556" t="s">
        <v>837</v>
      </c>
      <c r="Z77" s="556" t="s">
        <v>837</v>
      </c>
      <c r="AA77" s="556" t="s">
        <v>837</v>
      </c>
      <c r="AB77" s="556">
        <v>10001</v>
      </c>
      <c r="AC77" s="556">
        <v>10002</v>
      </c>
      <c r="AD77" s="556" t="s">
        <v>837</v>
      </c>
      <c r="AE77" s="556">
        <v>10004</v>
      </c>
      <c r="AF77" s="556">
        <v>10005</v>
      </c>
      <c r="AG77" s="556" t="s">
        <v>837</v>
      </c>
      <c r="AH77" s="556">
        <v>10002</v>
      </c>
      <c r="AI77" s="556" t="s">
        <v>837</v>
      </c>
      <c r="AJ77" s="556">
        <v>10004</v>
      </c>
      <c r="AK77" s="556" t="s">
        <v>837</v>
      </c>
      <c r="AL77" s="556" t="s">
        <v>837</v>
      </c>
      <c r="AM77" s="556">
        <v>10002</v>
      </c>
      <c r="AN77" s="556" t="s">
        <v>837</v>
      </c>
      <c r="AO77" s="556">
        <v>10004</v>
      </c>
      <c r="AP77" s="556" t="s">
        <v>837</v>
      </c>
      <c r="AQ77" s="556" t="s">
        <v>837</v>
      </c>
      <c r="AR77" s="556">
        <v>10002</v>
      </c>
      <c r="AS77" s="556" t="s">
        <v>837</v>
      </c>
      <c r="AT77" s="556">
        <v>10004</v>
      </c>
      <c r="AU77" s="556" t="s">
        <v>837</v>
      </c>
      <c r="AV77" s="556" t="s">
        <v>837</v>
      </c>
      <c r="AW77" s="556" t="s">
        <v>837</v>
      </c>
      <c r="AX77" s="556" t="s">
        <v>837</v>
      </c>
      <c r="AY77" s="556" t="s">
        <v>837</v>
      </c>
      <c r="AZ77" s="556" t="s">
        <v>837</v>
      </c>
      <c r="BA77" s="556" t="s">
        <v>837</v>
      </c>
      <c r="BB77" s="556">
        <v>10002</v>
      </c>
      <c r="BC77" s="556" t="s">
        <v>837</v>
      </c>
      <c r="BD77" s="556">
        <v>10004</v>
      </c>
      <c r="BE77" s="556" t="s">
        <v>837</v>
      </c>
      <c r="BF77" s="636"/>
      <c r="BG77" s="636"/>
      <c r="BH77" s="636">
        <v>20001</v>
      </c>
      <c r="BI77" s="576"/>
      <c r="BJ77" s="576"/>
      <c r="BK77" s="576"/>
      <c r="BL77" s="602"/>
      <c r="BM77" s="553">
        <v>40001</v>
      </c>
      <c r="BN77" s="612">
        <v>40001</v>
      </c>
      <c r="BO77" s="576"/>
      <c r="BP77" s="606"/>
      <c r="BQ77" s="576"/>
      <c r="BR77" s="570"/>
      <c r="BS77" s="547"/>
      <c r="BT77" s="549"/>
      <c r="BU77" s="549"/>
      <c r="BV77" s="549"/>
      <c r="BW77" s="549"/>
      <c r="BX77" s="549"/>
      <c r="BY77" s="549"/>
      <c r="BZ77" s="549"/>
      <c r="CA77" s="549"/>
      <c r="CB77" s="549"/>
      <c r="CC77" s="549"/>
      <c r="CD77" s="548"/>
      <c r="CE77" s="547"/>
      <c r="CF77" s="549"/>
      <c r="CG77" s="549"/>
      <c r="CH77" s="549"/>
      <c r="CI77" s="549"/>
      <c r="CJ77" s="549"/>
      <c r="CK77" s="549"/>
      <c r="CL77" s="549"/>
      <c r="CM77" s="549"/>
      <c r="CN77" s="548"/>
      <c r="CO77" s="640"/>
      <c r="CP77" s="640"/>
      <c r="CQ77" s="640"/>
      <c r="CR77" s="640"/>
      <c r="CS77" s="640"/>
      <c r="CT77" s="640"/>
      <c r="CU77" s="640"/>
      <c r="CV77" s="640"/>
      <c r="CW77" s="640"/>
      <c r="CX77" s="640"/>
      <c r="CY77" s="640"/>
      <c r="CZ77" s="640"/>
      <c r="DA77" s="640"/>
      <c r="DB77" s="640"/>
      <c r="DC77" s="640"/>
      <c r="DD77" s="640"/>
      <c r="DE77" s="640"/>
      <c r="DF77" s="640"/>
      <c r="DG77" s="640"/>
      <c r="DH77" s="640"/>
      <c r="DI77" s="641"/>
      <c r="DJ77" s="641"/>
      <c r="DK77" s="641"/>
      <c r="DL77" s="641"/>
      <c r="DM77" s="641"/>
      <c r="DN77" s="641"/>
      <c r="DO77" s="641"/>
      <c r="DP77" s="576"/>
      <c r="DQ77" s="576"/>
      <c r="DR77" s="576"/>
      <c r="DS77" s="576"/>
      <c r="DT77" s="576"/>
      <c r="DU77" s="576"/>
      <c r="DV77" s="576"/>
      <c r="DW77" s="576"/>
      <c r="DX77" s="576"/>
      <c r="DY77" s="576"/>
      <c r="DZ77" s="576"/>
      <c r="EA77" s="576"/>
      <c r="EB77" s="576"/>
      <c r="EC77" s="576"/>
      <c r="ED77" s="576"/>
      <c r="EE77" s="576"/>
      <c r="EF77" s="576"/>
      <c r="EG77" s="576"/>
      <c r="EH77" s="576"/>
    </row>
    <row r="78" spans="1:138" s="14" customFormat="1" x14ac:dyDescent="0.25">
      <c r="A78" s="8">
        <v>74</v>
      </c>
      <c r="B78" s="19" t="s">
        <v>632</v>
      </c>
      <c r="C78" s="19"/>
      <c r="D78" s="19" t="s">
        <v>77</v>
      </c>
      <c r="E78" s="19" t="s">
        <v>75</v>
      </c>
      <c r="F78" s="19" t="s">
        <v>8</v>
      </c>
      <c r="G78" s="19" t="s">
        <v>837</v>
      </c>
      <c r="H78" s="556" t="s">
        <v>837</v>
      </c>
      <c r="I78" s="556">
        <v>10002</v>
      </c>
      <c r="J78" s="556" t="s">
        <v>837</v>
      </c>
      <c r="K78" s="556" t="s">
        <v>837</v>
      </c>
      <c r="L78" s="556" t="s">
        <v>837</v>
      </c>
      <c r="M78" s="556" t="s">
        <v>837</v>
      </c>
      <c r="N78" s="556">
        <v>10002</v>
      </c>
      <c r="O78" s="556" t="s">
        <v>837</v>
      </c>
      <c r="P78" s="556" t="s">
        <v>837</v>
      </c>
      <c r="Q78" s="556" t="s">
        <v>837</v>
      </c>
      <c r="R78" s="556" t="s">
        <v>837</v>
      </c>
      <c r="S78" s="556">
        <v>10002</v>
      </c>
      <c r="T78" s="556" t="s">
        <v>837</v>
      </c>
      <c r="U78" s="556" t="s">
        <v>837</v>
      </c>
      <c r="V78" s="556" t="s">
        <v>837</v>
      </c>
      <c r="W78" s="556" t="s">
        <v>837</v>
      </c>
      <c r="X78" s="556" t="s">
        <v>837</v>
      </c>
      <c r="Y78" s="556" t="s">
        <v>837</v>
      </c>
      <c r="Z78" s="556" t="s">
        <v>837</v>
      </c>
      <c r="AA78" s="556" t="s">
        <v>837</v>
      </c>
      <c r="AB78" s="556" t="s">
        <v>837</v>
      </c>
      <c r="AC78" s="556">
        <v>10002</v>
      </c>
      <c r="AD78" s="556" t="s">
        <v>837</v>
      </c>
      <c r="AE78" s="556" t="s">
        <v>837</v>
      </c>
      <c r="AF78" s="556" t="s">
        <v>837</v>
      </c>
      <c r="AG78" s="556" t="s">
        <v>837</v>
      </c>
      <c r="AH78" s="556">
        <v>10002</v>
      </c>
      <c r="AI78" s="556" t="s">
        <v>837</v>
      </c>
      <c r="AJ78" s="556" t="s">
        <v>837</v>
      </c>
      <c r="AK78" s="556" t="s">
        <v>837</v>
      </c>
      <c r="AL78" s="556" t="s">
        <v>837</v>
      </c>
      <c r="AM78" s="556">
        <v>10002</v>
      </c>
      <c r="AN78" s="556" t="s">
        <v>837</v>
      </c>
      <c r="AO78" s="556" t="s">
        <v>837</v>
      </c>
      <c r="AP78" s="556" t="s">
        <v>837</v>
      </c>
      <c r="AQ78" s="556" t="s">
        <v>837</v>
      </c>
      <c r="AR78" s="556">
        <v>10002</v>
      </c>
      <c r="AS78" s="556" t="s">
        <v>837</v>
      </c>
      <c r="AT78" s="556" t="s">
        <v>837</v>
      </c>
      <c r="AU78" s="556" t="s">
        <v>837</v>
      </c>
      <c r="AV78" s="556" t="s">
        <v>837</v>
      </c>
      <c r="AW78" s="556" t="s">
        <v>837</v>
      </c>
      <c r="AX78" s="556" t="s">
        <v>837</v>
      </c>
      <c r="AY78" s="556" t="s">
        <v>837</v>
      </c>
      <c r="AZ78" s="556" t="s">
        <v>837</v>
      </c>
      <c r="BA78" s="556" t="s">
        <v>837</v>
      </c>
      <c r="BB78" s="556">
        <v>10002</v>
      </c>
      <c r="BC78" s="556" t="s">
        <v>837</v>
      </c>
      <c r="BD78" s="556" t="s">
        <v>837</v>
      </c>
      <c r="BE78" s="556" t="s">
        <v>837</v>
      </c>
      <c r="BF78" s="636"/>
      <c r="BG78" s="636"/>
      <c r="BH78" s="636"/>
      <c r="BI78" s="576"/>
      <c r="BJ78" s="576"/>
      <c r="BK78" s="576"/>
      <c r="BL78" s="602"/>
      <c r="BM78" s="553" t="s">
        <v>837</v>
      </c>
      <c r="BN78" s="612" t="s">
        <v>837</v>
      </c>
      <c r="BO78" s="576"/>
      <c r="BP78" s="606"/>
      <c r="BQ78" s="576"/>
      <c r="BR78" s="570"/>
      <c r="BS78" s="547"/>
      <c r="BT78" s="549"/>
      <c r="BU78" s="549"/>
      <c r="BV78" s="549"/>
      <c r="BW78" s="549"/>
      <c r="BX78" s="549"/>
      <c r="BY78" s="549"/>
      <c r="BZ78" s="549"/>
      <c r="CA78" s="549"/>
      <c r="CB78" s="549"/>
      <c r="CC78" s="549"/>
      <c r="CD78" s="548"/>
      <c r="CE78" s="547"/>
      <c r="CF78" s="549"/>
      <c r="CG78" s="549"/>
      <c r="CH78" s="549"/>
      <c r="CI78" s="549"/>
      <c r="CJ78" s="549"/>
      <c r="CK78" s="549"/>
      <c r="CL78" s="549"/>
      <c r="CM78" s="549"/>
      <c r="CN78" s="548"/>
      <c r="CO78" s="640"/>
      <c r="CP78" s="640"/>
      <c r="CQ78" s="640"/>
      <c r="CR78" s="640"/>
      <c r="CS78" s="640"/>
      <c r="CT78" s="640"/>
      <c r="CU78" s="640"/>
      <c r="CV78" s="640"/>
      <c r="CW78" s="640"/>
      <c r="CX78" s="640"/>
      <c r="CY78" s="640"/>
      <c r="CZ78" s="640"/>
      <c r="DA78" s="640"/>
      <c r="DB78" s="640"/>
      <c r="DC78" s="640"/>
      <c r="DD78" s="640"/>
      <c r="DE78" s="640"/>
      <c r="DF78" s="640"/>
      <c r="DG78" s="640"/>
      <c r="DH78" s="640"/>
      <c r="DI78" s="641"/>
      <c r="DJ78" s="641"/>
      <c r="DK78" s="641"/>
      <c r="DL78" s="641"/>
      <c r="DM78" s="641"/>
      <c r="DN78" s="641"/>
      <c r="DO78" s="641"/>
      <c r="DP78" s="576"/>
      <c r="DQ78" s="576"/>
      <c r="DR78" s="576"/>
      <c r="DS78" s="576"/>
      <c r="DT78" s="576"/>
      <c r="DU78" s="576"/>
      <c r="DV78" s="576"/>
      <c r="DW78" s="576"/>
      <c r="DX78" s="576"/>
      <c r="DY78" s="576"/>
      <c r="DZ78" s="576"/>
      <c r="EA78" s="576"/>
      <c r="EB78" s="576"/>
      <c r="EC78" s="576"/>
      <c r="ED78" s="576"/>
      <c r="EE78" s="576"/>
      <c r="EF78" s="576"/>
      <c r="EG78" s="576"/>
      <c r="EH78" s="576"/>
    </row>
    <row r="79" spans="1:138" s="14" customFormat="1" x14ac:dyDescent="0.25">
      <c r="A79" s="8">
        <v>75</v>
      </c>
      <c r="B79" s="19" t="s">
        <v>98</v>
      </c>
      <c r="C79" s="19"/>
      <c r="D79" s="4" t="s">
        <v>77</v>
      </c>
      <c r="E79" s="4" t="s">
        <v>75</v>
      </c>
      <c r="F79" s="19" t="s">
        <v>8</v>
      </c>
      <c r="G79" s="19" t="s">
        <v>837</v>
      </c>
      <c r="H79" s="556" t="s">
        <v>837</v>
      </c>
      <c r="I79" s="556" t="s">
        <v>837</v>
      </c>
      <c r="J79" s="556" t="s">
        <v>837</v>
      </c>
      <c r="K79" s="556" t="s">
        <v>837</v>
      </c>
      <c r="L79" s="556" t="s">
        <v>837</v>
      </c>
      <c r="M79" s="556" t="s">
        <v>837</v>
      </c>
      <c r="N79" s="556" t="s">
        <v>837</v>
      </c>
      <c r="O79" s="556" t="s">
        <v>837</v>
      </c>
      <c r="P79" s="556" t="s">
        <v>837</v>
      </c>
      <c r="Q79" s="556" t="s">
        <v>837</v>
      </c>
      <c r="R79" s="556" t="s">
        <v>837</v>
      </c>
      <c r="S79" s="556" t="s">
        <v>837</v>
      </c>
      <c r="T79" s="556" t="s">
        <v>837</v>
      </c>
      <c r="U79" s="556" t="s">
        <v>837</v>
      </c>
      <c r="V79" s="556" t="s">
        <v>837</v>
      </c>
      <c r="W79" s="556" t="s">
        <v>837</v>
      </c>
      <c r="X79" s="556" t="s">
        <v>837</v>
      </c>
      <c r="Y79" s="556" t="s">
        <v>837</v>
      </c>
      <c r="Z79" s="556" t="s">
        <v>837</v>
      </c>
      <c r="AA79" s="556" t="s">
        <v>837</v>
      </c>
      <c r="AB79" s="556" t="s">
        <v>837</v>
      </c>
      <c r="AC79" s="556" t="s">
        <v>837</v>
      </c>
      <c r="AD79" s="556" t="s">
        <v>837</v>
      </c>
      <c r="AE79" s="556" t="s">
        <v>837</v>
      </c>
      <c r="AF79" s="556" t="s">
        <v>837</v>
      </c>
      <c r="AG79" s="556" t="s">
        <v>837</v>
      </c>
      <c r="AH79" s="556" t="s">
        <v>837</v>
      </c>
      <c r="AI79" s="556" t="s">
        <v>837</v>
      </c>
      <c r="AJ79" s="556" t="s">
        <v>837</v>
      </c>
      <c r="AK79" s="556" t="s">
        <v>837</v>
      </c>
      <c r="AL79" s="556" t="s">
        <v>837</v>
      </c>
      <c r="AM79" s="556" t="s">
        <v>837</v>
      </c>
      <c r="AN79" s="556" t="s">
        <v>837</v>
      </c>
      <c r="AO79" s="556" t="s">
        <v>837</v>
      </c>
      <c r="AP79" s="556" t="s">
        <v>837</v>
      </c>
      <c r="AQ79" s="556" t="s">
        <v>837</v>
      </c>
      <c r="AR79" s="556" t="s">
        <v>837</v>
      </c>
      <c r="AS79" s="556" t="s">
        <v>837</v>
      </c>
      <c r="AT79" s="556" t="s">
        <v>837</v>
      </c>
      <c r="AU79" s="556" t="s">
        <v>837</v>
      </c>
      <c r="AV79" s="556" t="s">
        <v>837</v>
      </c>
      <c r="AW79" s="556" t="s">
        <v>837</v>
      </c>
      <c r="AX79" s="556" t="s">
        <v>837</v>
      </c>
      <c r="AY79" s="556" t="s">
        <v>837</v>
      </c>
      <c r="AZ79" s="556" t="s">
        <v>837</v>
      </c>
      <c r="BA79" s="556" t="s">
        <v>837</v>
      </c>
      <c r="BB79" s="556" t="s">
        <v>837</v>
      </c>
      <c r="BC79" s="556" t="s">
        <v>837</v>
      </c>
      <c r="BD79" s="556" t="s">
        <v>837</v>
      </c>
      <c r="BE79" s="556" t="s">
        <v>837</v>
      </c>
      <c r="BF79" s="614"/>
      <c r="BG79" s="614"/>
      <c r="BH79" s="614"/>
      <c r="BI79" s="576"/>
      <c r="BJ79" s="576"/>
      <c r="BK79" s="576"/>
      <c r="BL79" s="602"/>
      <c r="BM79" s="553" t="s">
        <v>837</v>
      </c>
      <c r="BN79" s="612" t="s">
        <v>837</v>
      </c>
      <c r="BO79" s="576"/>
      <c r="BP79" s="606"/>
      <c r="BQ79" s="576"/>
      <c r="BR79" s="570"/>
      <c r="BS79" s="547"/>
      <c r="BT79" s="549"/>
      <c r="BU79" s="549"/>
      <c r="BV79" s="549"/>
      <c r="BW79" s="549"/>
      <c r="BX79" s="549"/>
      <c r="BY79" s="549"/>
      <c r="BZ79" s="549"/>
      <c r="CA79" s="549"/>
      <c r="CB79" s="549"/>
      <c r="CC79" s="549"/>
      <c r="CD79" s="548"/>
      <c r="CE79" s="547"/>
      <c r="CF79" s="549"/>
      <c r="CG79" s="549"/>
      <c r="CH79" s="549"/>
      <c r="CI79" s="549"/>
      <c r="CJ79" s="549"/>
      <c r="CK79" s="549"/>
      <c r="CL79" s="549"/>
      <c r="CM79" s="549"/>
      <c r="CN79" s="548"/>
      <c r="CO79" s="640"/>
      <c r="CP79" s="640"/>
      <c r="CQ79" s="640"/>
      <c r="CR79" s="640"/>
      <c r="CS79" s="640"/>
      <c r="CT79" s="640"/>
      <c r="CU79" s="640"/>
      <c r="CV79" s="640"/>
      <c r="CW79" s="640"/>
      <c r="CX79" s="640"/>
      <c r="CY79" s="640"/>
      <c r="CZ79" s="640"/>
      <c r="DA79" s="640"/>
      <c r="DB79" s="640"/>
      <c r="DC79" s="640"/>
      <c r="DD79" s="640"/>
      <c r="DE79" s="640"/>
      <c r="DF79" s="640"/>
      <c r="DG79" s="640"/>
      <c r="DH79" s="640"/>
      <c r="DI79" s="641"/>
      <c r="DJ79" s="641"/>
      <c r="DK79" s="641"/>
      <c r="DL79" s="641"/>
      <c r="DM79" s="641"/>
      <c r="DN79" s="641"/>
      <c r="DO79" s="641"/>
      <c r="DP79" s="576"/>
      <c r="DQ79" s="576"/>
      <c r="DR79" s="576"/>
      <c r="DS79" s="576"/>
      <c r="DT79" s="576"/>
      <c r="DU79" s="576"/>
      <c r="DV79" s="576"/>
      <c r="DW79" s="576"/>
      <c r="DX79" s="576"/>
      <c r="DY79" s="576"/>
      <c r="DZ79" s="576"/>
      <c r="EA79" s="576"/>
      <c r="EB79" s="576"/>
      <c r="EC79" s="576"/>
      <c r="ED79" s="576"/>
      <c r="EE79" s="576"/>
      <c r="EF79" s="576"/>
      <c r="EG79" s="576"/>
      <c r="EH79" s="576"/>
    </row>
    <row r="80" spans="1:138" s="14" customFormat="1" x14ac:dyDescent="0.25">
      <c r="A80" s="8">
        <v>76</v>
      </c>
      <c r="B80" s="4" t="s">
        <v>739</v>
      </c>
      <c r="C80" s="4"/>
      <c r="D80" s="4" t="s">
        <v>77</v>
      </c>
      <c r="E80" s="4" t="s">
        <v>75</v>
      </c>
      <c r="F80" s="19" t="s">
        <v>8</v>
      </c>
      <c r="G80" s="19" t="s">
        <v>837</v>
      </c>
      <c r="H80" s="556" t="s">
        <v>837</v>
      </c>
      <c r="I80" s="556">
        <v>10002</v>
      </c>
      <c r="J80" s="556" t="s">
        <v>837</v>
      </c>
      <c r="K80" s="556">
        <v>10004</v>
      </c>
      <c r="L80" s="556" t="s">
        <v>837</v>
      </c>
      <c r="M80" s="556" t="s">
        <v>837</v>
      </c>
      <c r="N80" s="556">
        <v>10002</v>
      </c>
      <c r="O80" s="556" t="s">
        <v>837</v>
      </c>
      <c r="P80" s="556">
        <v>10004</v>
      </c>
      <c r="Q80" s="556" t="s">
        <v>837</v>
      </c>
      <c r="R80" s="556" t="s">
        <v>837</v>
      </c>
      <c r="S80" s="556">
        <v>10002</v>
      </c>
      <c r="T80" s="556" t="s">
        <v>837</v>
      </c>
      <c r="U80" s="556">
        <v>10004</v>
      </c>
      <c r="V80" s="556" t="s">
        <v>837</v>
      </c>
      <c r="W80" s="556" t="s">
        <v>837</v>
      </c>
      <c r="X80" s="556" t="s">
        <v>837</v>
      </c>
      <c r="Y80" s="556" t="s">
        <v>837</v>
      </c>
      <c r="Z80" s="556" t="s">
        <v>837</v>
      </c>
      <c r="AA80" s="556" t="s">
        <v>837</v>
      </c>
      <c r="AB80" s="556" t="s">
        <v>837</v>
      </c>
      <c r="AC80" s="556">
        <v>10002</v>
      </c>
      <c r="AD80" s="556" t="s">
        <v>837</v>
      </c>
      <c r="AE80" s="556">
        <v>10004</v>
      </c>
      <c r="AF80" s="556" t="s">
        <v>837</v>
      </c>
      <c r="AG80" s="556" t="s">
        <v>837</v>
      </c>
      <c r="AH80" s="556">
        <v>10002</v>
      </c>
      <c r="AI80" s="556" t="s">
        <v>837</v>
      </c>
      <c r="AJ80" s="556">
        <v>10004</v>
      </c>
      <c r="AK80" s="556" t="s">
        <v>837</v>
      </c>
      <c r="AL80" s="556" t="s">
        <v>837</v>
      </c>
      <c r="AM80" s="556">
        <v>10002</v>
      </c>
      <c r="AN80" s="556" t="s">
        <v>837</v>
      </c>
      <c r="AO80" s="556">
        <v>10004</v>
      </c>
      <c r="AP80" s="556" t="s">
        <v>837</v>
      </c>
      <c r="AQ80" s="556" t="s">
        <v>837</v>
      </c>
      <c r="AR80" s="556">
        <v>10002</v>
      </c>
      <c r="AS80" s="556" t="s">
        <v>837</v>
      </c>
      <c r="AT80" s="556">
        <v>10004</v>
      </c>
      <c r="AU80" s="556" t="s">
        <v>837</v>
      </c>
      <c r="AV80" s="556" t="s">
        <v>837</v>
      </c>
      <c r="AW80" s="556" t="s">
        <v>837</v>
      </c>
      <c r="AX80" s="556" t="s">
        <v>837</v>
      </c>
      <c r="AY80" s="556" t="s">
        <v>837</v>
      </c>
      <c r="AZ80" s="556" t="s">
        <v>837</v>
      </c>
      <c r="BA80" s="556" t="s">
        <v>837</v>
      </c>
      <c r="BB80" s="556">
        <v>10002</v>
      </c>
      <c r="BC80" s="556" t="s">
        <v>837</v>
      </c>
      <c r="BD80" s="556">
        <v>10004</v>
      </c>
      <c r="BE80" s="556" t="s">
        <v>837</v>
      </c>
      <c r="BF80" s="612"/>
      <c r="BG80" s="612"/>
      <c r="BH80" s="612"/>
      <c r="BI80" s="576"/>
      <c r="BJ80" s="576"/>
      <c r="BK80" s="576"/>
      <c r="BL80" s="602"/>
      <c r="BM80" s="553" t="s">
        <v>837</v>
      </c>
      <c r="BN80" s="612" t="s">
        <v>837</v>
      </c>
      <c r="BO80" s="576"/>
      <c r="BP80" s="606"/>
      <c r="BQ80" s="576"/>
      <c r="BR80" s="570"/>
      <c r="BS80" s="547"/>
      <c r="BT80" s="549"/>
      <c r="BU80" s="549"/>
      <c r="BV80" s="549"/>
      <c r="BW80" s="549"/>
      <c r="BX80" s="549"/>
      <c r="BY80" s="549"/>
      <c r="BZ80" s="549"/>
      <c r="CA80" s="549"/>
      <c r="CB80" s="549"/>
      <c r="CC80" s="549"/>
      <c r="CD80" s="548"/>
      <c r="CE80" s="547"/>
      <c r="CF80" s="549"/>
      <c r="CG80" s="549"/>
      <c r="CH80" s="549"/>
      <c r="CI80" s="549"/>
      <c r="CJ80" s="549"/>
      <c r="CK80" s="549"/>
      <c r="CL80" s="549"/>
      <c r="CM80" s="549"/>
      <c r="CN80" s="548"/>
      <c r="CO80" s="640"/>
      <c r="CP80" s="640"/>
      <c r="CQ80" s="640"/>
      <c r="CR80" s="640"/>
      <c r="CS80" s="640"/>
      <c r="CT80" s="640"/>
      <c r="CU80" s="640"/>
      <c r="CV80" s="640"/>
      <c r="CW80" s="640"/>
      <c r="CX80" s="640"/>
      <c r="CY80" s="640"/>
      <c r="CZ80" s="640"/>
      <c r="DA80" s="640"/>
      <c r="DB80" s="640"/>
      <c r="DC80" s="640"/>
      <c r="DD80" s="640"/>
      <c r="DE80" s="640"/>
      <c r="DF80" s="640"/>
      <c r="DG80" s="640"/>
      <c r="DH80" s="640"/>
      <c r="DI80" s="641"/>
      <c r="DJ80" s="641"/>
      <c r="DK80" s="641"/>
      <c r="DL80" s="641"/>
      <c r="DM80" s="641"/>
      <c r="DN80" s="641"/>
      <c r="DO80" s="641"/>
      <c r="DP80" s="576"/>
      <c r="DQ80" s="576"/>
      <c r="DR80" s="576"/>
      <c r="DS80" s="576"/>
      <c r="DT80" s="576"/>
      <c r="DU80" s="576"/>
      <c r="DV80" s="576"/>
      <c r="DW80" s="576"/>
      <c r="DX80" s="576"/>
      <c r="DY80" s="576"/>
      <c r="DZ80" s="576"/>
      <c r="EA80" s="576"/>
      <c r="EB80" s="576"/>
      <c r="EC80" s="576"/>
      <c r="ED80" s="576"/>
      <c r="EE80" s="576"/>
      <c r="EF80" s="576"/>
      <c r="EG80" s="576"/>
      <c r="EH80" s="576"/>
    </row>
    <row r="81" spans="1:138" s="14" customFormat="1" x14ac:dyDescent="0.25">
      <c r="A81" s="8">
        <v>77</v>
      </c>
      <c r="B81" s="4" t="s">
        <v>87</v>
      </c>
      <c r="C81" s="4"/>
      <c r="D81" s="4" t="s">
        <v>77</v>
      </c>
      <c r="E81" s="4" t="s">
        <v>75</v>
      </c>
      <c r="F81" s="19" t="s">
        <v>8</v>
      </c>
      <c r="G81" s="19" t="s">
        <v>837</v>
      </c>
      <c r="H81" s="556">
        <v>10001</v>
      </c>
      <c r="I81" s="556">
        <v>10002</v>
      </c>
      <c r="J81" s="556">
        <v>10003</v>
      </c>
      <c r="K81" s="556">
        <v>10004</v>
      </c>
      <c r="L81" s="556" t="s">
        <v>837</v>
      </c>
      <c r="M81" s="556">
        <v>10001</v>
      </c>
      <c r="N81" s="556">
        <v>10002</v>
      </c>
      <c r="O81" s="556">
        <v>10003</v>
      </c>
      <c r="P81" s="556">
        <v>10004</v>
      </c>
      <c r="Q81" s="556" t="s">
        <v>837</v>
      </c>
      <c r="R81" s="556">
        <v>10001</v>
      </c>
      <c r="S81" s="556">
        <v>10002</v>
      </c>
      <c r="T81" s="556">
        <v>10003</v>
      </c>
      <c r="U81" s="556">
        <v>10004</v>
      </c>
      <c r="V81" s="556" t="s">
        <v>837</v>
      </c>
      <c r="W81" s="556" t="s">
        <v>837</v>
      </c>
      <c r="X81" s="556" t="s">
        <v>837</v>
      </c>
      <c r="Y81" s="556" t="s">
        <v>837</v>
      </c>
      <c r="Z81" s="556" t="s">
        <v>837</v>
      </c>
      <c r="AA81" s="556" t="s">
        <v>837</v>
      </c>
      <c r="AB81" s="556">
        <v>10001</v>
      </c>
      <c r="AC81" s="556">
        <v>10002</v>
      </c>
      <c r="AD81" s="556">
        <v>10003</v>
      </c>
      <c r="AE81" s="556">
        <v>10004</v>
      </c>
      <c r="AF81" s="556" t="s">
        <v>837</v>
      </c>
      <c r="AG81" s="556" t="s">
        <v>837</v>
      </c>
      <c r="AH81" s="556">
        <v>10002</v>
      </c>
      <c r="AI81" s="556" t="s">
        <v>837</v>
      </c>
      <c r="AJ81" s="556">
        <v>10004</v>
      </c>
      <c r="AK81" s="556" t="s">
        <v>837</v>
      </c>
      <c r="AL81" s="556" t="s">
        <v>837</v>
      </c>
      <c r="AM81" s="556">
        <v>10002</v>
      </c>
      <c r="AN81" s="556" t="s">
        <v>837</v>
      </c>
      <c r="AO81" s="556">
        <v>10004</v>
      </c>
      <c r="AP81" s="556" t="s">
        <v>837</v>
      </c>
      <c r="AQ81" s="556" t="s">
        <v>837</v>
      </c>
      <c r="AR81" s="556">
        <v>10002</v>
      </c>
      <c r="AS81" s="556" t="s">
        <v>837</v>
      </c>
      <c r="AT81" s="556">
        <v>10004</v>
      </c>
      <c r="AU81" s="556" t="s">
        <v>837</v>
      </c>
      <c r="AV81" s="556" t="s">
        <v>837</v>
      </c>
      <c r="AW81" s="556" t="s">
        <v>837</v>
      </c>
      <c r="AX81" s="556" t="s">
        <v>837</v>
      </c>
      <c r="AY81" s="556" t="s">
        <v>837</v>
      </c>
      <c r="AZ81" s="556" t="s">
        <v>837</v>
      </c>
      <c r="BA81" s="556" t="s">
        <v>837</v>
      </c>
      <c r="BB81" s="556">
        <v>10002</v>
      </c>
      <c r="BC81" s="556" t="s">
        <v>837</v>
      </c>
      <c r="BD81" s="556">
        <v>10004</v>
      </c>
      <c r="BE81" s="556" t="s">
        <v>837</v>
      </c>
      <c r="BF81" s="636"/>
      <c r="BG81" s="636"/>
      <c r="BH81" s="636"/>
      <c r="BI81" s="576"/>
      <c r="BJ81" s="576"/>
      <c r="BK81" s="576"/>
      <c r="BL81" s="602"/>
      <c r="BM81" s="553" t="s">
        <v>837</v>
      </c>
      <c r="BN81" s="612" t="s">
        <v>837</v>
      </c>
      <c r="BO81" s="576"/>
      <c r="BP81" s="606"/>
      <c r="BQ81" s="576"/>
      <c r="BR81" s="570"/>
      <c r="BS81" s="547"/>
      <c r="BT81" s="549"/>
      <c r="BU81" s="549"/>
      <c r="BV81" s="549"/>
      <c r="BW81" s="549"/>
      <c r="BX81" s="549"/>
      <c r="BY81" s="549"/>
      <c r="BZ81" s="549"/>
      <c r="CA81" s="549"/>
      <c r="CB81" s="549"/>
      <c r="CC81" s="549"/>
      <c r="CD81" s="548"/>
      <c r="CE81" s="547"/>
      <c r="CF81" s="549"/>
      <c r="CG81" s="549"/>
      <c r="CH81" s="549"/>
      <c r="CI81" s="549"/>
      <c r="CJ81" s="549"/>
      <c r="CK81" s="549"/>
      <c r="CL81" s="549"/>
      <c r="CM81" s="549"/>
      <c r="CN81" s="548"/>
      <c r="CO81" s="640"/>
      <c r="CP81" s="640"/>
      <c r="CQ81" s="640"/>
      <c r="CR81" s="640"/>
      <c r="CS81" s="640"/>
      <c r="CT81" s="640"/>
      <c r="CU81" s="640"/>
      <c r="CV81" s="640"/>
      <c r="CW81" s="640"/>
      <c r="CX81" s="640"/>
      <c r="CY81" s="640"/>
      <c r="CZ81" s="640"/>
      <c r="DA81" s="640"/>
      <c r="DB81" s="640"/>
      <c r="DC81" s="640"/>
      <c r="DD81" s="640"/>
      <c r="DE81" s="640"/>
      <c r="DF81" s="640"/>
      <c r="DG81" s="640"/>
      <c r="DH81" s="640"/>
      <c r="DI81" s="641"/>
      <c r="DJ81" s="641"/>
      <c r="DK81" s="641"/>
      <c r="DL81" s="641"/>
      <c r="DM81" s="641"/>
      <c r="DN81" s="641"/>
      <c r="DO81" s="641"/>
      <c r="DP81" s="576"/>
      <c r="DQ81" s="576"/>
      <c r="DR81" s="576"/>
      <c r="DS81" s="576"/>
      <c r="DT81" s="576"/>
      <c r="DU81" s="576"/>
      <c r="DV81" s="576"/>
      <c r="DW81" s="576"/>
      <c r="DX81" s="576"/>
      <c r="DY81" s="576"/>
      <c r="DZ81" s="576"/>
      <c r="EA81" s="576"/>
      <c r="EB81" s="576"/>
      <c r="EC81" s="576"/>
      <c r="ED81" s="576"/>
      <c r="EE81" s="576"/>
      <c r="EF81" s="576"/>
      <c r="EG81" s="576"/>
      <c r="EH81" s="576"/>
    </row>
    <row r="82" spans="1:138" s="14" customFormat="1" x14ac:dyDescent="0.25">
      <c r="A82" s="8">
        <v>78</v>
      </c>
      <c r="B82" s="19" t="s">
        <v>738</v>
      </c>
      <c r="C82" s="19"/>
      <c r="D82" s="4" t="s">
        <v>77</v>
      </c>
      <c r="E82" s="4" t="s">
        <v>75</v>
      </c>
      <c r="F82" s="19" t="s">
        <v>8</v>
      </c>
      <c r="G82" s="19" t="s">
        <v>837</v>
      </c>
      <c r="H82" s="556">
        <v>10001</v>
      </c>
      <c r="I82" s="556">
        <v>10002</v>
      </c>
      <c r="J82" s="556">
        <v>10003</v>
      </c>
      <c r="K82" s="556">
        <v>10004</v>
      </c>
      <c r="L82" s="556">
        <v>10005</v>
      </c>
      <c r="M82" s="556">
        <v>10001</v>
      </c>
      <c r="N82" s="556">
        <v>10002</v>
      </c>
      <c r="O82" s="556">
        <v>10003</v>
      </c>
      <c r="P82" s="556">
        <v>10004</v>
      </c>
      <c r="Q82" s="556">
        <v>10005</v>
      </c>
      <c r="R82" s="556">
        <v>10001</v>
      </c>
      <c r="S82" s="556">
        <v>10002</v>
      </c>
      <c r="T82" s="556">
        <v>10003</v>
      </c>
      <c r="U82" s="556">
        <v>10004</v>
      </c>
      <c r="V82" s="556">
        <v>10005</v>
      </c>
      <c r="W82" s="556" t="s">
        <v>837</v>
      </c>
      <c r="X82" s="556" t="s">
        <v>837</v>
      </c>
      <c r="Y82" s="556" t="s">
        <v>837</v>
      </c>
      <c r="Z82" s="556" t="s">
        <v>837</v>
      </c>
      <c r="AA82" s="556" t="s">
        <v>837</v>
      </c>
      <c r="AB82" s="556">
        <v>10001</v>
      </c>
      <c r="AC82" s="556">
        <v>10002</v>
      </c>
      <c r="AD82" s="556">
        <v>10003</v>
      </c>
      <c r="AE82" s="556">
        <v>10004</v>
      </c>
      <c r="AF82" s="556">
        <v>10005</v>
      </c>
      <c r="AG82" s="556" t="s">
        <v>837</v>
      </c>
      <c r="AH82" s="556" t="s">
        <v>837</v>
      </c>
      <c r="AI82" s="556" t="s">
        <v>837</v>
      </c>
      <c r="AJ82" s="556" t="s">
        <v>837</v>
      </c>
      <c r="AK82" s="556" t="s">
        <v>837</v>
      </c>
      <c r="AL82" s="556" t="s">
        <v>837</v>
      </c>
      <c r="AM82" s="556" t="s">
        <v>837</v>
      </c>
      <c r="AN82" s="556" t="s">
        <v>837</v>
      </c>
      <c r="AO82" s="556" t="s">
        <v>837</v>
      </c>
      <c r="AP82" s="556" t="s">
        <v>837</v>
      </c>
      <c r="AQ82" s="556" t="s">
        <v>837</v>
      </c>
      <c r="AR82" s="556" t="s">
        <v>837</v>
      </c>
      <c r="AS82" s="556" t="s">
        <v>837</v>
      </c>
      <c r="AT82" s="556" t="s">
        <v>837</v>
      </c>
      <c r="AU82" s="556" t="s">
        <v>837</v>
      </c>
      <c r="AV82" s="556" t="s">
        <v>837</v>
      </c>
      <c r="AW82" s="556" t="s">
        <v>837</v>
      </c>
      <c r="AX82" s="556" t="s">
        <v>837</v>
      </c>
      <c r="AY82" s="556" t="s">
        <v>837</v>
      </c>
      <c r="AZ82" s="556" t="s">
        <v>837</v>
      </c>
      <c r="BA82" s="556" t="s">
        <v>837</v>
      </c>
      <c r="BB82" s="556" t="s">
        <v>837</v>
      </c>
      <c r="BC82" s="556" t="s">
        <v>837</v>
      </c>
      <c r="BD82" s="556" t="s">
        <v>837</v>
      </c>
      <c r="BE82" s="556" t="s">
        <v>837</v>
      </c>
      <c r="BF82" s="636"/>
      <c r="BG82" s="636"/>
      <c r="BH82" s="636">
        <v>20001</v>
      </c>
      <c r="BI82" s="576"/>
      <c r="BJ82" s="576"/>
      <c r="BK82" s="576"/>
      <c r="BL82" s="602"/>
      <c r="BM82" s="553">
        <v>40001</v>
      </c>
      <c r="BN82" s="612">
        <v>40001</v>
      </c>
      <c r="BO82" s="576"/>
      <c r="BP82" s="606"/>
      <c r="BQ82" s="576"/>
      <c r="BR82" s="570"/>
      <c r="BS82" s="743"/>
      <c r="BT82" s="657"/>
      <c r="BU82" s="657"/>
      <c r="BV82" s="657"/>
      <c r="BW82" s="657"/>
      <c r="BX82" s="649"/>
      <c r="BY82" s="655"/>
      <c r="BZ82" s="647"/>
      <c r="CA82" s="657"/>
      <c r="CB82" s="657"/>
      <c r="CC82" s="657"/>
      <c r="CD82" s="656"/>
      <c r="CE82" s="737"/>
      <c r="CF82" s="738"/>
      <c r="CG82" s="738"/>
      <c r="CH82" s="738"/>
      <c r="CI82" s="738"/>
      <c r="CJ82" s="738"/>
      <c r="CK82" s="738"/>
      <c r="CL82" s="738"/>
      <c r="CM82" s="738"/>
      <c r="CN82" s="739"/>
      <c r="CO82" s="640"/>
      <c r="CP82" s="640"/>
      <c r="CQ82" s="640"/>
      <c r="CR82" s="640"/>
      <c r="CS82" s="640"/>
      <c r="CT82" s="640"/>
      <c r="CU82" s="640"/>
      <c r="CV82" s="640"/>
      <c r="CW82" s="640"/>
      <c r="CX82" s="640"/>
      <c r="CY82" s="640"/>
      <c r="CZ82" s="640"/>
      <c r="DA82" s="640"/>
      <c r="DB82" s="640"/>
      <c r="DC82" s="640"/>
      <c r="DD82" s="640"/>
      <c r="DE82" s="640"/>
      <c r="DF82" s="640"/>
      <c r="DG82" s="640"/>
      <c r="DH82" s="640"/>
      <c r="DI82" s="641"/>
      <c r="DJ82" s="641"/>
      <c r="DK82" s="641"/>
      <c r="DL82" s="641"/>
      <c r="DM82" s="641"/>
      <c r="DN82" s="641"/>
      <c r="DO82" s="641"/>
      <c r="DP82" s="576"/>
      <c r="DQ82" s="576"/>
      <c r="DR82" s="576"/>
      <c r="DS82" s="576"/>
      <c r="DT82" s="576"/>
      <c r="DU82" s="576"/>
      <c r="DV82" s="576"/>
      <c r="DW82" s="576"/>
      <c r="DX82" s="576"/>
      <c r="DY82" s="576"/>
      <c r="DZ82" s="576"/>
      <c r="EA82" s="576"/>
      <c r="EB82" s="576"/>
      <c r="EC82" s="576"/>
      <c r="ED82" s="576"/>
      <c r="EE82" s="576"/>
      <c r="EF82" s="576"/>
      <c r="EG82" s="576"/>
      <c r="EH82" s="576"/>
    </row>
    <row r="83" spans="1:138" s="14" customFormat="1" x14ac:dyDescent="0.25">
      <c r="A83" s="8">
        <v>79</v>
      </c>
      <c r="B83" s="4" t="s">
        <v>30</v>
      </c>
      <c r="C83" s="4"/>
      <c r="D83" s="4" t="s">
        <v>77</v>
      </c>
      <c r="E83" s="4" t="s">
        <v>74</v>
      </c>
      <c r="F83" s="19" t="s">
        <v>8</v>
      </c>
      <c r="G83" s="19" t="s">
        <v>837</v>
      </c>
      <c r="H83" s="556">
        <v>10001</v>
      </c>
      <c r="I83" s="556">
        <v>10002</v>
      </c>
      <c r="J83" s="556">
        <v>10003</v>
      </c>
      <c r="K83" s="556">
        <v>10004</v>
      </c>
      <c r="L83" s="556" t="s">
        <v>837</v>
      </c>
      <c r="M83" s="556">
        <v>10001</v>
      </c>
      <c r="N83" s="556">
        <v>10002</v>
      </c>
      <c r="O83" s="556">
        <v>10003</v>
      </c>
      <c r="P83" s="556">
        <v>10004</v>
      </c>
      <c r="Q83" s="556" t="s">
        <v>837</v>
      </c>
      <c r="R83" s="556">
        <v>10001</v>
      </c>
      <c r="S83" s="556">
        <v>10002</v>
      </c>
      <c r="T83" s="556">
        <v>10003</v>
      </c>
      <c r="U83" s="556">
        <v>10004</v>
      </c>
      <c r="V83" s="556" t="s">
        <v>837</v>
      </c>
      <c r="W83" s="556" t="s">
        <v>837</v>
      </c>
      <c r="X83" s="556" t="s">
        <v>837</v>
      </c>
      <c r="Y83" s="556" t="s">
        <v>837</v>
      </c>
      <c r="Z83" s="556" t="s">
        <v>837</v>
      </c>
      <c r="AA83" s="556" t="s">
        <v>837</v>
      </c>
      <c r="AB83" s="556">
        <v>10001</v>
      </c>
      <c r="AC83" s="556">
        <v>10002</v>
      </c>
      <c r="AD83" s="556">
        <v>10003</v>
      </c>
      <c r="AE83" s="556">
        <v>10004</v>
      </c>
      <c r="AF83" s="556" t="s">
        <v>837</v>
      </c>
      <c r="AG83" s="556" t="s">
        <v>837</v>
      </c>
      <c r="AH83" s="556">
        <v>10002</v>
      </c>
      <c r="AI83" s="556" t="s">
        <v>837</v>
      </c>
      <c r="AJ83" s="556">
        <v>10004</v>
      </c>
      <c r="AK83" s="556" t="s">
        <v>837</v>
      </c>
      <c r="AL83" s="556" t="s">
        <v>837</v>
      </c>
      <c r="AM83" s="556">
        <v>10002</v>
      </c>
      <c r="AN83" s="556" t="s">
        <v>837</v>
      </c>
      <c r="AO83" s="556">
        <v>10004</v>
      </c>
      <c r="AP83" s="556" t="s">
        <v>837</v>
      </c>
      <c r="AQ83" s="556" t="s">
        <v>837</v>
      </c>
      <c r="AR83" s="556">
        <v>10002</v>
      </c>
      <c r="AS83" s="556" t="s">
        <v>837</v>
      </c>
      <c r="AT83" s="556">
        <v>10004</v>
      </c>
      <c r="AU83" s="556" t="s">
        <v>837</v>
      </c>
      <c r="AV83" s="556" t="s">
        <v>837</v>
      </c>
      <c r="AW83" s="556" t="s">
        <v>837</v>
      </c>
      <c r="AX83" s="556" t="s">
        <v>837</v>
      </c>
      <c r="AY83" s="556" t="s">
        <v>837</v>
      </c>
      <c r="AZ83" s="556" t="s">
        <v>837</v>
      </c>
      <c r="BA83" s="556" t="s">
        <v>837</v>
      </c>
      <c r="BB83" s="556">
        <v>10002</v>
      </c>
      <c r="BC83" s="556" t="s">
        <v>837</v>
      </c>
      <c r="BD83" s="556">
        <v>10004</v>
      </c>
      <c r="BE83" s="556" t="s">
        <v>837</v>
      </c>
      <c r="BF83" s="636">
        <v>20003</v>
      </c>
      <c r="BG83" s="636">
        <v>20002</v>
      </c>
      <c r="BH83" s="636">
        <v>20001</v>
      </c>
      <c r="BI83" s="576"/>
      <c r="BJ83" s="576"/>
      <c r="BK83" s="576"/>
      <c r="BL83" s="602"/>
      <c r="BM83" s="553">
        <v>40001</v>
      </c>
      <c r="BN83" s="612">
        <v>40001</v>
      </c>
      <c r="BO83" s="576"/>
      <c r="BP83" s="606"/>
      <c r="BQ83" s="576"/>
      <c r="BR83" s="570"/>
      <c r="BS83" s="547"/>
      <c r="BT83" s="549"/>
      <c r="BU83" s="549"/>
      <c r="BV83" s="549"/>
      <c r="BW83" s="549"/>
      <c r="BX83" s="549"/>
      <c r="BY83" s="549"/>
      <c r="BZ83" s="549"/>
      <c r="CA83" s="549"/>
      <c r="CB83" s="549"/>
      <c r="CC83" s="549"/>
      <c r="CD83" s="548"/>
      <c r="CE83" s="547"/>
      <c r="CF83" s="549"/>
      <c r="CG83" s="549"/>
      <c r="CH83" s="549"/>
      <c r="CI83" s="549"/>
      <c r="CJ83" s="549"/>
      <c r="CK83" s="549"/>
      <c r="CL83" s="549"/>
      <c r="CM83" s="549"/>
      <c r="CN83" s="548"/>
      <c r="CO83" s="640"/>
      <c r="CP83" s="640"/>
      <c r="CQ83" s="640"/>
      <c r="CR83" s="640"/>
      <c r="CS83" s="640"/>
      <c r="CT83" s="640"/>
      <c r="CU83" s="640"/>
      <c r="CV83" s="640"/>
      <c r="CW83" s="640"/>
      <c r="CX83" s="640"/>
      <c r="CY83" s="640"/>
      <c r="CZ83" s="640"/>
      <c r="DA83" s="640"/>
      <c r="DB83" s="640"/>
      <c r="DC83" s="640"/>
      <c r="DD83" s="640"/>
      <c r="DE83" s="640"/>
      <c r="DF83" s="640"/>
      <c r="DG83" s="640"/>
      <c r="DH83" s="640"/>
      <c r="DI83" s="641"/>
      <c r="DJ83" s="641"/>
      <c r="DK83" s="641"/>
      <c r="DL83" s="641"/>
      <c r="DM83" s="641"/>
      <c r="DN83" s="641"/>
      <c r="DO83" s="641"/>
      <c r="DP83" s="576"/>
      <c r="DQ83" s="576"/>
      <c r="DR83" s="576"/>
      <c r="DS83" s="576"/>
      <c r="DT83" s="576"/>
      <c r="DU83" s="576"/>
      <c r="DV83" s="576"/>
      <c r="DW83" s="576"/>
      <c r="DX83" s="576"/>
      <c r="DY83" s="576"/>
      <c r="DZ83" s="576"/>
      <c r="EA83" s="576"/>
      <c r="EB83" s="576"/>
      <c r="EC83" s="576"/>
      <c r="ED83" s="576"/>
      <c r="EE83" s="576"/>
      <c r="EF83" s="576"/>
      <c r="EG83" s="576"/>
      <c r="EH83" s="576"/>
    </row>
    <row r="84" spans="1:138" s="14" customFormat="1" x14ac:dyDescent="0.25">
      <c r="A84" s="8">
        <v>80</v>
      </c>
      <c r="B84" s="5" t="s">
        <v>737</v>
      </c>
      <c r="C84" s="5"/>
      <c r="D84" s="4" t="s">
        <v>77</v>
      </c>
      <c r="E84" s="4" t="s">
        <v>75</v>
      </c>
      <c r="F84" s="19" t="s">
        <v>8</v>
      </c>
      <c r="G84" s="19" t="s">
        <v>837</v>
      </c>
      <c r="H84" s="556">
        <v>10001</v>
      </c>
      <c r="I84" s="556">
        <v>10002</v>
      </c>
      <c r="J84" s="556">
        <v>10003</v>
      </c>
      <c r="K84" s="556">
        <v>10004</v>
      </c>
      <c r="L84" s="556" t="s">
        <v>837</v>
      </c>
      <c r="M84" s="556">
        <v>10001</v>
      </c>
      <c r="N84" s="556">
        <v>10002</v>
      </c>
      <c r="O84" s="556">
        <v>10003</v>
      </c>
      <c r="P84" s="556">
        <v>10004</v>
      </c>
      <c r="Q84" s="556" t="s">
        <v>837</v>
      </c>
      <c r="R84" s="556">
        <v>10001</v>
      </c>
      <c r="S84" s="556">
        <v>10002</v>
      </c>
      <c r="T84" s="556">
        <v>10003</v>
      </c>
      <c r="U84" s="556">
        <v>10004</v>
      </c>
      <c r="V84" s="556" t="s">
        <v>837</v>
      </c>
      <c r="W84" s="556" t="s">
        <v>837</v>
      </c>
      <c r="X84" s="556" t="s">
        <v>837</v>
      </c>
      <c r="Y84" s="556" t="s">
        <v>837</v>
      </c>
      <c r="Z84" s="556" t="s">
        <v>837</v>
      </c>
      <c r="AA84" s="556" t="s">
        <v>837</v>
      </c>
      <c r="AB84" s="556">
        <v>10001</v>
      </c>
      <c r="AC84" s="556">
        <v>10002</v>
      </c>
      <c r="AD84" s="556">
        <v>10003</v>
      </c>
      <c r="AE84" s="556">
        <v>10004</v>
      </c>
      <c r="AF84" s="556" t="s">
        <v>837</v>
      </c>
      <c r="AG84" s="556" t="s">
        <v>837</v>
      </c>
      <c r="AH84" s="556">
        <v>10002</v>
      </c>
      <c r="AI84" s="556" t="s">
        <v>837</v>
      </c>
      <c r="AJ84" s="556">
        <v>10004</v>
      </c>
      <c r="AK84" s="556" t="s">
        <v>837</v>
      </c>
      <c r="AL84" s="556" t="s">
        <v>837</v>
      </c>
      <c r="AM84" s="556">
        <v>10002</v>
      </c>
      <c r="AN84" s="556" t="s">
        <v>837</v>
      </c>
      <c r="AO84" s="556">
        <v>10004</v>
      </c>
      <c r="AP84" s="556" t="s">
        <v>837</v>
      </c>
      <c r="AQ84" s="556" t="s">
        <v>837</v>
      </c>
      <c r="AR84" s="556">
        <v>10002</v>
      </c>
      <c r="AS84" s="556" t="s">
        <v>837</v>
      </c>
      <c r="AT84" s="556">
        <v>10004</v>
      </c>
      <c r="AU84" s="556" t="s">
        <v>837</v>
      </c>
      <c r="AV84" s="556" t="s">
        <v>837</v>
      </c>
      <c r="AW84" s="556" t="s">
        <v>837</v>
      </c>
      <c r="AX84" s="556" t="s">
        <v>837</v>
      </c>
      <c r="AY84" s="556" t="s">
        <v>837</v>
      </c>
      <c r="AZ84" s="556" t="s">
        <v>837</v>
      </c>
      <c r="BA84" s="556" t="s">
        <v>837</v>
      </c>
      <c r="BB84" s="556">
        <v>10002</v>
      </c>
      <c r="BC84" s="556" t="s">
        <v>837</v>
      </c>
      <c r="BD84" s="556">
        <v>10004</v>
      </c>
      <c r="BE84" s="556" t="s">
        <v>837</v>
      </c>
      <c r="BF84" s="614"/>
      <c r="BG84" s="614"/>
      <c r="BH84" s="614"/>
      <c r="BI84" s="576"/>
      <c r="BJ84" s="576"/>
      <c r="BK84" s="576"/>
      <c r="BL84" s="602"/>
      <c r="BM84" s="553" t="s">
        <v>837</v>
      </c>
      <c r="BN84" s="612" t="s">
        <v>837</v>
      </c>
      <c r="BO84" s="576"/>
      <c r="BP84" s="606"/>
      <c r="BQ84" s="576"/>
      <c r="BR84" s="570"/>
      <c r="BS84" s="743"/>
      <c r="BT84" s="657"/>
      <c r="BU84" s="657"/>
      <c r="BV84" s="657"/>
      <c r="BW84" s="657"/>
      <c r="BX84" s="655"/>
      <c r="BY84" s="655"/>
      <c r="BZ84" s="647"/>
      <c r="CA84" s="657"/>
      <c r="CB84" s="657"/>
      <c r="CC84" s="657"/>
      <c r="CD84" s="658"/>
      <c r="CE84" s="737"/>
      <c r="CF84" s="738"/>
      <c r="CG84" s="738"/>
      <c r="CH84" s="738"/>
      <c r="CI84" s="738"/>
      <c r="CJ84" s="738"/>
      <c r="CK84" s="738"/>
      <c r="CL84" s="738"/>
      <c r="CM84" s="738"/>
      <c r="CN84" s="739"/>
      <c r="CO84" s="640"/>
      <c r="CP84" s="640"/>
      <c r="CQ84" s="640"/>
      <c r="CR84" s="640"/>
      <c r="CS84" s="640"/>
      <c r="CT84" s="640"/>
      <c r="CU84" s="640"/>
      <c r="CV84" s="640"/>
      <c r="CW84" s="640"/>
      <c r="CX84" s="640"/>
      <c r="CY84" s="640"/>
      <c r="CZ84" s="640"/>
      <c r="DA84" s="640"/>
      <c r="DB84" s="640"/>
      <c r="DC84" s="640"/>
      <c r="DD84" s="640"/>
      <c r="DE84" s="640"/>
      <c r="DF84" s="640"/>
      <c r="DG84" s="640"/>
      <c r="DH84" s="640"/>
      <c r="DI84" s="641"/>
      <c r="DJ84" s="641"/>
      <c r="DK84" s="641"/>
      <c r="DL84" s="641"/>
      <c r="DM84" s="641"/>
      <c r="DN84" s="641"/>
      <c r="DO84" s="641"/>
      <c r="DP84" s="576"/>
      <c r="DQ84" s="576"/>
      <c r="DR84" s="576"/>
      <c r="DS84" s="576"/>
      <c r="DT84" s="576"/>
      <c r="DU84" s="576"/>
      <c r="DV84" s="576"/>
      <c r="DW84" s="576"/>
      <c r="DX84" s="576"/>
      <c r="DY84" s="576"/>
      <c r="DZ84" s="576"/>
      <c r="EA84" s="576"/>
      <c r="EB84" s="576"/>
      <c r="EC84" s="576"/>
      <c r="ED84" s="576"/>
      <c r="EE84" s="576"/>
      <c r="EF84" s="576"/>
      <c r="EG84" s="576"/>
      <c r="EH84" s="576"/>
    </row>
    <row r="85" spans="1:138" s="14" customFormat="1" x14ac:dyDescent="0.25">
      <c r="A85" s="8">
        <v>81</v>
      </c>
      <c r="B85" s="4" t="s">
        <v>19</v>
      </c>
      <c r="C85" s="4"/>
      <c r="D85" s="4" t="s">
        <v>77</v>
      </c>
      <c r="E85" s="4" t="s">
        <v>75</v>
      </c>
      <c r="F85" s="19" t="s">
        <v>8</v>
      </c>
      <c r="G85" s="19" t="s">
        <v>837</v>
      </c>
      <c r="H85" s="556" t="s">
        <v>837</v>
      </c>
      <c r="I85" s="556">
        <v>10002</v>
      </c>
      <c r="J85" s="556">
        <v>10003</v>
      </c>
      <c r="K85" s="556">
        <v>10004</v>
      </c>
      <c r="L85" s="556">
        <v>10005</v>
      </c>
      <c r="M85" s="556" t="s">
        <v>837</v>
      </c>
      <c r="N85" s="556">
        <v>10002</v>
      </c>
      <c r="O85" s="556">
        <v>10003</v>
      </c>
      <c r="P85" s="556">
        <v>10004</v>
      </c>
      <c r="Q85" s="556">
        <v>10005</v>
      </c>
      <c r="R85" s="556" t="s">
        <v>837</v>
      </c>
      <c r="S85" s="556">
        <v>10002</v>
      </c>
      <c r="T85" s="556">
        <v>10003</v>
      </c>
      <c r="U85" s="556">
        <v>10004</v>
      </c>
      <c r="V85" s="556">
        <v>10005</v>
      </c>
      <c r="W85" s="556" t="s">
        <v>837</v>
      </c>
      <c r="X85" s="556" t="s">
        <v>837</v>
      </c>
      <c r="Y85" s="556" t="s">
        <v>837</v>
      </c>
      <c r="Z85" s="556" t="s">
        <v>837</v>
      </c>
      <c r="AA85" s="556" t="s">
        <v>837</v>
      </c>
      <c r="AB85" s="556" t="s">
        <v>837</v>
      </c>
      <c r="AC85" s="556">
        <v>10002</v>
      </c>
      <c r="AD85" s="556">
        <v>10003</v>
      </c>
      <c r="AE85" s="556">
        <v>10004</v>
      </c>
      <c r="AF85" s="556">
        <v>10005</v>
      </c>
      <c r="AG85" s="556" t="s">
        <v>837</v>
      </c>
      <c r="AH85" s="556" t="s">
        <v>837</v>
      </c>
      <c r="AI85" s="556" t="s">
        <v>837</v>
      </c>
      <c r="AJ85" s="556" t="s">
        <v>837</v>
      </c>
      <c r="AK85" s="556" t="s">
        <v>837</v>
      </c>
      <c r="AL85" s="556" t="s">
        <v>837</v>
      </c>
      <c r="AM85" s="556" t="s">
        <v>837</v>
      </c>
      <c r="AN85" s="556" t="s">
        <v>837</v>
      </c>
      <c r="AO85" s="556" t="s">
        <v>837</v>
      </c>
      <c r="AP85" s="556" t="s">
        <v>837</v>
      </c>
      <c r="AQ85" s="556" t="s">
        <v>837</v>
      </c>
      <c r="AR85" s="556" t="s">
        <v>837</v>
      </c>
      <c r="AS85" s="556" t="s">
        <v>837</v>
      </c>
      <c r="AT85" s="556" t="s">
        <v>837</v>
      </c>
      <c r="AU85" s="556" t="s">
        <v>837</v>
      </c>
      <c r="AV85" s="556" t="s">
        <v>837</v>
      </c>
      <c r="AW85" s="556" t="s">
        <v>837</v>
      </c>
      <c r="AX85" s="556" t="s">
        <v>837</v>
      </c>
      <c r="AY85" s="556" t="s">
        <v>837</v>
      </c>
      <c r="AZ85" s="556" t="s">
        <v>837</v>
      </c>
      <c r="BA85" s="556" t="s">
        <v>837</v>
      </c>
      <c r="BB85" s="556" t="s">
        <v>837</v>
      </c>
      <c r="BC85" s="556" t="s">
        <v>837</v>
      </c>
      <c r="BD85" s="556" t="s">
        <v>837</v>
      </c>
      <c r="BE85" s="556" t="s">
        <v>837</v>
      </c>
      <c r="BF85" s="612"/>
      <c r="BG85" s="612"/>
      <c r="BH85" s="612"/>
      <c r="BI85" s="576"/>
      <c r="BJ85" s="576"/>
      <c r="BK85" s="576"/>
      <c r="BL85" s="602"/>
      <c r="BM85" s="553" t="s">
        <v>837</v>
      </c>
      <c r="BN85" s="612" t="s">
        <v>837</v>
      </c>
      <c r="BO85" s="576"/>
      <c r="BP85" s="606"/>
      <c r="BQ85" s="576"/>
      <c r="BR85" s="570"/>
      <c r="BS85" s="547"/>
      <c r="BT85" s="549"/>
      <c r="BU85" s="549"/>
      <c r="BV85" s="549"/>
      <c r="BW85" s="549"/>
      <c r="BX85" s="549"/>
      <c r="BY85" s="549"/>
      <c r="BZ85" s="549"/>
      <c r="CA85" s="549"/>
      <c r="CB85" s="549"/>
      <c r="CC85" s="549"/>
      <c r="CD85" s="548"/>
      <c r="CE85" s="547"/>
      <c r="CF85" s="549"/>
      <c r="CG85" s="549"/>
      <c r="CH85" s="549"/>
      <c r="CI85" s="549"/>
      <c r="CJ85" s="549"/>
      <c r="CK85" s="549"/>
      <c r="CL85" s="549"/>
      <c r="CM85" s="549"/>
      <c r="CN85" s="548"/>
      <c r="CO85" s="640"/>
      <c r="CP85" s="640"/>
      <c r="CQ85" s="640"/>
      <c r="CR85" s="640"/>
      <c r="CS85" s="640"/>
      <c r="CT85" s="640"/>
      <c r="CU85" s="640"/>
      <c r="CV85" s="640"/>
      <c r="CW85" s="640"/>
      <c r="CX85" s="640"/>
      <c r="CY85" s="640"/>
      <c r="CZ85" s="640"/>
      <c r="DA85" s="640"/>
      <c r="DB85" s="640"/>
      <c r="DC85" s="640"/>
      <c r="DD85" s="640"/>
      <c r="DE85" s="640"/>
      <c r="DF85" s="640"/>
      <c r="DG85" s="640"/>
      <c r="DH85" s="640"/>
      <c r="DI85" s="641"/>
      <c r="DJ85" s="641"/>
      <c r="DK85" s="641"/>
      <c r="DL85" s="641"/>
      <c r="DM85" s="641"/>
      <c r="DN85" s="641"/>
      <c r="DO85" s="641"/>
      <c r="DP85" s="576"/>
      <c r="DQ85" s="576"/>
      <c r="DR85" s="576"/>
      <c r="DS85" s="576"/>
      <c r="DT85" s="576"/>
      <c r="DU85" s="576"/>
      <c r="DV85" s="576"/>
      <c r="DW85" s="576"/>
      <c r="DX85" s="576"/>
      <c r="DY85" s="576"/>
      <c r="DZ85" s="576"/>
      <c r="EA85" s="576"/>
      <c r="EB85" s="576"/>
      <c r="EC85" s="576"/>
      <c r="ED85" s="576"/>
      <c r="EE85" s="576"/>
      <c r="EF85" s="576"/>
      <c r="EG85" s="576"/>
      <c r="EH85" s="576"/>
    </row>
    <row r="86" spans="1:138" s="14" customFormat="1" x14ac:dyDescent="0.25">
      <c r="A86" s="8">
        <v>82</v>
      </c>
      <c r="B86" s="4" t="s">
        <v>736</v>
      </c>
      <c r="C86" s="4"/>
      <c r="D86" s="4" t="s">
        <v>77</v>
      </c>
      <c r="E86" s="4" t="s">
        <v>75</v>
      </c>
      <c r="F86" s="19" t="s">
        <v>8</v>
      </c>
      <c r="G86" s="19" t="s">
        <v>837</v>
      </c>
      <c r="H86" s="556" t="s">
        <v>837</v>
      </c>
      <c r="I86" s="556">
        <v>10002</v>
      </c>
      <c r="J86" s="556" t="s">
        <v>837</v>
      </c>
      <c r="K86" s="556">
        <v>10004</v>
      </c>
      <c r="L86" s="556" t="s">
        <v>837</v>
      </c>
      <c r="M86" s="556" t="s">
        <v>837</v>
      </c>
      <c r="N86" s="556">
        <v>10002</v>
      </c>
      <c r="O86" s="556" t="s">
        <v>837</v>
      </c>
      <c r="P86" s="556">
        <v>10004</v>
      </c>
      <c r="Q86" s="556" t="s">
        <v>837</v>
      </c>
      <c r="R86" s="556" t="s">
        <v>837</v>
      </c>
      <c r="S86" s="556">
        <v>10002</v>
      </c>
      <c r="T86" s="556" t="s">
        <v>837</v>
      </c>
      <c r="U86" s="556">
        <v>10004</v>
      </c>
      <c r="V86" s="556" t="s">
        <v>837</v>
      </c>
      <c r="W86" s="556" t="s">
        <v>837</v>
      </c>
      <c r="X86" s="556" t="s">
        <v>837</v>
      </c>
      <c r="Y86" s="556" t="s">
        <v>837</v>
      </c>
      <c r="Z86" s="556" t="s">
        <v>837</v>
      </c>
      <c r="AA86" s="556" t="s">
        <v>837</v>
      </c>
      <c r="AB86" s="556" t="s">
        <v>837</v>
      </c>
      <c r="AC86" s="556">
        <v>10002</v>
      </c>
      <c r="AD86" s="556" t="s">
        <v>837</v>
      </c>
      <c r="AE86" s="556">
        <v>10004</v>
      </c>
      <c r="AF86" s="556" t="s">
        <v>837</v>
      </c>
      <c r="AG86" s="556" t="s">
        <v>837</v>
      </c>
      <c r="AH86" s="556">
        <v>10002</v>
      </c>
      <c r="AI86" s="556" t="s">
        <v>837</v>
      </c>
      <c r="AJ86" s="556">
        <v>10004</v>
      </c>
      <c r="AK86" s="556" t="s">
        <v>837</v>
      </c>
      <c r="AL86" s="556" t="s">
        <v>837</v>
      </c>
      <c r="AM86" s="556">
        <v>10002</v>
      </c>
      <c r="AN86" s="556" t="s">
        <v>837</v>
      </c>
      <c r="AO86" s="556">
        <v>10004</v>
      </c>
      <c r="AP86" s="556" t="s">
        <v>837</v>
      </c>
      <c r="AQ86" s="556" t="s">
        <v>837</v>
      </c>
      <c r="AR86" s="556">
        <v>10002</v>
      </c>
      <c r="AS86" s="556" t="s">
        <v>837</v>
      </c>
      <c r="AT86" s="556">
        <v>10004</v>
      </c>
      <c r="AU86" s="556" t="s">
        <v>837</v>
      </c>
      <c r="AV86" s="556" t="s">
        <v>837</v>
      </c>
      <c r="AW86" s="556" t="s">
        <v>837</v>
      </c>
      <c r="AX86" s="556" t="s">
        <v>837</v>
      </c>
      <c r="AY86" s="556" t="s">
        <v>837</v>
      </c>
      <c r="AZ86" s="556" t="s">
        <v>837</v>
      </c>
      <c r="BA86" s="556" t="s">
        <v>837</v>
      </c>
      <c r="BB86" s="556">
        <v>10002</v>
      </c>
      <c r="BC86" s="556" t="s">
        <v>837</v>
      </c>
      <c r="BD86" s="556">
        <v>10004</v>
      </c>
      <c r="BE86" s="556" t="s">
        <v>837</v>
      </c>
      <c r="BF86" s="614"/>
      <c r="BG86" s="614"/>
      <c r="BH86" s="614"/>
      <c r="BI86" s="576"/>
      <c r="BJ86" s="576"/>
      <c r="BK86" s="576"/>
      <c r="BL86" s="602"/>
      <c r="BM86" s="553" t="s">
        <v>837</v>
      </c>
      <c r="BN86" s="612" t="s">
        <v>837</v>
      </c>
      <c r="BO86" s="576"/>
      <c r="BP86" s="606"/>
      <c r="BQ86" s="576"/>
      <c r="BR86" s="570"/>
      <c r="BS86" s="743"/>
      <c r="BT86" s="657"/>
      <c r="BU86" s="657"/>
      <c r="BV86" s="657"/>
      <c r="BW86" s="657"/>
      <c r="BX86" s="647"/>
      <c r="BY86" s="655"/>
      <c r="BZ86" s="647"/>
      <c r="CA86" s="657"/>
      <c r="CB86" s="657"/>
      <c r="CC86" s="657"/>
      <c r="CD86" s="658"/>
      <c r="CE86" s="737"/>
      <c r="CF86" s="738"/>
      <c r="CG86" s="738"/>
      <c r="CH86" s="738"/>
      <c r="CI86" s="738"/>
      <c r="CJ86" s="738"/>
      <c r="CK86" s="738"/>
      <c r="CL86" s="738"/>
      <c r="CM86" s="738"/>
      <c r="CN86" s="739"/>
      <c r="CO86" s="640"/>
      <c r="CP86" s="640"/>
      <c r="CQ86" s="640"/>
      <c r="CR86" s="640"/>
      <c r="CS86" s="640"/>
      <c r="CT86" s="640"/>
      <c r="CU86" s="640"/>
      <c r="CV86" s="640"/>
      <c r="CW86" s="640"/>
      <c r="CX86" s="640"/>
      <c r="CY86" s="640"/>
      <c r="CZ86" s="640"/>
      <c r="DA86" s="640"/>
      <c r="DB86" s="640"/>
      <c r="DC86" s="640"/>
      <c r="DD86" s="640"/>
      <c r="DE86" s="640"/>
      <c r="DF86" s="640"/>
      <c r="DG86" s="640"/>
      <c r="DH86" s="640"/>
      <c r="DI86" s="641"/>
      <c r="DJ86" s="641"/>
      <c r="DK86" s="641"/>
      <c r="DL86" s="641"/>
      <c r="DM86" s="641"/>
      <c r="DN86" s="641"/>
      <c r="DO86" s="641"/>
      <c r="DP86" s="576"/>
      <c r="DQ86" s="576"/>
      <c r="DR86" s="576"/>
      <c r="DS86" s="576"/>
      <c r="DT86" s="576"/>
      <c r="DU86" s="576"/>
      <c r="DV86" s="576"/>
      <c r="DW86" s="576"/>
      <c r="DX86" s="576"/>
      <c r="DY86" s="576"/>
      <c r="DZ86" s="576"/>
      <c r="EA86" s="576"/>
      <c r="EB86" s="576"/>
      <c r="EC86" s="576"/>
      <c r="ED86" s="576"/>
      <c r="EE86" s="576"/>
      <c r="EF86" s="576"/>
      <c r="EG86" s="576"/>
      <c r="EH86" s="576"/>
    </row>
    <row r="87" spans="1:138" s="14" customFormat="1" x14ac:dyDescent="0.25">
      <c r="A87" s="8">
        <v>83</v>
      </c>
      <c r="B87" s="4" t="s">
        <v>83</v>
      </c>
      <c r="C87" s="4"/>
      <c r="D87" s="4" t="s">
        <v>82</v>
      </c>
      <c r="E87" s="4" t="s">
        <v>74</v>
      </c>
      <c r="F87" s="526" t="s">
        <v>8</v>
      </c>
      <c r="G87" s="526" t="s">
        <v>837</v>
      </c>
      <c r="H87" s="556" t="s">
        <v>837</v>
      </c>
      <c r="I87" s="556" t="s">
        <v>837</v>
      </c>
      <c r="J87" s="556" t="s">
        <v>837</v>
      </c>
      <c r="K87" s="556" t="s">
        <v>837</v>
      </c>
      <c r="L87" s="556" t="s">
        <v>837</v>
      </c>
      <c r="M87" s="556" t="s">
        <v>837</v>
      </c>
      <c r="N87" s="556" t="s">
        <v>837</v>
      </c>
      <c r="O87" s="556" t="s">
        <v>837</v>
      </c>
      <c r="P87" s="556" t="s">
        <v>837</v>
      </c>
      <c r="Q87" s="556" t="s">
        <v>837</v>
      </c>
      <c r="R87" s="556" t="s">
        <v>837</v>
      </c>
      <c r="S87" s="556" t="s">
        <v>837</v>
      </c>
      <c r="T87" s="556" t="s">
        <v>837</v>
      </c>
      <c r="U87" s="556" t="s">
        <v>837</v>
      </c>
      <c r="V87" s="556" t="s">
        <v>837</v>
      </c>
      <c r="W87" s="556" t="s">
        <v>837</v>
      </c>
      <c r="X87" s="556" t="s">
        <v>837</v>
      </c>
      <c r="Y87" s="556" t="s">
        <v>837</v>
      </c>
      <c r="Z87" s="556" t="s">
        <v>837</v>
      </c>
      <c r="AA87" s="556" t="s">
        <v>837</v>
      </c>
      <c r="AB87" s="556" t="s">
        <v>837</v>
      </c>
      <c r="AC87" s="556" t="s">
        <v>837</v>
      </c>
      <c r="AD87" s="556" t="s">
        <v>837</v>
      </c>
      <c r="AE87" s="556" t="s">
        <v>837</v>
      </c>
      <c r="AF87" s="556" t="s">
        <v>837</v>
      </c>
      <c r="AG87" s="556" t="s">
        <v>837</v>
      </c>
      <c r="AH87" s="556" t="s">
        <v>837</v>
      </c>
      <c r="AI87" s="556" t="s">
        <v>837</v>
      </c>
      <c r="AJ87" s="556" t="s">
        <v>837</v>
      </c>
      <c r="AK87" s="556" t="s">
        <v>837</v>
      </c>
      <c r="AL87" s="556" t="s">
        <v>837</v>
      </c>
      <c r="AM87" s="556" t="s">
        <v>837</v>
      </c>
      <c r="AN87" s="556" t="s">
        <v>837</v>
      </c>
      <c r="AO87" s="556" t="s">
        <v>837</v>
      </c>
      <c r="AP87" s="556" t="s">
        <v>837</v>
      </c>
      <c r="AQ87" s="556" t="s">
        <v>837</v>
      </c>
      <c r="AR87" s="556" t="s">
        <v>837</v>
      </c>
      <c r="AS87" s="556" t="s">
        <v>837</v>
      </c>
      <c r="AT87" s="556" t="s">
        <v>837</v>
      </c>
      <c r="AU87" s="556" t="s">
        <v>837</v>
      </c>
      <c r="AV87" s="556" t="s">
        <v>837</v>
      </c>
      <c r="AW87" s="556" t="s">
        <v>837</v>
      </c>
      <c r="AX87" s="556" t="s">
        <v>837</v>
      </c>
      <c r="AY87" s="556" t="s">
        <v>837</v>
      </c>
      <c r="AZ87" s="556" t="s">
        <v>837</v>
      </c>
      <c r="BA87" s="556" t="s">
        <v>837</v>
      </c>
      <c r="BB87" s="556" t="s">
        <v>837</v>
      </c>
      <c r="BC87" s="556" t="s">
        <v>837</v>
      </c>
      <c r="BD87" s="556" t="s">
        <v>837</v>
      </c>
      <c r="BE87" s="556" t="s">
        <v>837</v>
      </c>
      <c r="BF87" s="636"/>
      <c r="BG87" s="636"/>
      <c r="BH87" s="636">
        <v>20001</v>
      </c>
      <c r="BI87" s="576"/>
      <c r="BJ87" s="576"/>
      <c r="BK87" s="576"/>
      <c r="BL87" s="602"/>
      <c r="BM87" s="553">
        <v>40001</v>
      </c>
      <c r="BN87" s="612">
        <v>40001</v>
      </c>
      <c r="BO87" s="576"/>
      <c r="BP87" s="606"/>
      <c r="BQ87" s="576"/>
      <c r="BR87" s="570"/>
      <c r="BS87" s="547"/>
      <c r="BT87" s="549"/>
      <c r="BU87" s="549"/>
      <c r="BV87" s="549"/>
      <c r="BW87" s="549"/>
      <c r="BX87" s="549"/>
      <c r="BY87" s="549"/>
      <c r="BZ87" s="549"/>
      <c r="CA87" s="549"/>
      <c r="CB87" s="549"/>
      <c r="CC87" s="549"/>
      <c r="CD87" s="548"/>
      <c r="CE87" s="547"/>
      <c r="CF87" s="549"/>
      <c r="CG87" s="549"/>
      <c r="CH87" s="549"/>
      <c r="CI87" s="549"/>
      <c r="CJ87" s="549"/>
      <c r="CK87" s="549"/>
      <c r="CL87" s="549"/>
      <c r="CM87" s="549"/>
      <c r="CN87" s="548"/>
      <c r="CO87" s="640"/>
      <c r="CP87" s="640"/>
      <c r="CQ87" s="640"/>
      <c r="CR87" s="640"/>
      <c r="CS87" s="640"/>
      <c r="CT87" s="640"/>
      <c r="CU87" s="640"/>
      <c r="CV87" s="640"/>
      <c r="CW87" s="640"/>
      <c r="CX87" s="640"/>
      <c r="CY87" s="640"/>
      <c r="CZ87" s="640"/>
      <c r="DA87" s="640"/>
      <c r="DB87" s="640"/>
      <c r="DC87" s="640"/>
      <c r="DD87" s="640"/>
      <c r="DE87" s="640"/>
      <c r="DF87" s="640"/>
      <c r="DG87" s="640"/>
      <c r="DH87" s="640"/>
      <c r="DI87" s="641"/>
      <c r="DJ87" s="641"/>
      <c r="DK87" s="641"/>
      <c r="DL87" s="641"/>
      <c r="DM87" s="641"/>
      <c r="DN87" s="641"/>
      <c r="DO87" s="641"/>
      <c r="DP87" s="576"/>
      <c r="DQ87" s="576"/>
      <c r="DR87" s="576"/>
      <c r="DS87" s="576"/>
      <c r="DT87" s="576"/>
      <c r="DU87" s="576"/>
      <c r="DV87" s="576"/>
      <c r="DW87" s="576"/>
      <c r="DX87" s="576"/>
      <c r="DY87" s="576"/>
      <c r="DZ87" s="576"/>
      <c r="EA87" s="576"/>
      <c r="EB87" s="576"/>
      <c r="EC87" s="576"/>
      <c r="ED87" s="576"/>
      <c r="EE87" s="576"/>
      <c r="EF87" s="576"/>
      <c r="EG87" s="576"/>
      <c r="EH87" s="576"/>
    </row>
    <row r="88" spans="1:138" s="14" customFormat="1" x14ac:dyDescent="0.25">
      <c r="A88" s="11">
        <v>84</v>
      </c>
      <c r="B88" s="7" t="s">
        <v>32</v>
      </c>
      <c r="C88" s="7"/>
      <c r="D88" s="7" t="s">
        <v>56</v>
      </c>
      <c r="E88" s="7"/>
      <c r="F88" s="528" t="s">
        <v>8</v>
      </c>
      <c r="G88" s="528" t="s">
        <v>837</v>
      </c>
      <c r="H88" s="588" t="s">
        <v>837</v>
      </c>
      <c r="I88" s="588" t="s">
        <v>837</v>
      </c>
      <c r="J88" s="588" t="s">
        <v>837</v>
      </c>
      <c r="K88" s="588" t="s">
        <v>837</v>
      </c>
      <c r="L88" s="588" t="s">
        <v>837</v>
      </c>
      <c r="M88" s="588" t="s">
        <v>837</v>
      </c>
      <c r="N88" s="588" t="s">
        <v>837</v>
      </c>
      <c r="O88" s="588" t="s">
        <v>837</v>
      </c>
      <c r="P88" s="588" t="s">
        <v>837</v>
      </c>
      <c r="Q88" s="588" t="s">
        <v>837</v>
      </c>
      <c r="R88" s="588" t="s">
        <v>837</v>
      </c>
      <c r="S88" s="588" t="s">
        <v>837</v>
      </c>
      <c r="T88" s="588" t="s">
        <v>837</v>
      </c>
      <c r="U88" s="588" t="s">
        <v>837</v>
      </c>
      <c r="V88" s="588" t="s">
        <v>837</v>
      </c>
      <c r="W88" s="588" t="s">
        <v>837</v>
      </c>
      <c r="X88" s="588" t="s">
        <v>837</v>
      </c>
      <c r="Y88" s="588" t="s">
        <v>837</v>
      </c>
      <c r="Z88" s="588" t="s">
        <v>837</v>
      </c>
      <c r="AA88" s="588" t="s">
        <v>837</v>
      </c>
      <c r="AB88" s="588" t="s">
        <v>837</v>
      </c>
      <c r="AC88" s="588" t="s">
        <v>837</v>
      </c>
      <c r="AD88" s="588" t="s">
        <v>837</v>
      </c>
      <c r="AE88" s="588" t="s">
        <v>837</v>
      </c>
      <c r="AF88" s="588" t="s">
        <v>837</v>
      </c>
      <c r="AG88" s="588" t="s">
        <v>837</v>
      </c>
      <c r="AH88" s="588" t="s">
        <v>837</v>
      </c>
      <c r="AI88" s="588" t="s">
        <v>837</v>
      </c>
      <c r="AJ88" s="588" t="s">
        <v>837</v>
      </c>
      <c r="AK88" s="588" t="s">
        <v>837</v>
      </c>
      <c r="AL88" s="588" t="s">
        <v>837</v>
      </c>
      <c r="AM88" s="588" t="s">
        <v>837</v>
      </c>
      <c r="AN88" s="588" t="s">
        <v>837</v>
      </c>
      <c r="AO88" s="588" t="s">
        <v>837</v>
      </c>
      <c r="AP88" s="588" t="s">
        <v>837</v>
      </c>
      <c r="AQ88" s="588" t="s">
        <v>837</v>
      </c>
      <c r="AR88" s="588" t="s">
        <v>837</v>
      </c>
      <c r="AS88" s="588" t="s">
        <v>837</v>
      </c>
      <c r="AT88" s="588" t="s">
        <v>837</v>
      </c>
      <c r="AU88" s="588" t="s">
        <v>837</v>
      </c>
      <c r="AV88" s="588" t="s">
        <v>837</v>
      </c>
      <c r="AW88" s="588" t="s">
        <v>837</v>
      </c>
      <c r="AX88" s="588" t="s">
        <v>837</v>
      </c>
      <c r="AY88" s="588" t="s">
        <v>837</v>
      </c>
      <c r="AZ88" s="588" t="s">
        <v>837</v>
      </c>
      <c r="BA88" s="588" t="s">
        <v>837</v>
      </c>
      <c r="BB88" s="588" t="s">
        <v>837</v>
      </c>
      <c r="BC88" s="588" t="s">
        <v>837</v>
      </c>
      <c r="BD88" s="588" t="s">
        <v>837</v>
      </c>
      <c r="BE88" s="588" t="s">
        <v>837</v>
      </c>
      <c r="BF88" s="641"/>
      <c r="BG88" s="641"/>
      <c r="BH88" s="641"/>
      <c r="BI88" s="576"/>
      <c r="BJ88" s="576"/>
      <c r="BK88" s="576"/>
      <c r="BL88" s="602"/>
      <c r="BM88" s="582" t="s">
        <v>837</v>
      </c>
      <c r="BN88" s="619" t="s">
        <v>837</v>
      </c>
      <c r="BO88" s="576"/>
      <c r="BP88" s="606"/>
      <c r="BQ88" s="576"/>
      <c r="BR88" s="576"/>
      <c r="BS88" s="547"/>
      <c r="BT88" s="549"/>
      <c r="BU88" s="549"/>
      <c r="BV88" s="549"/>
      <c r="BW88" s="549"/>
      <c r="BX88" s="549"/>
      <c r="BY88" s="549"/>
      <c r="BZ88" s="549"/>
      <c r="CA88" s="549"/>
      <c r="CB88" s="549"/>
      <c r="CC88" s="549"/>
      <c r="CD88" s="548"/>
      <c r="CE88" s="547"/>
      <c r="CF88" s="549"/>
      <c r="CG88" s="549"/>
      <c r="CH88" s="549"/>
      <c r="CI88" s="549"/>
      <c r="CJ88" s="549"/>
      <c r="CK88" s="549"/>
      <c r="CL88" s="549"/>
      <c r="CM88" s="549"/>
      <c r="CN88" s="548"/>
      <c r="CO88" s="641"/>
      <c r="CP88" s="641"/>
      <c r="CQ88" s="641"/>
      <c r="CR88" s="641"/>
      <c r="CS88" s="641"/>
      <c r="CT88" s="641"/>
      <c r="CU88" s="641"/>
      <c r="CV88" s="641"/>
      <c r="CW88" s="641"/>
      <c r="CX88" s="641"/>
      <c r="CY88" s="641"/>
      <c r="CZ88" s="641"/>
      <c r="DA88" s="641"/>
      <c r="DB88" s="641"/>
      <c r="DC88" s="641"/>
      <c r="DD88" s="641"/>
      <c r="DE88" s="641"/>
      <c r="DF88" s="641"/>
      <c r="DG88" s="641"/>
      <c r="DH88" s="641"/>
      <c r="DI88" s="641"/>
      <c r="DJ88" s="641"/>
      <c r="DK88" s="641"/>
      <c r="DL88" s="641"/>
      <c r="DM88" s="641"/>
      <c r="DN88" s="641"/>
      <c r="DO88" s="641"/>
      <c r="DP88" s="576"/>
      <c r="DQ88" s="576"/>
      <c r="DR88" s="576"/>
      <c r="DS88" s="576"/>
      <c r="DT88" s="576"/>
      <c r="DU88" s="576"/>
      <c r="DV88" s="576"/>
      <c r="DW88" s="576"/>
      <c r="DX88" s="576"/>
      <c r="DY88" s="576"/>
      <c r="DZ88" s="576"/>
      <c r="EA88" s="576"/>
      <c r="EB88" s="576"/>
      <c r="EC88" s="576"/>
      <c r="ED88" s="576"/>
      <c r="EE88" s="576"/>
      <c r="EF88" s="576"/>
      <c r="EG88" s="576"/>
      <c r="EH88" s="576"/>
    </row>
    <row r="89" spans="1:138" s="14" customFormat="1" x14ac:dyDescent="0.25">
      <c r="A89" s="11">
        <v>85</v>
      </c>
      <c r="B89" s="7" t="s">
        <v>735</v>
      </c>
      <c r="C89" s="7"/>
      <c r="D89" s="7" t="s">
        <v>56</v>
      </c>
      <c r="E89" s="7"/>
      <c r="F89" s="528" t="s">
        <v>8</v>
      </c>
      <c r="G89" s="528" t="s">
        <v>837</v>
      </c>
      <c r="H89" s="588" t="s">
        <v>837</v>
      </c>
      <c r="I89" s="588" t="s">
        <v>837</v>
      </c>
      <c r="J89" s="588" t="s">
        <v>837</v>
      </c>
      <c r="K89" s="588" t="s">
        <v>837</v>
      </c>
      <c r="L89" s="588" t="s">
        <v>837</v>
      </c>
      <c r="M89" s="588" t="s">
        <v>837</v>
      </c>
      <c r="N89" s="588" t="s">
        <v>837</v>
      </c>
      <c r="O89" s="588" t="s">
        <v>837</v>
      </c>
      <c r="P89" s="588" t="s">
        <v>837</v>
      </c>
      <c r="Q89" s="588" t="s">
        <v>837</v>
      </c>
      <c r="R89" s="588" t="s">
        <v>837</v>
      </c>
      <c r="S89" s="588" t="s">
        <v>837</v>
      </c>
      <c r="T89" s="588" t="s">
        <v>837</v>
      </c>
      <c r="U89" s="588" t="s">
        <v>837</v>
      </c>
      <c r="V89" s="588" t="s">
        <v>837</v>
      </c>
      <c r="W89" s="588" t="s">
        <v>837</v>
      </c>
      <c r="X89" s="588" t="s">
        <v>837</v>
      </c>
      <c r="Y89" s="588" t="s">
        <v>837</v>
      </c>
      <c r="Z89" s="588" t="s">
        <v>837</v>
      </c>
      <c r="AA89" s="588" t="s">
        <v>837</v>
      </c>
      <c r="AB89" s="588" t="s">
        <v>837</v>
      </c>
      <c r="AC89" s="588" t="s">
        <v>837</v>
      </c>
      <c r="AD89" s="588" t="s">
        <v>837</v>
      </c>
      <c r="AE89" s="588" t="s">
        <v>837</v>
      </c>
      <c r="AF89" s="588" t="s">
        <v>837</v>
      </c>
      <c r="AG89" s="588" t="s">
        <v>837</v>
      </c>
      <c r="AH89" s="588" t="s">
        <v>837</v>
      </c>
      <c r="AI89" s="588" t="s">
        <v>837</v>
      </c>
      <c r="AJ89" s="588" t="s">
        <v>837</v>
      </c>
      <c r="AK89" s="588" t="s">
        <v>837</v>
      </c>
      <c r="AL89" s="588" t="s">
        <v>837</v>
      </c>
      <c r="AM89" s="588" t="s">
        <v>837</v>
      </c>
      <c r="AN89" s="588" t="s">
        <v>837</v>
      </c>
      <c r="AO89" s="588" t="s">
        <v>837</v>
      </c>
      <c r="AP89" s="588" t="s">
        <v>837</v>
      </c>
      <c r="AQ89" s="588" t="s">
        <v>837</v>
      </c>
      <c r="AR89" s="588" t="s">
        <v>837</v>
      </c>
      <c r="AS89" s="588" t="s">
        <v>837</v>
      </c>
      <c r="AT89" s="588" t="s">
        <v>837</v>
      </c>
      <c r="AU89" s="588" t="s">
        <v>837</v>
      </c>
      <c r="AV89" s="588" t="s">
        <v>837</v>
      </c>
      <c r="AW89" s="588" t="s">
        <v>837</v>
      </c>
      <c r="AX89" s="588" t="s">
        <v>837</v>
      </c>
      <c r="AY89" s="588" t="s">
        <v>837</v>
      </c>
      <c r="AZ89" s="588" t="s">
        <v>837</v>
      </c>
      <c r="BA89" s="588" t="s">
        <v>837</v>
      </c>
      <c r="BB89" s="588" t="s">
        <v>837</v>
      </c>
      <c r="BC89" s="588" t="s">
        <v>837</v>
      </c>
      <c r="BD89" s="588" t="s">
        <v>837</v>
      </c>
      <c r="BE89" s="588" t="s">
        <v>837</v>
      </c>
      <c r="BF89" s="641"/>
      <c r="BG89" s="641"/>
      <c r="BH89" s="641"/>
      <c r="BI89" s="576"/>
      <c r="BJ89" s="576"/>
      <c r="BK89" s="576"/>
      <c r="BL89" s="602"/>
      <c r="BM89" s="582" t="s">
        <v>837</v>
      </c>
      <c r="BN89" s="619" t="s">
        <v>837</v>
      </c>
      <c r="BO89" s="576"/>
      <c r="BP89" s="606"/>
      <c r="BQ89" s="576"/>
      <c r="BR89" s="576"/>
      <c r="BS89" s="547"/>
      <c r="BT89" s="549"/>
      <c r="BU89" s="549"/>
      <c r="BV89" s="549"/>
      <c r="BW89" s="549"/>
      <c r="BX89" s="549"/>
      <c r="BY89" s="549"/>
      <c r="BZ89" s="549"/>
      <c r="CA89" s="549"/>
      <c r="CB89" s="549"/>
      <c r="CC89" s="549"/>
      <c r="CD89" s="548"/>
      <c r="CE89" s="547"/>
      <c r="CF89" s="549"/>
      <c r="CG89" s="549"/>
      <c r="CH89" s="549"/>
      <c r="CI89" s="549"/>
      <c r="CJ89" s="549"/>
      <c r="CK89" s="549"/>
      <c r="CL89" s="549"/>
      <c r="CM89" s="549"/>
      <c r="CN89" s="548"/>
      <c r="CO89" s="641"/>
      <c r="CP89" s="641"/>
      <c r="CQ89" s="641"/>
      <c r="CR89" s="641"/>
      <c r="CS89" s="641"/>
      <c r="CT89" s="641"/>
      <c r="CU89" s="641"/>
      <c r="CV89" s="641"/>
      <c r="CW89" s="641"/>
      <c r="CX89" s="641"/>
      <c r="CY89" s="641"/>
      <c r="CZ89" s="641"/>
      <c r="DA89" s="641"/>
      <c r="DB89" s="641"/>
      <c r="DC89" s="641"/>
      <c r="DD89" s="641"/>
      <c r="DE89" s="641"/>
      <c r="DF89" s="641"/>
      <c r="DG89" s="641"/>
      <c r="DH89" s="641"/>
      <c r="DI89" s="641"/>
      <c r="DJ89" s="641"/>
      <c r="DK89" s="641"/>
      <c r="DL89" s="641"/>
      <c r="DM89" s="641"/>
      <c r="DN89" s="641"/>
      <c r="DO89" s="641"/>
      <c r="DP89" s="576"/>
      <c r="DQ89" s="576"/>
      <c r="DR89" s="576"/>
      <c r="DS89" s="576"/>
      <c r="DT89" s="576"/>
      <c r="DU89" s="576"/>
      <c r="DV89" s="576"/>
      <c r="DW89" s="576"/>
      <c r="DX89" s="576"/>
      <c r="DY89" s="576"/>
      <c r="DZ89" s="576"/>
      <c r="EA89" s="576"/>
      <c r="EB89" s="576"/>
      <c r="EC89" s="576"/>
      <c r="ED89" s="576"/>
      <c r="EE89" s="576"/>
      <c r="EF89" s="576"/>
      <c r="EG89" s="576"/>
      <c r="EH89" s="576"/>
    </row>
    <row r="90" spans="1:138" s="14" customFormat="1" x14ac:dyDescent="0.25">
      <c r="A90" s="11">
        <v>86</v>
      </c>
      <c r="B90" s="7" t="s">
        <v>734</v>
      </c>
      <c r="C90" s="7"/>
      <c r="D90" s="7" t="s">
        <v>56</v>
      </c>
      <c r="E90" s="7"/>
      <c r="F90" s="528" t="s">
        <v>8</v>
      </c>
      <c r="G90" s="528" t="s">
        <v>837</v>
      </c>
      <c r="H90" s="588" t="s">
        <v>837</v>
      </c>
      <c r="I90" s="588" t="s">
        <v>837</v>
      </c>
      <c r="J90" s="588" t="s">
        <v>837</v>
      </c>
      <c r="K90" s="588" t="s">
        <v>837</v>
      </c>
      <c r="L90" s="588" t="s">
        <v>837</v>
      </c>
      <c r="M90" s="588" t="s">
        <v>837</v>
      </c>
      <c r="N90" s="588" t="s">
        <v>837</v>
      </c>
      <c r="O90" s="588" t="s">
        <v>837</v>
      </c>
      <c r="P90" s="588" t="s">
        <v>837</v>
      </c>
      <c r="Q90" s="588" t="s">
        <v>837</v>
      </c>
      <c r="R90" s="588" t="s">
        <v>837</v>
      </c>
      <c r="S90" s="588" t="s">
        <v>837</v>
      </c>
      <c r="T90" s="588" t="s">
        <v>837</v>
      </c>
      <c r="U90" s="588" t="s">
        <v>837</v>
      </c>
      <c r="V90" s="588" t="s">
        <v>837</v>
      </c>
      <c r="W90" s="588" t="s">
        <v>837</v>
      </c>
      <c r="X90" s="588" t="s">
        <v>837</v>
      </c>
      <c r="Y90" s="588" t="s">
        <v>837</v>
      </c>
      <c r="Z90" s="588" t="s">
        <v>837</v>
      </c>
      <c r="AA90" s="588" t="s">
        <v>837</v>
      </c>
      <c r="AB90" s="588" t="s">
        <v>837</v>
      </c>
      <c r="AC90" s="588" t="s">
        <v>837</v>
      </c>
      <c r="AD90" s="588" t="s">
        <v>837</v>
      </c>
      <c r="AE90" s="588" t="s">
        <v>837</v>
      </c>
      <c r="AF90" s="588" t="s">
        <v>837</v>
      </c>
      <c r="AG90" s="588" t="s">
        <v>837</v>
      </c>
      <c r="AH90" s="588" t="s">
        <v>837</v>
      </c>
      <c r="AI90" s="588" t="s">
        <v>837</v>
      </c>
      <c r="AJ90" s="588" t="s">
        <v>837</v>
      </c>
      <c r="AK90" s="588" t="s">
        <v>837</v>
      </c>
      <c r="AL90" s="588" t="s">
        <v>837</v>
      </c>
      <c r="AM90" s="588" t="s">
        <v>837</v>
      </c>
      <c r="AN90" s="588" t="s">
        <v>837</v>
      </c>
      <c r="AO90" s="588" t="s">
        <v>837</v>
      </c>
      <c r="AP90" s="588" t="s">
        <v>837</v>
      </c>
      <c r="AQ90" s="588" t="s">
        <v>837</v>
      </c>
      <c r="AR90" s="588" t="s">
        <v>837</v>
      </c>
      <c r="AS90" s="588" t="s">
        <v>837</v>
      </c>
      <c r="AT90" s="588" t="s">
        <v>837</v>
      </c>
      <c r="AU90" s="588" t="s">
        <v>837</v>
      </c>
      <c r="AV90" s="588" t="s">
        <v>837</v>
      </c>
      <c r="AW90" s="588" t="s">
        <v>837</v>
      </c>
      <c r="AX90" s="588" t="s">
        <v>837</v>
      </c>
      <c r="AY90" s="588" t="s">
        <v>837</v>
      </c>
      <c r="AZ90" s="588" t="s">
        <v>837</v>
      </c>
      <c r="BA90" s="588" t="s">
        <v>837</v>
      </c>
      <c r="BB90" s="588" t="s">
        <v>837</v>
      </c>
      <c r="BC90" s="588" t="s">
        <v>837</v>
      </c>
      <c r="BD90" s="588" t="s">
        <v>837</v>
      </c>
      <c r="BE90" s="588" t="s">
        <v>837</v>
      </c>
      <c r="BF90" s="641"/>
      <c r="BG90" s="641"/>
      <c r="BH90" s="641"/>
      <c r="BI90" s="576"/>
      <c r="BJ90" s="576"/>
      <c r="BK90" s="576"/>
      <c r="BL90" s="602"/>
      <c r="BM90" s="582" t="s">
        <v>837</v>
      </c>
      <c r="BN90" s="619" t="s">
        <v>837</v>
      </c>
      <c r="BO90" s="576"/>
      <c r="BP90" s="606"/>
      <c r="BQ90" s="576"/>
      <c r="BR90" s="576"/>
      <c r="BS90" s="547"/>
      <c r="BT90" s="549"/>
      <c r="BU90" s="549"/>
      <c r="BV90" s="549"/>
      <c r="BW90" s="549"/>
      <c r="BX90" s="549"/>
      <c r="BY90" s="549"/>
      <c r="BZ90" s="549"/>
      <c r="CA90" s="549"/>
      <c r="CB90" s="549"/>
      <c r="CC90" s="549"/>
      <c r="CD90" s="548"/>
      <c r="CE90" s="547"/>
      <c r="CF90" s="549"/>
      <c r="CG90" s="549"/>
      <c r="CH90" s="549"/>
      <c r="CI90" s="549"/>
      <c r="CJ90" s="549"/>
      <c r="CK90" s="549"/>
      <c r="CL90" s="549"/>
      <c r="CM90" s="549"/>
      <c r="CN90" s="548"/>
      <c r="CO90" s="641"/>
      <c r="CP90" s="641"/>
      <c r="CQ90" s="641"/>
      <c r="CR90" s="641"/>
      <c r="CS90" s="641"/>
      <c r="CT90" s="641"/>
      <c r="CU90" s="641"/>
      <c r="CV90" s="641"/>
      <c r="CW90" s="641"/>
      <c r="CX90" s="641"/>
      <c r="CY90" s="641"/>
      <c r="CZ90" s="641"/>
      <c r="DA90" s="641"/>
      <c r="DB90" s="641"/>
      <c r="DC90" s="641"/>
      <c r="DD90" s="641"/>
      <c r="DE90" s="641"/>
      <c r="DF90" s="641"/>
      <c r="DG90" s="641"/>
      <c r="DH90" s="641"/>
      <c r="DI90" s="641"/>
      <c r="DJ90" s="641"/>
      <c r="DK90" s="641"/>
      <c r="DL90" s="641"/>
      <c r="DM90" s="641"/>
      <c r="DN90" s="641"/>
      <c r="DO90" s="641"/>
      <c r="DP90" s="576"/>
      <c r="DQ90" s="576"/>
      <c r="DR90" s="576"/>
      <c r="DS90" s="576"/>
      <c r="DT90" s="576"/>
      <c r="DU90" s="576"/>
      <c r="DV90" s="576"/>
      <c r="DW90" s="576"/>
      <c r="DX90" s="576"/>
      <c r="DY90" s="576"/>
      <c r="DZ90" s="576"/>
      <c r="EA90" s="576"/>
      <c r="EB90" s="576"/>
      <c r="EC90" s="576"/>
      <c r="ED90" s="576"/>
      <c r="EE90" s="576"/>
      <c r="EF90" s="576"/>
      <c r="EG90" s="576"/>
      <c r="EH90" s="576"/>
    </row>
    <row r="91" spans="1:138" s="14" customFormat="1" x14ac:dyDescent="0.25">
      <c r="A91" s="11">
        <v>87</v>
      </c>
      <c r="B91" s="7" t="s">
        <v>733</v>
      </c>
      <c r="C91" s="7"/>
      <c r="D91" s="7" t="s">
        <v>56</v>
      </c>
      <c r="E91" s="7"/>
      <c r="F91" s="528" t="s">
        <v>8</v>
      </c>
      <c r="G91" s="528" t="s">
        <v>837</v>
      </c>
      <c r="H91" s="588" t="s">
        <v>837</v>
      </c>
      <c r="I91" s="588" t="s">
        <v>837</v>
      </c>
      <c r="J91" s="588" t="s">
        <v>837</v>
      </c>
      <c r="K91" s="588" t="s">
        <v>837</v>
      </c>
      <c r="L91" s="588" t="s">
        <v>837</v>
      </c>
      <c r="M91" s="588" t="s">
        <v>837</v>
      </c>
      <c r="N91" s="588" t="s">
        <v>837</v>
      </c>
      <c r="O91" s="588" t="s">
        <v>837</v>
      </c>
      <c r="P91" s="588" t="s">
        <v>837</v>
      </c>
      <c r="Q91" s="588" t="s">
        <v>837</v>
      </c>
      <c r="R91" s="588" t="s">
        <v>837</v>
      </c>
      <c r="S91" s="588" t="s">
        <v>837</v>
      </c>
      <c r="T91" s="588" t="s">
        <v>837</v>
      </c>
      <c r="U91" s="588" t="s">
        <v>837</v>
      </c>
      <c r="V91" s="588" t="s">
        <v>837</v>
      </c>
      <c r="W91" s="588" t="s">
        <v>837</v>
      </c>
      <c r="X91" s="588" t="s">
        <v>837</v>
      </c>
      <c r="Y91" s="588" t="s">
        <v>837</v>
      </c>
      <c r="Z91" s="588" t="s">
        <v>837</v>
      </c>
      <c r="AA91" s="588" t="s">
        <v>837</v>
      </c>
      <c r="AB91" s="588" t="s">
        <v>837</v>
      </c>
      <c r="AC91" s="588" t="s">
        <v>837</v>
      </c>
      <c r="AD91" s="588" t="s">
        <v>837</v>
      </c>
      <c r="AE91" s="588" t="s">
        <v>837</v>
      </c>
      <c r="AF91" s="588" t="s">
        <v>837</v>
      </c>
      <c r="AG91" s="588" t="s">
        <v>837</v>
      </c>
      <c r="AH91" s="588" t="s">
        <v>837</v>
      </c>
      <c r="AI91" s="588" t="s">
        <v>837</v>
      </c>
      <c r="AJ91" s="588" t="s">
        <v>837</v>
      </c>
      <c r="AK91" s="588" t="s">
        <v>837</v>
      </c>
      <c r="AL91" s="588" t="s">
        <v>837</v>
      </c>
      <c r="AM91" s="588" t="s">
        <v>837</v>
      </c>
      <c r="AN91" s="588" t="s">
        <v>837</v>
      </c>
      <c r="AO91" s="588" t="s">
        <v>837</v>
      </c>
      <c r="AP91" s="588" t="s">
        <v>837</v>
      </c>
      <c r="AQ91" s="588" t="s">
        <v>837</v>
      </c>
      <c r="AR91" s="588" t="s">
        <v>837</v>
      </c>
      <c r="AS91" s="588" t="s">
        <v>837</v>
      </c>
      <c r="AT91" s="588" t="s">
        <v>837</v>
      </c>
      <c r="AU91" s="588" t="s">
        <v>837</v>
      </c>
      <c r="AV91" s="588" t="s">
        <v>837</v>
      </c>
      <c r="AW91" s="588" t="s">
        <v>837</v>
      </c>
      <c r="AX91" s="588" t="s">
        <v>837</v>
      </c>
      <c r="AY91" s="588" t="s">
        <v>837</v>
      </c>
      <c r="AZ91" s="588" t="s">
        <v>837</v>
      </c>
      <c r="BA91" s="588" t="s">
        <v>837</v>
      </c>
      <c r="BB91" s="588" t="s">
        <v>837</v>
      </c>
      <c r="BC91" s="588" t="s">
        <v>837</v>
      </c>
      <c r="BD91" s="588" t="s">
        <v>837</v>
      </c>
      <c r="BE91" s="588" t="s">
        <v>837</v>
      </c>
      <c r="BF91" s="641"/>
      <c r="BG91" s="641"/>
      <c r="BH91" s="641"/>
      <c r="BI91" s="576"/>
      <c r="BJ91" s="576"/>
      <c r="BK91" s="576"/>
      <c r="BL91" s="602"/>
      <c r="BM91" s="582" t="s">
        <v>837</v>
      </c>
      <c r="BN91" s="619" t="s">
        <v>837</v>
      </c>
      <c r="BO91" s="576"/>
      <c r="BP91" s="606"/>
      <c r="BQ91" s="576"/>
      <c r="BR91" s="576"/>
      <c r="BS91" s="547"/>
      <c r="BT91" s="549"/>
      <c r="BU91" s="549"/>
      <c r="BV91" s="549"/>
      <c r="BW91" s="549"/>
      <c r="BX91" s="549"/>
      <c r="BY91" s="549"/>
      <c r="BZ91" s="549"/>
      <c r="CA91" s="549"/>
      <c r="CB91" s="549"/>
      <c r="CC91" s="549"/>
      <c r="CD91" s="548"/>
      <c r="CE91" s="547"/>
      <c r="CF91" s="549"/>
      <c r="CG91" s="549"/>
      <c r="CH91" s="549"/>
      <c r="CI91" s="549"/>
      <c r="CJ91" s="549"/>
      <c r="CK91" s="549"/>
      <c r="CL91" s="549"/>
      <c r="CM91" s="549"/>
      <c r="CN91" s="548"/>
      <c r="CO91" s="641"/>
      <c r="CP91" s="641"/>
      <c r="CQ91" s="641"/>
      <c r="CR91" s="641"/>
      <c r="CS91" s="641"/>
      <c r="CT91" s="641"/>
      <c r="CU91" s="641"/>
      <c r="CV91" s="641"/>
      <c r="CW91" s="641"/>
      <c r="CX91" s="641"/>
      <c r="CY91" s="641"/>
      <c r="CZ91" s="641"/>
      <c r="DA91" s="641"/>
      <c r="DB91" s="641"/>
      <c r="DC91" s="641"/>
      <c r="DD91" s="641"/>
      <c r="DE91" s="641"/>
      <c r="DF91" s="641"/>
      <c r="DG91" s="641"/>
      <c r="DH91" s="641"/>
      <c r="DI91" s="641"/>
      <c r="DJ91" s="641"/>
      <c r="DK91" s="641"/>
      <c r="DL91" s="641"/>
      <c r="DM91" s="641"/>
      <c r="DN91" s="641"/>
      <c r="DO91" s="641"/>
      <c r="DP91" s="576"/>
      <c r="DQ91" s="576"/>
      <c r="DR91" s="576"/>
      <c r="DS91" s="576"/>
      <c r="DT91" s="576"/>
      <c r="DU91" s="576"/>
      <c r="DV91" s="576"/>
      <c r="DW91" s="576"/>
      <c r="DX91" s="576"/>
      <c r="DY91" s="576"/>
      <c r="DZ91" s="576"/>
      <c r="EA91" s="576"/>
      <c r="EB91" s="576"/>
      <c r="EC91" s="576"/>
      <c r="ED91" s="576"/>
      <c r="EE91" s="576"/>
      <c r="EF91" s="576"/>
      <c r="EG91" s="576"/>
      <c r="EH91" s="576"/>
    </row>
    <row r="92" spans="1:138" s="14" customFormat="1" x14ac:dyDescent="0.25">
      <c r="A92" s="11">
        <v>88</v>
      </c>
      <c r="B92" s="7" t="s">
        <v>33</v>
      </c>
      <c r="C92" s="7"/>
      <c r="D92" s="7" t="s">
        <v>56</v>
      </c>
      <c r="E92" s="7"/>
      <c r="F92" s="528" t="s">
        <v>8</v>
      </c>
      <c r="G92" s="528" t="s">
        <v>837</v>
      </c>
      <c r="H92" s="588" t="s">
        <v>837</v>
      </c>
      <c r="I92" s="588" t="s">
        <v>837</v>
      </c>
      <c r="J92" s="588" t="s">
        <v>837</v>
      </c>
      <c r="K92" s="588" t="s">
        <v>837</v>
      </c>
      <c r="L92" s="588" t="s">
        <v>837</v>
      </c>
      <c r="M92" s="588" t="s">
        <v>837</v>
      </c>
      <c r="N92" s="588" t="s">
        <v>837</v>
      </c>
      <c r="O92" s="588" t="s">
        <v>837</v>
      </c>
      <c r="P92" s="588" t="s">
        <v>837</v>
      </c>
      <c r="Q92" s="588" t="s">
        <v>837</v>
      </c>
      <c r="R92" s="588" t="s">
        <v>837</v>
      </c>
      <c r="S92" s="588" t="s">
        <v>837</v>
      </c>
      <c r="T92" s="588" t="s">
        <v>837</v>
      </c>
      <c r="U92" s="588" t="s">
        <v>837</v>
      </c>
      <c r="V92" s="588" t="s">
        <v>837</v>
      </c>
      <c r="W92" s="588" t="s">
        <v>837</v>
      </c>
      <c r="X92" s="588" t="s">
        <v>837</v>
      </c>
      <c r="Y92" s="588" t="s">
        <v>837</v>
      </c>
      <c r="Z92" s="588" t="s">
        <v>837</v>
      </c>
      <c r="AA92" s="588" t="s">
        <v>837</v>
      </c>
      <c r="AB92" s="588" t="s">
        <v>837</v>
      </c>
      <c r="AC92" s="588" t="s">
        <v>837</v>
      </c>
      <c r="AD92" s="588" t="s">
        <v>837</v>
      </c>
      <c r="AE92" s="588" t="s">
        <v>837</v>
      </c>
      <c r="AF92" s="588" t="s">
        <v>837</v>
      </c>
      <c r="AG92" s="588" t="s">
        <v>837</v>
      </c>
      <c r="AH92" s="588" t="s">
        <v>837</v>
      </c>
      <c r="AI92" s="588" t="s">
        <v>837</v>
      </c>
      <c r="AJ92" s="588" t="s">
        <v>837</v>
      </c>
      <c r="AK92" s="588" t="s">
        <v>837</v>
      </c>
      <c r="AL92" s="588" t="s">
        <v>837</v>
      </c>
      <c r="AM92" s="588" t="s">
        <v>837</v>
      </c>
      <c r="AN92" s="588" t="s">
        <v>837</v>
      </c>
      <c r="AO92" s="588" t="s">
        <v>837</v>
      </c>
      <c r="AP92" s="588" t="s">
        <v>837</v>
      </c>
      <c r="AQ92" s="588" t="s">
        <v>837</v>
      </c>
      <c r="AR92" s="588" t="s">
        <v>837</v>
      </c>
      <c r="AS92" s="588" t="s">
        <v>837</v>
      </c>
      <c r="AT92" s="588" t="s">
        <v>837</v>
      </c>
      <c r="AU92" s="588" t="s">
        <v>837</v>
      </c>
      <c r="AV92" s="588" t="s">
        <v>837</v>
      </c>
      <c r="AW92" s="588" t="s">
        <v>837</v>
      </c>
      <c r="AX92" s="588" t="s">
        <v>837</v>
      </c>
      <c r="AY92" s="588" t="s">
        <v>837</v>
      </c>
      <c r="AZ92" s="588" t="s">
        <v>837</v>
      </c>
      <c r="BA92" s="588" t="s">
        <v>837</v>
      </c>
      <c r="BB92" s="588" t="s">
        <v>837</v>
      </c>
      <c r="BC92" s="588" t="s">
        <v>837</v>
      </c>
      <c r="BD92" s="588" t="s">
        <v>837</v>
      </c>
      <c r="BE92" s="588" t="s">
        <v>837</v>
      </c>
      <c r="BF92" s="641"/>
      <c r="BG92" s="641"/>
      <c r="BH92" s="641"/>
      <c r="BI92" s="576"/>
      <c r="BJ92" s="576"/>
      <c r="BK92" s="576"/>
      <c r="BL92" s="602"/>
      <c r="BM92" s="582" t="s">
        <v>837</v>
      </c>
      <c r="BN92" s="619" t="s">
        <v>837</v>
      </c>
      <c r="BO92" s="576"/>
      <c r="BP92" s="606"/>
      <c r="BQ92" s="576"/>
      <c r="BR92" s="576"/>
      <c r="BS92" s="547"/>
      <c r="BT92" s="549"/>
      <c r="BU92" s="549"/>
      <c r="BV92" s="549"/>
      <c r="BW92" s="549"/>
      <c r="BX92" s="549"/>
      <c r="BY92" s="549"/>
      <c r="BZ92" s="549"/>
      <c r="CA92" s="549"/>
      <c r="CB92" s="549"/>
      <c r="CC92" s="549"/>
      <c r="CD92" s="548"/>
      <c r="CE92" s="547"/>
      <c r="CF92" s="549"/>
      <c r="CG92" s="549"/>
      <c r="CH92" s="549"/>
      <c r="CI92" s="549"/>
      <c r="CJ92" s="549"/>
      <c r="CK92" s="549"/>
      <c r="CL92" s="549"/>
      <c r="CM92" s="549"/>
      <c r="CN92" s="548"/>
      <c r="CO92" s="641"/>
      <c r="CP92" s="641"/>
      <c r="CQ92" s="641"/>
      <c r="CR92" s="641"/>
      <c r="CS92" s="641"/>
      <c r="CT92" s="641"/>
      <c r="CU92" s="641"/>
      <c r="CV92" s="641"/>
      <c r="CW92" s="641"/>
      <c r="CX92" s="641"/>
      <c r="CY92" s="641"/>
      <c r="CZ92" s="641"/>
      <c r="DA92" s="641"/>
      <c r="DB92" s="641"/>
      <c r="DC92" s="641"/>
      <c r="DD92" s="641"/>
      <c r="DE92" s="641"/>
      <c r="DF92" s="641"/>
      <c r="DG92" s="641"/>
      <c r="DH92" s="641"/>
      <c r="DI92" s="641"/>
      <c r="DJ92" s="641"/>
      <c r="DK92" s="641"/>
      <c r="DL92" s="641"/>
      <c r="DM92" s="641"/>
      <c r="DN92" s="641"/>
      <c r="DO92" s="641"/>
      <c r="DP92" s="576"/>
      <c r="DQ92" s="576"/>
      <c r="DR92" s="576"/>
      <c r="DS92" s="576"/>
      <c r="DT92" s="576"/>
      <c r="DU92" s="576"/>
      <c r="DV92" s="576"/>
      <c r="DW92" s="576"/>
      <c r="DX92" s="576"/>
      <c r="DY92" s="576"/>
      <c r="DZ92" s="576"/>
      <c r="EA92" s="576"/>
      <c r="EB92" s="576"/>
      <c r="EC92" s="576"/>
      <c r="ED92" s="576"/>
      <c r="EE92" s="576"/>
      <c r="EF92" s="576"/>
      <c r="EG92" s="576"/>
      <c r="EH92" s="576"/>
    </row>
    <row r="93" spans="1:138" s="14" customFormat="1" x14ac:dyDescent="0.25">
      <c r="A93" s="8">
        <v>89</v>
      </c>
      <c r="B93" s="4" t="s">
        <v>36</v>
      </c>
      <c r="C93" s="4"/>
      <c r="D93" s="4" t="s">
        <v>51</v>
      </c>
      <c r="E93" s="4" t="s">
        <v>75</v>
      </c>
      <c r="F93" s="19" t="s">
        <v>8</v>
      </c>
      <c r="G93" s="19" t="s">
        <v>837</v>
      </c>
      <c r="H93" s="556" t="s">
        <v>837</v>
      </c>
      <c r="I93" s="556">
        <v>10002</v>
      </c>
      <c r="J93" s="556" t="s">
        <v>837</v>
      </c>
      <c r="K93" s="556">
        <v>10004</v>
      </c>
      <c r="L93" s="556" t="s">
        <v>837</v>
      </c>
      <c r="M93" s="556" t="s">
        <v>837</v>
      </c>
      <c r="N93" s="556">
        <v>10002</v>
      </c>
      <c r="O93" s="556" t="s">
        <v>837</v>
      </c>
      <c r="P93" s="556">
        <v>10004</v>
      </c>
      <c r="Q93" s="556" t="s">
        <v>837</v>
      </c>
      <c r="R93" s="556" t="s">
        <v>837</v>
      </c>
      <c r="S93" s="556">
        <v>10002</v>
      </c>
      <c r="T93" s="556" t="s">
        <v>837</v>
      </c>
      <c r="U93" s="556">
        <v>10004</v>
      </c>
      <c r="V93" s="556" t="s">
        <v>837</v>
      </c>
      <c r="W93" s="556" t="s">
        <v>837</v>
      </c>
      <c r="X93" s="556" t="s">
        <v>837</v>
      </c>
      <c r="Y93" s="556" t="s">
        <v>837</v>
      </c>
      <c r="Z93" s="556" t="s">
        <v>837</v>
      </c>
      <c r="AA93" s="556" t="s">
        <v>837</v>
      </c>
      <c r="AB93" s="556" t="s">
        <v>837</v>
      </c>
      <c r="AC93" s="556">
        <v>10002</v>
      </c>
      <c r="AD93" s="556" t="s">
        <v>837</v>
      </c>
      <c r="AE93" s="556">
        <v>10004</v>
      </c>
      <c r="AF93" s="556" t="s">
        <v>837</v>
      </c>
      <c r="AG93" s="556" t="s">
        <v>837</v>
      </c>
      <c r="AH93" s="556">
        <v>10002</v>
      </c>
      <c r="AI93" s="556" t="s">
        <v>837</v>
      </c>
      <c r="AJ93" s="556">
        <v>10004</v>
      </c>
      <c r="AK93" s="556" t="s">
        <v>837</v>
      </c>
      <c r="AL93" s="556" t="s">
        <v>837</v>
      </c>
      <c r="AM93" s="556">
        <v>10002</v>
      </c>
      <c r="AN93" s="556" t="s">
        <v>837</v>
      </c>
      <c r="AO93" s="556">
        <v>10004</v>
      </c>
      <c r="AP93" s="556" t="s">
        <v>837</v>
      </c>
      <c r="AQ93" s="556" t="s">
        <v>837</v>
      </c>
      <c r="AR93" s="556">
        <v>10002</v>
      </c>
      <c r="AS93" s="556" t="s">
        <v>837</v>
      </c>
      <c r="AT93" s="556">
        <v>10004</v>
      </c>
      <c r="AU93" s="556" t="s">
        <v>837</v>
      </c>
      <c r="AV93" s="556" t="s">
        <v>837</v>
      </c>
      <c r="AW93" s="556" t="s">
        <v>837</v>
      </c>
      <c r="AX93" s="556" t="s">
        <v>837</v>
      </c>
      <c r="AY93" s="556" t="s">
        <v>837</v>
      </c>
      <c r="AZ93" s="556" t="s">
        <v>837</v>
      </c>
      <c r="BA93" s="556" t="s">
        <v>837</v>
      </c>
      <c r="BB93" s="556">
        <v>10002</v>
      </c>
      <c r="BC93" s="556" t="s">
        <v>837</v>
      </c>
      <c r="BD93" s="556">
        <v>10004</v>
      </c>
      <c r="BE93" s="556" t="s">
        <v>837</v>
      </c>
      <c r="BF93" s="612"/>
      <c r="BG93" s="612"/>
      <c r="BH93" s="612"/>
      <c r="BI93" s="576"/>
      <c r="BJ93" s="576"/>
      <c r="BK93" s="576"/>
      <c r="BL93" s="602"/>
      <c r="BM93" s="553" t="s">
        <v>837</v>
      </c>
      <c r="BN93" s="612" t="s">
        <v>837</v>
      </c>
      <c r="BO93" s="576"/>
      <c r="BP93" s="606"/>
      <c r="BQ93" s="576"/>
      <c r="BR93" s="570"/>
      <c r="BS93" s="547"/>
      <c r="BT93" s="549"/>
      <c r="BU93" s="549"/>
      <c r="BV93" s="549"/>
      <c r="BW93" s="549"/>
      <c r="BX93" s="549"/>
      <c r="BY93" s="549"/>
      <c r="BZ93" s="549"/>
      <c r="CA93" s="549"/>
      <c r="CB93" s="549"/>
      <c r="CC93" s="549"/>
      <c r="CD93" s="548"/>
      <c r="CE93" s="547"/>
      <c r="CF93" s="549"/>
      <c r="CG93" s="549"/>
      <c r="CH93" s="549"/>
      <c r="CI93" s="549"/>
      <c r="CJ93" s="549"/>
      <c r="CK93" s="549"/>
      <c r="CL93" s="549"/>
      <c r="CM93" s="549"/>
      <c r="CN93" s="548"/>
      <c r="CO93" s="640"/>
      <c r="CP93" s="640"/>
      <c r="CQ93" s="640"/>
      <c r="CR93" s="640"/>
      <c r="CS93" s="640"/>
      <c r="CT93" s="640"/>
      <c r="CU93" s="640"/>
      <c r="CV93" s="640"/>
      <c r="CW93" s="640"/>
      <c r="CX93" s="640"/>
      <c r="CY93" s="640"/>
      <c r="CZ93" s="640"/>
      <c r="DA93" s="640"/>
      <c r="DB93" s="640"/>
      <c r="DC93" s="640"/>
      <c r="DD93" s="640"/>
      <c r="DE93" s="640"/>
      <c r="DF93" s="640"/>
      <c r="DG93" s="640"/>
      <c r="DH93" s="640"/>
      <c r="DI93" s="641"/>
      <c r="DJ93" s="641"/>
      <c r="DK93" s="641"/>
      <c r="DL93" s="641"/>
      <c r="DM93" s="641"/>
      <c r="DN93" s="641"/>
      <c r="DO93" s="641"/>
      <c r="DP93" s="576"/>
      <c r="DQ93" s="576"/>
      <c r="DR93" s="576"/>
      <c r="DS93" s="576"/>
      <c r="DT93" s="576"/>
      <c r="DU93" s="576"/>
      <c r="DV93" s="576"/>
      <c r="DW93" s="576"/>
      <c r="DX93" s="576"/>
      <c r="DY93" s="576"/>
      <c r="DZ93" s="576"/>
      <c r="EA93" s="576"/>
      <c r="EB93" s="576"/>
      <c r="EC93" s="576"/>
      <c r="ED93" s="576"/>
      <c r="EE93" s="576"/>
      <c r="EF93" s="576"/>
      <c r="EG93" s="576"/>
      <c r="EH93" s="576"/>
    </row>
    <row r="94" spans="1:138" s="14" customFormat="1" x14ac:dyDescent="0.25">
      <c r="A94" s="8">
        <v>90</v>
      </c>
      <c r="B94" s="5" t="s">
        <v>16</v>
      </c>
      <c r="C94" s="5"/>
      <c r="D94" s="4" t="s">
        <v>51</v>
      </c>
      <c r="E94" s="4" t="s">
        <v>75</v>
      </c>
      <c r="F94" s="19" t="s">
        <v>8</v>
      </c>
      <c r="G94" s="19" t="s">
        <v>837</v>
      </c>
      <c r="H94" s="556" t="s">
        <v>837</v>
      </c>
      <c r="I94" s="556">
        <v>10002</v>
      </c>
      <c r="J94" s="556" t="s">
        <v>837</v>
      </c>
      <c r="K94" s="556">
        <v>10004</v>
      </c>
      <c r="L94" s="556" t="s">
        <v>837</v>
      </c>
      <c r="M94" s="556" t="s">
        <v>837</v>
      </c>
      <c r="N94" s="556">
        <v>10002</v>
      </c>
      <c r="O94" s="556" t="s">
        <v>837</v>
      </c>
      <c r="P94" s="556">
        <v>10004</v>
      </c>
      <c r="Q94" s="556" t="s">
        <v>837</v>
      </c>
      <c r="R94" s="556" t="s">
        <v>837</v>
      </c>
      <c r="S94" s="556">
        <v>10002</v>
      </c>
      <c r="T94" s="556" t="s">
        <v>837</v>
      </c>
      <c r="U94" s="556">
        <v>10004</v>
      </c>
      <c r="V94" s="556" t="s">
        <v>837</v>
      </c>
      <c r="W94" s="556" t="s">
        <v>837</v>
      </c>
      <c r="X94" s="556" t="s">
        <v>837</v>
      </c>
      <c r="Y94" s="556" t="s">
        <v>837</v>
      </c>
      <c r="Z94" s="556" t="s">
        <v>837</v>
      </c>
      <c r="AA94" s="556" t="s">
        <v>837</v>
      </c>
      <c r="AB94" s="556" t="s">
        <v>837</v>
      </c>
      <c r="AC94" s="556">
        <v>10002</v>
      </c>
      <c r="AD94" s="556" t="s">
        <v>837</v>
      </c>
      <c r="AE94" s="556">
        <v>10004</v>
      </c>
      <c r="AF94" s="556" t="s">
        <v>837</v>
      </c>
      <c r="AG94" s="556" t="s">
        <v>837</v>
      </c>
      <c r="AH94" s="556">
        <v>10002</v>
      </c>
      <c r="AI94" s="556" t="s">
        <v>837</v>
      </c>
      <c r="AJ94" s="556">
        <v>10004</v>
      </c>
      <c r="AK94" s="556" t="s">
        <v>837</v>
      </c>
      <c r="AL94" s="556" t="s">
        <v>837</v>
      </c>
      <c r="AM94" s="556">
        <v>10002</v>
      </c>
      <c r="AN94" s="556" t="s">
        <v>837</v>
      </c>
      <c r="AO94" s="556">
        <v>10004</v>
      </c>
      <c r="AP94" s="556" t="s">
        <v>837</v>
      </c>
      <c r="AQ94" s="556" t="s">
        <v>837</v>
      </c>
      <c r="AR94" s="556">
        <v>10002</v>
      </c>
      <c r="AS94" s="556" t="s">
        <v>837</v>
      </c>
      <c r="AT94" s="556">
        <v>10004</v>
      </c>
      <c r="AU94" s="556" t="s">
        <v>837</v>
      </c>
      <c r="AV94" s="556" t="s">
        <v>837</v>
      </c>
      <c r="AW94" s="556" t="s">
        <v>837</v>
      </c>
      <c r="AX94" s="556" t="s">
        <v>837</v>
      </c>
      <c r="AY94" s="556" t="s">
        <v>837</v>
      </c>
      <c r="AZ94" s="556" t="s">
        <v>837</v>
      </c>
      <c r="BA94" s="556" t="s">
        <v>837</v>
      </c>
      <c r="BB94" s="556">
        <v>10002</v>
      </c>
      <c r="BC94" s="556" t="s">
        <v>837</v>
      </c>
      <c r="BD94" s="556">
        <v>10004</v>
      </c>
      <c r="BE94" s="556" t="s">
        <v>837</v>
      </c>
      <c r="BF94" s="636"/>
      <c r="BG94" s="636"/>
      <c r="BH94" s="636">
        <v>20001</v>
      </c>
      <c r="BI94" s="576"/>
      <c r="BJ94" s="576"/>
      <c r="BK94" s="576"/>
      <c r="BL94" s="602"/>
      <c r="BM94" s="553">
        <v>40001</v>
      </c>
      <c r="BN94" s="612">
        <v>40001</v>
      </c>
      <c r="BO94" s="576"/>
      <c r="BP94" s="606"/>
      <c r="BQ94" s="576"/>
      <c r="BR94" s="570"/>
      <c r="BS94" s="547"/>
      <c r="BT94" s="549"/>
      <c r="BU94" s="549"/>
      <c r="BV94" s="549"/>
      <c r="BW94" s="549"/>
      <c r="BX94" s="549"/>
      <c r="BY94" s="549"/>
      <c r="BZ94" s="549"/>
      <c r="CA94" s="549"/>
      <c r="CB94" s="549"/>
      <c r="CC94" s="549"/>
      <c r="CD94" s="548"/>
      <c r="CE94" s="547"/>
      <c r="CF94" s="549"/>
      <c r="CG94" s="549"/>
      <c r="CH94" s="549"/>
      <c r="CI94" s="549"/>
      <c r="CJ94" s="549"/>
      <c r="CK94" s="549"/>
      <c r="CL94" s="549"/>
      <c r="CM94" s="549"/>
      <c r="CN94" s="548"/>
      <c r="CO94" s="642"/>
      <c r="CP94" s="642"/>
      <c r="CQ94" s="642"/>
      <c r="CR94" s="642"/>
      <c r="CS94" s="642"/>
      <c r="CT94" s="642"/>
      <c r="CU94" s="642"/>
      <c r="CV94" s="642"/>
      <c r="CW94" s="642"/>
      <c r="CX94" s="642"/>
      <c r="CY94" s="642"/>
      <c r="CZ94" s="642"/>
      <c r="DA94" s="642"/>
      <c r="DB94" s="642"/>
      <c r="DC94" s="642"/>
      <c r="DD94" s="642"/>
      <c r="DE94" s="642"/>
      <c r="DF94" s="642"/>
      <c r="DG94" s="642"/>
      <c r="DH94" s="642"/>
      <c r="DI94" s="641"/>
      <c r="DJ94" s="641"/>
      <c r="DK94" s="641"/>
      <c r="DL94" s="641"/>
      <c r="DM94" s="641"/>
      <c r="DN94" s="641"/>
      <c r="DO94" s="641"/>
      <c r="DP94" s="576"/>
      <c r="DQ94" s="576"/>
      <c r="DR94" s="576"/>
      <c r="DS94" s="576"/>
      <c r="DT94" s="576"/>
      <c r="DU94" s="576"/>
      <c r="DV94" s="576"/>
      <c r="DW94" s="576"/>
      <c r="DX94" s="576"/>
      <c r="DY94" s="576"/>
      <c r="DZ94" s="576"/>
      <c r="EA94" s="576"/>
      <c r="EB94" s="576"/>
      <c r="EC94" s="576"/>
      <c r="ED94" s="576"/>
      <c r="EE94" s="576"/>
      <c r="EF94" s="576"/>
      <c r="EG94" s="576"/>
      <c r="EH94" s="576"/>
    </row>
    <row r="95" spans="1:138" s="14" customFormat="1" x14ac:dyDescent="0.25">
      <c r="A95" s="8">
        <v>91</v>
      </c>
      <c r="B95" s="4" t="s">
        <v>741</v>
      </c>
      <c r="C95" s="4"/>
      <c r="D95" s="4" t="s">
        <v>51</v>
      </c>
      <c r="E95" s="4" t="s">
        <v>75</v>
      </c>
      <c r="F95" s="19" t="s">
        <v>8</v>
      </c>
      <c r="G95" s="19" t="s">
        <v>837</v>
      </c>
      <c r="H95" s="556" t="s">
        <v>837</v>
      </c>
      <c r="I95" s="556" t="s">
        <v>837</v>
      </c>
      <c r="J95" s="556" t="s">
        <v>837</v>
      </c>
      <c r="K95" s="556" t="s">
        <v>837</v>
      </c>
      <c r="L95" s="556" t="s">
        <v>837</v>
      </c>
      <c r="M95" s="556" t="s">
        <v>837</v>
      </c>
      <c r="N95" s="556" t="s">
        <v>837</v>
      </c>
      <c r="O95" s="556" t="s">
        <v>837</v>
      </c>
      <c r="P95" s="556" t="s">
        <v>837</v>
      </c>
      <c r="Q95" s="556" t="s">
        <v>837</v>
      </c>
      <c r="R95" s="556" t="s">
        <v>837</v>
      </c>
      <c r="S95" s="556" t="s">
        <v>837</v>
      </c>
      <c r="T95" s="556" t="s">
        <v>837</v>
      </c>
      <c r="U95" s="556" t="s">
        <v>837</v>
      </c>
      <c r="V95" s="556" t="s">
        <v>837</v>
      </c>
      <c r="W95" s="556" t="s">
        <v>837</v>
      </c>
      <c r="X95" s="556" t="s">
        <v>837</v>
      </c>
      <c r="Y95" s="556" t="s">
        <v>837</v>
      </c>
      <c r="Z95" s="556" t="s">
        <v>837</v>
      </c>
      <c r="AA95" s="556" t="s">
        <v>837</v>
      </c>
      <c r="AB95" s="556" t="s">
        <v>837</v>
      </c>
      <c r="AC95" s="556" t="s">
        <v>837</v>
      </c>
      <c r="AD95" s="556" t="s">
        <v>837</v>
      </c>
      <c r="AE95" s="556" t="s">
        <v>837</v>
      </c>
      <c r="AF95" s="556" t="s">
        <v>837</v>
      </c>
      <c r="AG95" s="556" t="s">
        <v>837</v>
      </c>
      <c r="AH95" s="556" t="s">
        <v>837</v>
      </c>
      <c r="AI95" s="556" t="s">
        <v>837</v>
      </c>
      <c r="AJ95" s="556" t="s">
        <v>837</v>
      </c>
      <c r="AK95" s="556" t="s">
        <v>837</v>
      </c>
      <c r="AL95" s="556" t="s">
        <v>837</v>
      </c>
      <c r="AM95" s="556" t="s">
        <v>837</v>
      </c>
      <c r="AN95" s="556" t="s">
        <v>837</v>
      </c>
      <c r="AO95" s="556" t="s">
        <v>837</v>
      </c>
      <c r="AP95" s="556" t="s">
        <v>837</v>
      </c>
      <c r="AQ95" s="556" t="s">
        <v>837</v>
      </c>
      <c r="AR95" s="556" t="s">
        <v>837</v>
      </c>
      <c r="AS95" s="556" t="s">
        <v>837</v>
      </c>
      <c r="AT95" s="556" t="s">
        <v>837</v>
      </c>
      <c r="AU95" s="556" t="s">
        <v>837</v>
      </c>
      <c r="AV95" s="556" t="s">
        <v>837</v>
      </c>
      <c r="AW95" s="556" t="s">
        <v>837</v>
      </c>
      <c r="AX95" s="556" t="s">
        <v>837</v>
      </c>
      <c r="AY95" s="556" t="s">
        <v>837</v>
      </c>
      <c r="AZ95" s="556" t="s">
        <v>837</v>
      </c>
      <c r="BA95" s="556" t="s">
        <v>837</v>
      </c>
      <c r="BB95" s="556" t="s">
        <v>837</v>
      </c>
      <c r="BC95" s="556" t="s">
        <v>837</v>
      </c>
      <c r="BD95" s="556" t="s">
        <v>837</v>
      </c>
      <c r="BE95" s="556" t="s">
        <v>837</v>
      </c>
      <c r="BF95" s="612"/>
      <c r="BG95" s="612"/>
      <c r="BH95" s="612"/>
      <c r="BI95" s="576"/>
      <c r="BJ95" s="576"/>
      <c r="BK95" s="576"/>
      <c r="BL95" s="602"/>
      <c r="BM95" s="553" t="s">
        <v>837</v>
      </c>
      <c r="BN95" s="612" t="s">
        <v>837</v>
      </c>
      <c r="BO95" s="576"/>
      <c r="BP95" s="606"/>
      <c r="BQ95" s="576"/>
      <c r="BR95" s="570"/>
      <c r="BS95" s="547"/>
      <c r="BT95" s="549"/>
      <c r="BU95" s="549"/>
      <c r="BV95" s="549"/>
      <c r="BW95" s="549"/>
      <c r="BX95" s="549"/>
      <c r="BY95" s="549"/>
      <c r="BZ95" s="549"/>
      <c r="CA95" s="549"/>
      <c r="CB95" s="549"/>
      <c r="CC95" s="549"/>
      <c r="CD95" s="548"/>
      <c r="CE95" s="547"/>
      <c r="CF95" s="549"/>
      <c r="CG95" s="549"/>
      <c r="CH95" s="549"/>
      <c r="CI95" s="549"/>
      <c r="CJ95" s="549"/>
      <c r="CK95" s="549"/>
      <c r="CL95" s="549"/>
      <c r="CM95" s="549"/>
      <c r="CN95" s="548"/>
      <c r="CO95" s="640"/>
      <c r="CP95" s="640"/>
      <c r="CQ95" s="640"/>
      <c r="CR95" s="640"/>
      <c r="CS95" s="640"/>
      <c r="CT95" s="640"/>
      <c r="CU95" s="640"/>
      <c r="CV95" s="640"/>
      <c r="CW95" s="640"/>
      <c r="CX95" s="640"/>
      <c r="CY95" s="640"/>
      <c r="CZ95" s="640"/>
      <c r="DA95" s="640"/>
      <c r="DB95" s="640"/>
      <c r="DC95" s="640"/>
      <c r="DD95" s="640"/>
      <c r="DE95" s="640"/>
      <c r="DF95" s="640"/>
      <c r="DG95" s="640"/>
      <c r="DH95" s="640"/>
      <c r="DI95" s="641"/>
      <c r="DJ95" s="641"/>
      <c r="DK95" s="641"/>
      <c r="DL95" s="641"/>
      <c r="DM95" s="641"/>
      <c r="DN95" s="641"/>
      <c r="DO95" s="641"/>
      <c r="DP95" s="576"/>
      <c r="DQ95" s="576"/>
      <c r="DR95" s="576"/>
      <c r="DS95" s="576"/>
      <c r="DT95" s="576"/>
      <c r="DU95" s="576"/>
      <c r="DV95" s="576"/>
      <c r="DW95" s="576"/>
      <c r="DX95" s="576"/>
      <c r="DY95" s="576"/>
      <c r="DZ95" s="576"/>
      <c r="EA95" s="576"/>
      <c r="EB95" s="576"/>
      <c r="EC95" s="576"/>
      <c r="ED95" s="576"/>
      <c r="EE95" s="576"/>
      <c r="EF95" s="576"/>
      <c r="EG95" s="576"/>
      <c r="EH95" s="576"/>
    </row>
    <row r="96" spans="1:138" s="14" customFormat="1" x14ac:dyDescent="0.25">
      <c r="A96" s="8">
        <v>92</v>
      </c>
      <c r="B96" s="4" t="s">
        <v>15</v>
      </c>
      <c r="C96" s="4"/>
      <c r="D96" s="4" t="s">
        <v>51</v>
      </c>
      <c r="E96" s="4" t="s">
        <v>75</v>
      </c>
      <c r="F96" s="19" t="s">
        <v>8</v>
      </c>
      <c r="G96" s="19" t="s">
        <v>837</v>
      </c>
      <c r="H96" s="556" t="s">
        <v>837</v>
      </c>
      <c r="I96" s="556">
        <v>10002</v>
      </c>
      <c r="J96" s="556" t="s">
        <v>837</v>
      </c>
      <c r="K96" s="556">
        <v>10004</v>
      </c>
      <c r="L96" s="556" t="s">
        <v>837</v>
      </c>
      <c r="M96" s="556" t="s">
        <v>837</v>
      </c>
      <c r="N96" s="556">
        <v>10002</v>
      </c>
      <c r="O96" s="556" t="s">
        <v>837</v>
      </c>
      <c r="P96" s="556">
        <v>10004</v>
      </c>
      <c r="Q96" s="556" t="s">
        <v>837</v>
      </c>
      <c r="R96" s="556" t="s">
        <v>837</v>
      </c>
      <c r="S96" s="556">
        <v>10002</v>
      </c>
      <c r="T96" s="556" t="s">
        <v>837</v>
      </c>
      <c r="U96" s="556">
        <v>10004</v>
      </c>
      <c r="V96" s="556" t="s">
        <v>837</v>
      </c>
      <c r="W96" s="556" t="s">
        <v>837</v>
      </c>
      <c r="X96" s="556" t="s">
        <v>837</v>
      </c>
      <c r="Y96" s="556" t="s">
        <v>837</v>
      </c>
      <c r="Z96" s="556" t="s">
        <v>837</v>
      </c>
      <c r="AA96" s="556" t="s">
        <v>837</v>
      </c>
      <c r="AB96" s="556" t="s">
        <v>837</v>
      </c>
      <c r="AC96" s="556">
        <v>10002</v>
      </c>
      <c r="AD96" s="556" t="s">
        <v>837</v>
      </c>
      <c r="AE96" s="556">
        <v>10004</v>
      </c>
      <c r="AF96" s="556" t="s">
        <v>837</v>
      </c>
      <c r="AG96" s="556" t="s">
        <v>837</v>
      </c>
      <c r="AH96" s="556">
        <v>10002</v>
      </c>
      <c r="AI96" s="556" t="s">
        <v>837</v>
      </c>
      <c r="AJ96" s="556">
        <v>10004</v>
      </c>
      <c r="AK96" s="556" t="s">
        <v>837</v>
      </c>
      <c r="AL96" s="556" t="s">
        <v>837</v>
      </c>
      <c r="AM96" s="556">
        <v>10002</v>
      </c>
      <c r="AN96" s="556" t="s">
        <v>837</v>
      </c>
      <c r="AO96" s="556">
        <v>10004</v>
      </c>
      <c r="AP96" s="556" t="s">
        <v>837</v>
      </c>
      <c r="AQ96" s="556" t="s">
        <v>837</v>
      </c>
      <c r="AR96" s="556">
        <v>10002</v>
      </c>
      <c r="AS96" s="556" t="s">
        <v>837</v>
      </c>
      <c r="AT96" s="556">
        <v>10004</v>
      </c>
      <c r="AU96" s="556" t="s">
        <v>837</v>
      </c>
      <c r="AV96" s="556" t="s">
        <v>837</v>
      </c>
      <c r="AW96" s="556" t="s">
        <v>837</v>
      </c>
      <c r="AX96" s="556" t="s">
        <v>837</v>
      </c>
      <c r="AY96" s="556" t="s">
        <v>837</v>
      </c>
      <c r="AZ96" s="556" t="s">
        <v>837</v>
      </c>
      <c r="BA96" s="556" t="s">
        <v>837</v>
      </c>
      <c r="BB96" s="556">
        <v>10002</v>
      </c>
      <c r="BC96" s="556" t="s">
        <v>837</v>
      </c>
      <c r="BD96" s="556">
        <v>10004</v>
      </c>
      <c r="BE96" s="556" t="s">
        <v>837</v>
      </c>
      <c r="BF96" s="636"/>
      <c r="BG96" s="636"/>
      <c r="BH96" s="636">
        <v>20001</v>
      </c>
      <c r="BI96" s="576"/>
      <c r="BJ96" s="576"/>
      <c r="BK96" s="576"/>
      <c r="BL96" s="602"/>
      <c r="BM96" s="553">
        <v>40001</v>
      </c>
      <c r="BN96" s="612">
        <v>40001</v>
      </c>
      <c r="BO96" s="576"/>
      <c r="BP96" s="606"/>
      <c r="BQ96" s="576"/>
      <c r="BR96" s="570"/>
      <c r="BS96" s="547"/>
      <c r="BT96" s="549"/>
      <c r="BU96" s="549"/>
      <c r="BV96" s="549"/>
      <c r="BW96" s="549"/>
      <c r="BX96" s="549"/>
      <c r="BY96" s="549"/>
      <c r="BZ96" s="549"/>
      <c r="CA96" s="549"/>
      <c r="CB96" s="549"/>
      <c r="CC96" s="549"/>
      <c r="CD96" s="548"/>
      <c r="CE96" s="547"/>
      <c r="CF96" s="549"/>
      <c r="CG96" s="549"/>
      <c r="CH96" s="549"/>
      <c r="CI96" s="549"/>
      <c r="CJ96" s="549"/>
      <c r="CK96" s="549"/>
      <c r="CL96" s="549"/>
      <c r="CM96" s="549"/>
      <c r="CN96" s="548"/>
      <c r="CO96" s="637"/>
      <c r="CP96" s="637"/>
      <c r="CQ96" s="637"/>
      <c r="CR96" s="637"/>
      <c r="CS96" s="637"/>
      <c r="CT96" s="637"/>
      <c r="CU96" s="637"/>
      <c r="CV96" s="637"/>
      <c r="CW96" s="637"/>
      <c r="CX96" s="637"/>
      <c r="CY96" s="637"/>
      <c r="CZ96" s="637"/>
      <c r="DA96" s="637"/>
      <c r="DB96" s="637"/>
      <c r="DC96" s="637"/>
      <c r="DD96" s="637"/>
      <c r="DE96" s="637"/>
      <c r="DF96" s="637"/>
      <c r="DG96" s="637"/>
      <c r="DH96" s="637"/>
      <c r="DI96" s="641"/>
      <c r="DJ96" s="641"/>
      <c r="DK96" s="641"/>
      <c r="DL96" s="641"/>
      <c r="DM96" s="641"/>
      <c r="DN96" s="641"/>
      <c r="DO96" s="641"/>
      <c r="DP96" s="576"/>
      <c r="DQ96" s="576"/>
      <c r="DR96" s="576"/>
      <c r="DS96" s="576"/>
      <c r="DT96" s="576"/>
      <c r="DU96" s="576"/>
      <c r="DV96" s="576"/>
      <c r="DW96" s="576"/>
      <c r="DX96" s="576"/>
      <c r="DY96" s="576"/>
      <c r="DZ96" s="576"/>
      <c r="EA96" s="576"/>
      <c r="EB96" s="576"/>
      <c r="EC96" s="576"/>
      <c r="ED96" s="576"/>
      <c r="EE96" s="576"/>
      <c r="EF96" s="576"/>
      <c r="EG96" s="576"/>
      <c r="EH96" s="576"/>
    </row>
    <row r="97" spans="1:138" s="14" customFormat="1" x14ac:dyDescent="0.25">
      <c r="A97" s="8">
        <v>93</v>
      </c>
      <c r="B97" s="5" t="s">
        <v>104</v>
      </c>
      <c r="C97" s="5"/>
      <c r="D97" s="4" t="s">
        <v>51</v>
      </c>
      <c r="E97" s="4" t="s">
        <v>75</v>
      </c>
      <c r="F97" s="19" t="s">
        <v>8</v>
      </c>
      <c r="G97" s="19" t="s">
        <v>837</v>
      </c>
      <c r="H97" s="556" t="s">
        <v>837</v>
      </c>
      <c r="I97" s="556" t="s">
        <v>837</v>
      </c>
      <c r="J97" s="556" t="s">
        <v>837</v>
      </c>
      <c r="K97" s="556" t="s">
        <v>837</v>
      </c>
      <c r="L97" s="556" t="s">
        <v>837</v>
      </c>
      <c r="M97" s="556" t="s">
        <v>837</v>
      </c>
      <c r="N97" s="556" t="s">
        <v>837</v>
      </c>
      <c r="O97" s="556" t="s">
        <v>837</v>
      </c>
      <c r="P97" s="556" t="s">
        <v>837</v>
      </c>
      <c r="Q97" s="556" t="s">
        <v>837</v>
      </c>
      <c r="R97" s="556" t="s">
        <v>837</v>
      </c>
      <c r="S97" s="556" t="s">
        <v>837</v>
      </c>
      <c r="T97" s="556" t="s">
        <v>837</v>
      </c>
      <c r="U97" s="556" t="s">
        <v>837</v>
      </c>
      <c r="V97" s="556" t="s">
        <v>837</v>
      </c>
      <c r="W97" s="556" t="s">
        <v>837</v>
      </c>
      <c r="X97" s="556" t="s">
        <v>837</v>
      </c>
      <c r="Y97" s="556" t="s">
        <v>837</v>
      </c>
      <c r="Z97" s="556" t="s">
        <v>837</v>
      </c>
      <c r="AA97" s="556" t="s">
        <v>837</v>
      </c>
      <c r="AB97" s="556" t="s">
        <v>837</v>
      </c>
      <c r="AC97" s="556" t="s">
        <v>837</v>
      </c>
      <c r="AD97" s="556" t="s">
        <v>837</v>
      </c>
      <c r="AE97" s="556" t="s">
        <v>837</v>
      </c>
      <c r="AF97" s="556" t="s">
        <v>837</v>
      </c>
      <c r="AG97" s="556" t="s">
        <v>837</v>
      </c>
      <c r="AH97" s="556" t="s">
        <v>837</v>
      </c>
      <c r="AI97" s="556" t="s">
        <v>837</v>
      </c>
      <c r="AJ97" s="556" t="s">
        <v>837</v>
      </c>
      <c r="AK97" s="556" t="s">
        <v>837</v>
      </c>
      <c r="AL97" s="556" t="s">
        <v>837</v>
      </c>
      <c r="AM97" s="556" t="s">
        <v>837</v>
      </c>
      <c r="AN97" s="556" t="s">
        <v>837</v>
      </c>
      <c r="AO97" s="556" t="s">
        <v>837</v>
      </c>
      <c r="AP97" s="556" t="s">
        <v>837</v>
      </c>
      <c r="AQ97" s="556" t="s">
        <v>837</v>
      </c>
      <c r="AR97" s="556" t="s">
        <v>837</v>
      </c>
      <c r="AS97" s="556" t="s">
        <v>837</v>
      </c>
      <c r="AT97" s="556" t="s">
        <v>837</v>
      </c>
      <c r="AU97" s="556" t="s">
        <v>837</v>
      </c>
      <c r="AV97" s="556" t="s">
        <v>837</v>
      </c>
      <c r="AW97" s="556" t="s">
        <v>837</v>
      </c>
      <c r="AX97" s="556" t="s">
        <v>837</v>
      </c>
      <c r="AY97" s="556" t="s">
        <v>837</v>
      </c>
      <c r="AZ97" s="556" t="s">
        <v>837</v>
      </c>
      <c r="BA97" s="556" t="s">
        <v>837</v>
      </c>
      <c r="BB97" s="556" t="s">
        <v>837</v>
      </c>
      <c r="BC97" s="556" t="s">
        <v>837</v>
      </c>
      <c r="BD97" s="556" t="s">
        <v>837</v>
      </c>
      <c r="BE97" s="556" t="s">
        <v>837</v>
      </c>
      <c r="BF97" s="614"/>
      <c r="BG97" s="614"/>
      <c r="BH97" s="614"/>
      <c r="BI97" s="576"/>
      <c r="BJ97" s="576"/>
      <c r="BK97" s="576"/>
      <c r="BL97" s="602"/>
      <c r="BM97" s="553" t="s">
        <v>837</v>
      </c>
      <c r="BN97" s="612" t="s">
        <v>837</v>
      </c>
      <c r="BO97" s="576"/>
      <c r="BP97" s="606"/>
      <c r="BQ97" s="576"/>
      <c r="BR97" s="570"/>
      <c r="BS97" s="547"/>
      <c r="BT97" s="549"/>
      <c r="BU97" s="549"/>
      <c r="BV97" s="549"/>
      <c r="BW97" s="549"/>
      <c r="BX97" s="549"/>
      <c r="BY97" s="549"/>
      <c r="BZ97" s="549"/>
      <c r="CA97" s="549"/>
      <c r="CB97" s="549"/>
      <c r="CC97" s="549"/>
      <c r="CD97" s="548"/>
      <c r="CE97" s="547"/>
      <c r="CF97" s="549"/>
      <c r="CG97" s="549"/>
      <c r="CH97" s="549"/>
      <c r="CI97" s="549"/>
      <c r="CJ97" s="549"/>
      <c r="CK97" s="549"/>
      <c r="CL97" s="549"/>
      <c r="CM97" s="549"/>
      <c r="CN97" s="548"/>
      <c r="CO97" s="640"/>
      <c r="CP97" s="640"/>
      <c r="CQ97" s="640"/>
      <c r="CR97" s="640"/>
      <c r="CS97" s="640"/>
      <c r="CT97" s="640"/>
      <c r="CU97" s="640"/>
      <c r="CV97" s="640"/>
      <c r="CW97" s="640"/>
      <c r="CX97" s="640"/>
      <c r="CY97" s="640"/>
      <c r="CZ97" s="640"/>
      <c r="DA97" s="640"/>
      <c r="DB97" s="640"/>
      <c r="DC97" s="640"/>
      <c r="DD97" s="640"/>
      <c r="DE97" s="640"/>
      <c r="DF97" s="640"/>
      <c r="DG97" s="640"/>
      <c r="DH97" s="640"/>
      <c r="DI97" s="641"/>
      <c r="DJ97" s="641"/>
      <c r="DK97" s="641"/>
      <c r="DL97" s="641"/>
      <c r="DM97" s="641"/>
      <c r="DN97" s="641"/>
      <c r="DO97" s="641"/>
      <c r="DP97" s="576"/>
      <c r="DQ97" s="576"/>
      <c r="DR97" s="576"/>
      <c r="DS97" s="576"/>
      <c r="DT97" s="576"/>
      <c r="DU97" s="576"/>
      <c r="DV97" s="576"/>
      <c r="DW97" s="576"/>
      <c r="DX97" s="576"/>
      <c r="DY97" s="576"/>
      <c r="DZ97" s="576"/>
      <c r="EA97" s="576"/>
      <c r="EB97" s="576"/>
      <c r="EC97" s="576"/>
      <c r="ED97" s="576"/>
      <c r="EE97" s="576"/>
      <c r="EF97" s="576"/>
      <c r="EG97" s="576"/>
      <c r="EH97" s="576"/>
    </row>
    <row r="98" spans="1:138" s="14" customFormat="1" x14ac:dyDescent="0.25">
      <c r="A98" s="8">
        <v>94</v>
      </c>
      <c r="B98" s="4" t="s">
        <v>14</v>
      </c>
      <c r="C98" s="4"/>
      <c r="D98" s="4" t="s">
        <v>51</v>
      </c>
      <c r="E98" s="4" t="s">
        <v>74</v>
      </c>
      <c r="F98" s="19" t="s">
        <v>8</v>
      </c>
      <c r="G98" s="19" t="s">
        <v>837</v>
      </c>
      <c r="H98" s="556" t="s">
        <v>837</v>
      </c>
      <c r="I98" s="556">
        <v>10002</v>
      </c>
      <c r="J98" s="556" t="s">
        <v>837</v>
      </c>
      <c r="K98" s="556">
        <v>10004</v>
      </c>
      <c r="L98" s="556" t="s">
        <v>837</v>
      </c>
      <c r="M98" s="556" t="s">
        <v>837</v>
      </c>
      <c r="N98" s="556">
        <v>10002</v>
      </c>
      <c r="O98" s="556" t="s">
        <v>837</v>
      </c>
      <c r="P98" s="556">
        <v>10004</v>
      </c>
      <c r="Q98" s="556" t="s">
        <v>837</v>
      </c>
      <c r="R98" s="556" t="s">
        <v>837</v>
      </c>
      <c r="S98" s="556">
        <v>10002</v>
      </c>
      <c r="T98" s="556" t="s">
        <v>837</v>
      </c>
      <c r="U98" s="556">
        <v>10004</v>
      </c>
      <c r="V98" s="556" t="s">
        <v>837</v>
      </c>
      <c r="W98" s="556" t="s">
        <v>837</v>
      </c>
      <c r="X98" s="556" t="s">
        <v>837</v>
      </c>
      <c r="Y98" s="556" t="s">
        <v>837</v>
      </c>
      <c r="Z98" s="556" t="s">
        <v>837</v>
      </c>
      <c r="AA98" s="556" t="s">
        <v>837</v>
      </c>
      <c r="AB98" s="556" t="s">
        <v>837</v>
      </c>
      <c r="AC98" s="556">
        <v>10002</v>
      </c>
      <c r="AD98" s="556" t="s">
        <v>837</v>
      </c>
      <c r="AE98" s="556">
        <v>10004</v>
      </c>
      <c r="AF98" s="556" t="s">
        <v>837</v>
      </c>
      <c r="AG98" s="556" t="s">
        <v>837</v>
      </c>
      <c r="AH98" s="556">
        <v>10002</v>
      </c>
      <c r="AI98" s="556" t="s">
        <v>837</v>
      </c>
      <c r="AJ98" s="556">
        <v>10004</v>
      </c>
      <c r="AK98" s="556" t="s">
        <v>837</v>
      </c>
      <c r="AL98" s="556" t="s">
        <v>837</v>
      </c>
      <c r="AM98" s="556">
        <v>10002</v>
      </c>
      <c r="AN98" s="556" t="s">
        <v>837</v>
      </c>
      <c r="AO98" s="556">
        <v>10004</v>
      </c>
      <c r="AP98" s="556" t="s">
        <v>837</v>
      </c>
      <c r="AQ98" s="556" t="s">
        <v>837</v>
      </c>
      <c r="AR98" s="556">
        <v>10002</v>
      </c>
      <c r="AS98" s="556" t="s">
        <v>837</v>
      </c>
      <c r="AT98" s="556">
        <v>10004</v>
      </c>
      <c r="AU98" s="556" t="s">
        <v>837</v>
      </c>
      <c r="AV98" s="556" t="s">
        <v>837</v>
      </c>
      <c r="AW98" s="556" t="s">
        <v>837</v>
      </c>
      <c r="AX98" s="556" t="s">
        <v>837</v>
      </c>
      <c r="AY98" s="556" t="s">
        <v>837</v>
      </c>
      <c r="AZ98" s="556" t="s">
        <v>837</v>
      </c>
      <c r="BA98" s="556" t="s">
        <v>837</v>
      </c>
      <c r="BB98" s="556">
        <v>10002</v>
      </c>
      <c r="BC98" s="556" t="s">
        <v>837</v>
      </c>
      <c r="BD98" s="556">
        <v>10004</v>
      </c>
      <c r="BE98" s="556" t="s">
        <v>837</v>
      </c>
      <c r="BF98" s="636"/>
      <c r="BG98" s="636"/>
      <c r="BH98" s="636">
        <v>20001</v>
      </c>
      <c r="BI98" s="576"/>
      <c r="BJ98" s="576"/>
      <c r="BK98" s="576"/>
      <c r="BL98" s="602"/>
      <c r="BM98" s="553">
        <v>40001</v>
      </c>
      <c r="BN98" s="612">
        <v>40001</v>
      </c>
      <c r="BO98" s="576"/>
      <c r="BP98" s="606"/>
      <c r="BQ98" s="576"/>
      <c r="BR98" s="570"/>
      <c r="BS98" s="547"/>
      <c r="BT98" s="549"/>
      <c r="BU98" s="549"/>
      <c r="BV98" s="549"/>
      <c r="BW98" s="549"/>
      <c r="BX98" s="549"/>
      <c r="BY98" s="549"/>
      <c r="BZ98" s="549"/>
      <c r="CA98" s="549"/>
      <c r="CB98" s="549"/>
      <c r="CC98" s="549"/>
      <c r="CD98" s="548"/>
      <c r="CE98" s="547"/>
      <c r="CF98" s="549"/>
      <c r="CG98" s="549"/>
      <c r="CH98" s="549"/>
      <c r="CI98" s="549"/>
      <c r="CJ98" s="549"/>
      <c r="CK98" s="549"/>
      <c r="CL98" s="549"/>
      <c r="CM98" s="549"/>
      <c r="CN98" s="548"/>
      <c r="CO98" s="637"/>
      <c r="CP98" s="637"/>
      <c r="CQ98" s="637"/>
      <c r="CR98" s="637"/>
      <c r="CS98" s="637"/>
      <c r="CT98" s="637"/>
      <c r="CU98" s="637"/>
      <c r="CV98" s="637"/>
      <c r="CW98" s="637"/>
      <c r="CX98" s="637"/>
      <c r="CY98" s="637"/>
      <c r="CZ98" s="637"/>
      <c r="DA98" s="637"/>
      <c r="DB98" s="637"/>
      <c r="DC98" s="637"/>
      <c r="DD98" s="637"/>
      <c r="DE98" s="637"/>
      <c r="DF98" s="637"/>
      <c r="DG98" s="637"/>
      <c r="DH98" s="637"/>
      <c r="DI98" s="641"/>
      <c r="DJ98" s="641"/>
      <c r="DK98" s="641"/>
      <c r="DL98" s="641"/>
      <c r="DM98" s="641"/>
      <c r="DN98" s="641"/>
      <c r="DO98" s="641"/>
      <c r="DP98" s="576"/>
      <c r="DQ98" s="576"/>
      <c r="DR98" s="576"/>
      <c r="DS98" s="576"/>
      <c r="DT98" s="576"/>
      <c r="DU98" s="576"/>
      <c r="DV98" s="576"/>
      <c r="DW98" s="576"/>
      <c r="DX98" s="576"/>
      <c r="DY98" s="576"/>
      <c r="DZ98" s="576"/>
      <c r="EA98" s="576"/>
      <c r="EB98" s="576"/>
      <c r="EC98" s="576"/>
      <c r="ED98" s="576"/>
      <c r="EE98" s="576"/>
      <c r="EF98" s="576"/>
      <c r="EG98" s="576"/>
      <c r="EH98" s="576"/>
    </row>
    <row r="99" spans="1:138" s="14" customFormat="1" x14ac:dyDescent="0.25">
      <c r="A99" s="8">
        <v>95</v>
      </c>
      <c r="B99" s="4" t="s">
        <v>34</v>
      </c>
      <c r="C99" s="4"/>
      <c r="D99" s="4" t="s">
        <v>51</v>
      </c>
      <c r="E99" s="4" t="s">
        <v>75</v>
      </c>
      <c r="F99" s="19" t="s">
        <v>8</v>
      </c>
      <c r="G99" s="19" t="s">
        <v>837</v>
      </c>
      <c r="H99" s="556" t="s">
        <v>837</v>
      </c>
      <c r="I99" s="556">
        <v>10002</v>
      </c>
      <c r="J99" s="556" t="s">
        <v>837</v>
      </c>
      <c r="K99" s="556">
        <v>10004</v>
      </c>
      <c r="L99" s="556" t="s">
        <v>837</v>
      </c>
      <c r="M99" s="556" t="s">
        <v>837</v>
      </c>
      <c r="N99" s="556">
        <v>10002</v>
      </c>
      <c r="O99" s="556" t="s">
        <v>837</v>
      </c>
      <c r="P99" s="556">
        <v>10004</v>
      </c>
      <c r="Q99" s="556" t="s">
        <v>837</v>
      </c>
      <c r="R99" s="556" t="s">
        <v>837</v>
      </c>
      <c r="S99" s="556">
        <v>10002</v>
      </c>
      <c r="T99" s="556" t="s">
        <v>837</v>
      </c>
      <c r="U99" s="556">
        <v>10004</v>
      </c>
      <c r="V99" s="556" t="s">
        <v>837</v>
      </c>
      <c r="W99" s="556" t="s">
        <v>837</v>
      </c>
      <c r="X99" s="556" t="s">
        <v>837</v>
      </c>
      <c r="Y99" s="556" t="s">
        <v>837</v>
      </c>
      <c r="Z99" s="556" t="s">
        <v>837</v>
      </c>
      <c r="AA99" s="556" t="s">
        <v>837</v>
      </c>
      <c r="AB99" s="556" t="s">
        <v>837</v>
      </c>
      <c r="AC99" s="556">
        <v>10002</v>
      </c>
      <c r="AD99" s="556" t="s">
        <v>837</v>
      </c>
      <c r="AE99" s="556">
        <v>10004</v>
      </c>
      <c r="AF99" s="556" t="s">
        <v>837</v>
      </c>
      <c r="AG99" s="556" t="s">
        <v>837</v>
      </c>
      <c r="AH99" s="556">
        <v>10002</v>
      </c>
      <c r="AI99" s="556" t="s">
        <v>837</v>
      </c>
      <c r="AJ99" s="556">
        <v>10004</v>
      </c>
      <c r="AK99" s="556" t="s">
        <v>837</v>
      </c>
      <c r="AL99" s="556" t="s">
        <v>837</v>
      </c>
      <c r="AM99" s="556">
        <v>10002</v>
      </c>
      <c r="AN99" s="556" t="s">
        <v>837</v>
      </c>
      <c r="AO99" s="556">
        <v>10004</v>
      </c>
      <c r="AP99" s="556" t="s">
        <v>837</v>
      </c>
      <c r="AQ99" s="556" t="s">
        <v>837</v>
      </c>
      <c r="AR99" s="556">
        <v>10002</v>
      </c>
      <c r="AS99" s="556" t="s">
        <v>837</v>
      </c>
      <c r="AT99" s="556">
        <v>10004</v>
      </c>
      <c r="AU99" s="556" t="s">
        <v>837</v>
      </c>
      <c r="AV99" s="556" t="s">
        <v>837</v>
      </c>
      <c r="AW99" s="556" t="s">
        <v>837</v>
      </c>
      <c r="AX99" s="556" t="s">
        <v>837</v>
      </c>
      <c r="AY99" s="556" t="s">
        <v>837</v>
      </c>
      <c r="AZ99" s="556" t="s">
        <v>837</v>
      </c>
      <c r="BA99" s="556" t="s">
        <v>837</v>
      </c>
      <c r="BB99" s="556">
        <v>10002</v>
      </c>
      <c r="BC99" s="556" t="s">
        <v>837</v>
      </c>
      <c r="BD99" s="556">
        <v>10004</v>
      </c>
      <c r="BE99" s="556" t="s">
        <v>837</v>
      </c>
      <c r="BF99" s="636"/>
      <c r="BG99" s="636"/>
      <c r="BH99" s="636"/>
      <c r="BI99" s="576"/>
      <c r="BJ99" s="576"/>
      <c r="BK99" s="576"/>
      <c r="BL99" s="602"/>
      <c r="BM99" s="553">
        <v>40001</v>
      </c>
      <c r="BN99" s="612">
        <v>40001</v>
      </c>
      <c r="BO99" s="576"/>
      <c r="BP99" s="606"/>
      <c r="BQ99" s="576"/>
      <c r="BR99" s="570"/>
      <c r="BS99" s="547"/>
      <c r="BT99" s="549"/>
      <c r="BU99" s="549"/>
      <c r="BV99" s="549"/>
      <c r="BW99" s="549"/>
      <c r="BX99" s="549"/>
      <c r="BY99" s="549"/>
      <c r="BZ99" s="549"/>
      <c r="CA99" s="549"/>
      <c r="CB99" s="549"/>
      <c r="CC99" s="549"/>
      <c r="CD99" s="548"/>
      <c r="CE99" s="547"/>
      <c r="CF99" s="549"/>
      <c r="CG99" s="549"/>
      <c r="CH99" s="549"/>
      <c r="CI99" s="549"/>
      <c r="CJ99" s="549"/>
      <c r="CK99" s="549"/>
      <c r="CL99" s="549"/>
      <c r="CM99" s="549"/>
      <c r="CN99" s="548"/>
      <c r="CO99" s="640"/>
      <c r="CP99" s="640"/>
      <c r="CQ99" s="640"/>
      <c r="CR99" s="640"/>
      <c r="CS99" s="640"/>
      <c r="CT99" s="640"/>
      <c r="CU99" s="640"/>
      <c r="CV99" s="640"/>
      <c r="CW99" s="640"/>
      <c r="CX99" s="640"/>
      <c r="CY99" s="640"/>
      <c r="CZ99" s="640"/>
      <c r="DA99" s="640"/>
      <c r="DB99" s="640"/>
      <c r="DC99" s="640"/>
      <c r="DD99" s="640"/>
      <c r="DE99" s="640"/>
      <c r="DF99" s="640"/>
      <c r="DG99" s="640"/>
      <c r="DH99" s="640"/>
      <c r="DI99" s="641"/>
      <c r="DJ99" s="641"/>
      <c r="DK99" s="641"/>
      <c r="DL99" s="641"/>
      <c r="DM99" s="641"/>
      <c r="DN99" s="641"/>
      <c r="DO99" s="641"/>
      <c r="DP99" s="576"/>
      <c r="DQ99" s="576"/>
      <c r="DR99" s="576"/>
      <c r="DS99" s="576"/>
      <c r="DT99" s="576"/>
      <c r="DU99" s="576"/>
      <c r="DV99" s="576"/>
      <c r="DW99" s="576"/>
      <c r="DX99" s="576"/>
      <c r="DY99" s="576"/>
      <c r="DZ99" s="576"/>
      <c r="EA99" s="576"/>
      <c r="EB99" s="576"/>
      <c r="EC99" s="576"/>
      <c r="ED99" s="576"/>
      <c r="EE99" s="576"/>
      <c r="EF99" s="576"/>
      <c r="EG99" s="576"/>
      <c r="EH99" s="576"/>
    </row>
    <row r="100" spans="1:138" s="14" customFormat="1" x14ac:dyDescent="0.25">
      <c r="A100" s="8">
        <v>96</v>
      </c>
      <c r="B100" s="4" t="s">
        <v>35</v>
      </c>
      <c r="C100" s="4"/>
      <c r="D100" s="4" t="s">
        <v>51</v>
      </c>
      <c r="E100" s="4" t="s">
        <v>75</v>
      </c>
      <c r="F100" s="19" t="s">
        <v>8</v>
      </c>
      <c r="G100" s="19" t="s">
        <v>837</v>
      </c>
      <c r="H100" s="556" t="s">
        <v>837</v>
      </c>
      <c r="I100" s="556" t="s">
        <v>837</v>
      </c>
      <c r="J100" s="556" t="s">
        <v>837</v>
      </c>
      <c r="K100" s="556" t="s">
        <v>837</v>
      </c>
      <c r="L100" s="556" t="s">
        <v>837</v>
      </c>
      <c r="M100" s="556" t="s">
        <v>837</v>
      </c>
      <c r="N100" s="556" t="s">
        <v>837</v>
      </c>
      <c r="O100" s="556" t="s">
        <v>837</v>
      </c>
      <c r="P100" s="556" t="s">
        <v>837</v>
      </c>
      <c r="Q100" s="556" t="s">
        <v>837</v>
      </c>
      <c r="R100" s="556" t="s">
        <v>837</v>
      </c>
      <c r="S100" s="556" t="s">
        <v>837</v>
      </c>
      <c r="T100" s="556" t="s">
        <v>837</v>
      </c>
      <c r="U100" s="556" t="s">
        <v>837</v>
      </c>
      <c r="V100" s="556" t="s">
        <v>837</v>
      </c>
      <c r="W100" s="556" t="s">
        <v>837</v>
      </c>
      <c r="X100" s="556" t="s">
        <v>837</v>
      </c>
      <c r="Y100" s="556" t="s">
        <v>837</v>
      </c>
      <c r="Z100" s="556" t="s">
        <v>837</v>
      </c>
      <c r="AA100" s="556" t="s">
        <v>837</v>
      </c>
      <c r="AB100" s="556" t="s">
        <v>837</v>
      </c>
      <c r="AC100" s="556" t="s">
        <v>837</v>
      </c>
      <c r="AD100" s="556" t="s">
        <v>837</v>
      </c>
      <c r="AE100" s="556" t="s">
        <v>837</v>
      </c>
      <c r="AF100" s="556" t="s">
        <v>837</v>
      </c>
      <c r="AG100" s="556" t="s">
        <v>837</v>
      </c>
      <c r="AH100" s="556" t="s">
        <v>837</v>
      </c>
      <c r="AI100" s="556" t="s">
        <v>837</v>
      </c>
      <c r="AJ100" s="556" t="s">
        <v>837</v>
      </c>
      <c r="AK100" s="556" t="s">
        <v>837</v>
      </c>
      <c r="AL100" s="556" t="s">
        <v>837</v>
      </c>
      <c r="AM100" s="556" t="s">
        <v>837</v>
      </c>
      <c r="AN100" s="556" t="s">
        <v>837</v>
      </c>
      <c r="AO100" s="556" t="s">
        <v>837</v>
      </c>
      <c r="AP100" s="556" t="s">
        <v>837</v>
      </c>
      <c r="AQ100" s="556" t="s">
        <v>837</v>
      </c>
      <c r="AR100" s="556" t="s">
        <v>837</v>
      </c>
      <c r="AS100" s="556" t="s">
        <v>837</v>
      </c>
      <c r="AT100" s="556" t="s">
        <v>837</v>
      </c>
      <c r="AU100" s="556" t="s">
        <v>837</v>
      </c>
      <c r="AV100" s="556" t="s">
        <v>837</v>
      </c>
      <c r="AW100" s="556" t="s">
        <v>837</v>
      </c>
      <c r="AX100" s="556" t="s">
        <v>837</v>
      </c>
      <c r="AY100" s="556" t="s">
        <v>837</v>
      </c>
      <c r="AZ100" s="556" t="s">
        <v>837</v>
      </c>
      <c r="BA100" s="556" t="s">
        <v>837</v>
      </c>
      <c r="BB100" s="556" t="s">
        <v>837</v>
      </c>
      <c r="BC100" s="556" t="s">
        <v>837</v>
      </c>
      <c r="BD100" s="556" t="s">
        <v>837</v>
      </c>
      <c r="BE100" s="556" t="s">
        <v>837</v>
      </c>
      <c r="BF100" s="612"/>
      <c r="BG100" s="612"/>
      <c r="BH100" s="612"/>
      <c r="BI100" s="576"/>
      <c r="BJ100" s="576"/>
      <c r="BK100" s="576"/>
      <c r="BL100" s="602"/>
      <c r="BM100" s="553" t="s">
        <v>837</v>
      </c>
      <c r="BN100" s="612" t="s">
        <v>837</v>
      </c>
      <c r="BO100" s="576"/>
      <c r="BP100" s="606"/>
      <c r="BQ100" s="576"/>
      <c r="BR100" s="570"/>
      <c r="BS100" s="547"/>
      <c r="BT100" s="549"/>
      <c r="BU100" s="549"/>
      <c r="BV100" s="549"/>
      <c r="BW100" s="549"/>
      <c r="BX100" s="549"/>
      <c r="BY100" s="549"/>
      <c r="BZ100" s="549"/>
      <c r="CA100" s="549"/>
      <c r="CB100" s="549"/>
      <c r="CC100" s="549"/>
      <c r="CD100" s="548"/>
      <c r="CE100" s="547"/>
      <c r="CF100" s="549"/>
      <c r="CG100" s="549"/>
      <c r="CH100" s="549"/>
      <c r="CI100" s="549"/>
      <c r="CJ100" s="549"/>
      <c r="CK100" s="549"/>
      <c r="CL100" s="549"/>
      <c r="CM100" s="549"/>
      <c r="CN100" s="548"/>
      <c r="CO100" s="640"/>
      <c r="CP100" s="640"/>
      <c r="CQ100" s="640"/>
      <c r="CR100" s="640"/>
      <c r="CS100" s="640"/>
      <c r="CT100" s="640"/>
      <c r="CU100" s="640"/>
      <c r="CV100" s="640"/>
      <c r="CW100" s="640"/>
      <c r="CX100" s="640"/>
      <c r="CY100" s="640"/>
      <c r="CZ100" s="640"/>
      <c r="DA100" s="640"/>
      <c r="DB100" s="640"/>
      <c r="DC100" s="640"/>
      <c r="DD100" s="640"/>
      <c r="DE100" s="640"/>
      <c r="DF100" s="640"/>
      <c r="DG100" s="640"/>
      <c r="DH100" s="640"/>
      <c r="DI100" s="641"/>
      <c r="DJ100" s="641"/>
      <c r="DK100" s="641"/>
      <c r="DL100" s="641"/>
      <c r="DM100" s="641"/>
      <c r="DN100" s="641"/>
      <c r="DO100" s="641"/>
      <c r="DP100" s="576"/>
      <c r="DQ100" s="576"/>
      <c r="DR100" s="576"/>
      <c r="DS100" s="576"/>
      <c r="DT100" s="576"/>
      <c r="DU100" s="576"/>
      <c r="DV100" s="576"/>
      <c r="DW100" s="576"/>
      <c r="DX100" s="576"/>
      <c r="DY100" s="576"/>
      <c r="DZ100" s="576"/>
      <c r="EA100" s="576"/>
      <c r="EB100" s="576"/>
      <c r="EC100" s="576"/>
      <c r="ED100" s="576"/>
      <c r="EE100" s="576"/>
      <c r="EF100" s="576"/>
      <c r="EG100" s="576"/>
      <c r="EH100" s="576"/>
    </row>
    <row r="101" spans="1:138" s="14" customFormat="1" x14ac:dyDescent="0.25">
      <c r="A101" s="8">
        <v>97</v>
      </c>
      <c r="B101" s="5" t="s">
        <v>17</v>
      </c>
      <c r="C101" s="5"/>
      <c r="D101" s="4" t="s">
        <v>51</v>
      </c>
      <c r="E101" s="4" t="s">
        <v>75</v>
      </c>
      <c r="F101" s="19" t="s">
        <v>8</v>
      </c>
      <c r="G101" s="19" t="s">
        <v>837</v>
      </c>
      <c r="H101" s="556" t="s">
        <v>837</v>
      </c>
      <c r="I101" s="556" t="s">
        <v>837</v>
      </c>
      <c r="J101" s="556" t="s">
        <v>837</v>
      </c>
      <c r="K101" s="556" t="s">
        <v>837</v>
      </c>
      <c r="L101" s="556" t="s">
        <v>837</v>
      </c>
      <c r="M101" s="556" t="s">
        <v>837</v>
      </c>
      <c r="N101" s="556" t="s">
        <v>837</v>
      </c>
      <c r="O101" s="556" t="s">
        <v>837</v>
      </c>
      <c r="P101" s="556" t="s">
        <v>837</v>
      </c>
      <c r="Q101" s="556" t="s">
        <v>837</v>
      </c>
      <c r="R101" s="556" t="s">
        <v>837</v>
      </c>
      <c r="S101" s="556" t="s">
        <v>837</v>
      </c>
      <c r="T101" s="556" t="s">
        <v>837</v>
      </c>
      <c r="U101" s="556" t="s">
        <v>837</v>
      </c>
      <c r="V101" s="556" t="s">
        <v>837</v>
      </c>
      <c r="W101" s="556" t="s">
        <v>837</v>
      </c>
      <c r="X101" s="556" t="s">
        <v>837</v>
      </c>
      <c r="Y101" s="556" t="s">
        <v>837</v>
      </c>
      <c r="Z101" s="556" t="s">
        <v>837</v>
      </c>
      <c r="AA101" s="556" t="s">
        <v>837</v>
      </c>
      <c r="AB101" s="556" t="s">
        <v>837</v>
      </c>
      <c r="AC101" s="556" t="s">
        <v>837</v>
      </c>
      <c r="AD101" s="556" t="s">
        <v>837</v>
      </c>
      <c r="AE101" s="556" t="s">
        <v>837</v>
      </c>
      <c r="AF101" s="556" t="s">
        <v>837</v>
      </c>
      <c r="AG101" s="556" t="s">
        <v>837</v>
      </c>
      <c r="AH101" s="556" t="s">
        <v>837</v>
      </c>
      <c r="AI101" s="556" t="s">
        <v>837</v>
      </c>
      <c r="AJ101" s="556" t="s">
        <v>837</v>
      </c>
      <c r="AK101" s="556" t="s">
        <v>837</v>
      </c>
      <c r="AL101" s="556" t="s">
        <v>837</v>
      </c>
      <c r="AM101" s="556" t="s">
        <v>837</v>
      </c>
      <c r="AN101" s="556" t="s">
        <v>837</v>
      </c>
      <c r="AO101" s="556" t="s">
        <v>837</v>
      </c>
      <c r="AP101" s="556" t="s">
        <v>837</v>
      </c>
      <c r="AQ101" s="556" t="s">
        <v>837</v>
      </c>
      <c r="AR101" s="556" t="s">
        <v>837</v>
      </c>
      <c r="AS101" s="556" t="s">
        <v>837</v>
      </c>
      <c r="AT101" s="556" t="s">
        <v>837</v>
      </c>
      <c r="AU101" s="556" t="s">
        <v>837</v>
      </c>
      <c r="AV101" s="556" t="s">
        <v>837</v>
      </c>
      <c r="AW101" s="556" t="s">
        <v>837</v>
      </c>
      <c r="AX101" s="556" t="s">
        <v>837</v>
      </c>
      <c r="AY101" s="556" t="s">
        <v>837</v>
      </c>
      <c r="AZ101" s="556" t="s">
        <v>837</v>
      </c>
      <c r="BA101" s="556" t="s">
        <v>837</v>
      </c>
      <c r="BB101" s="556" t="s">
        <v>837</v>
      </c>
      <c r="BC101" s="556" t="s">
        <v>837</v>
      </c>
      <c r="BD101" s="556" t="s">
        <v>837</v>
      </c>
      <c r="BE101" s="556" t="s">
        <v>837</v>
      </c>
      <c r="BF101" s="636"/>
      <c r="BG101" s="636"/>
      <c r="BH101" s="636">
        <v>20001</v>
      </c>
      <c r="BI101" s="576"/>
      <c r="BJ101" s="576"/>
      <c r="BK101" s="576"/>
      <c r="BL101" s="602"/>
      <c r="BM101" s="553">
        <v>40001</v>
      </c>
      <c r="BN101" s="612">
        <v>40001</v>
      </c>
      <c r="BO101" s="576"/>
      <c r="BP101" s="606"/>
      <c r="BQ101" s="576"/>
      <c r="BR101" s="570"/>
      <c r="BS101" s="547"/>
      <c r="BT101" s="549"/>
      <c r="BU101" s="549"/>
      <c r="BV101" s="549"/>
      <c r="BW101" s="549"/>
      <c r="BX101" s="549"/>
      <c r="BY101" s="549"/>
      <c r="BZ101" s="549"/>
      <c r="CA101" s="549"/>
      <c r="CB101" s="549"/>
      <c r="CC101" s="549"/>
      <c r="CD101" s="548"/>
      <c r="CE101" s="547"/>
      <c r="CF101" s="549"/>
      <c r="CG101" s="549"/>
      <c r="CH101" s="549"/>
      <c r="CI101" s="549"/>
      <c r="CJ101" s="549"/>
      <c r="CK101" s="549"/>
      <c r="CL101" s="549"/>
      <c r="CM101" s="549"/>
      <c r="CN101" s="548"/>
      <c r="CO101" s="639"/>
      <c r="CP101" s="639"/>
      <c r="CQ101" s="639"/>
      <c r="CR101" s="639"/>
      <c r="CS101" s="639"/>
      <c r="CT101" s="639"/>
      <c r="CU101" s="639"/>
      <c r="CV101" s="639"/>
      <c r="CW101" s="639"/>
      <c r="CX101" s="639"/>
      <c r="CY101" s="639"/>
      <c r="CZ101" s="639"/>
      <c r="DA101" s="639"/>
      <c r="DB101" s="639"/>
      <c r="DC101" s="639"/>
      <c r="DD101" s="639"/>
      <c r="DE101" s="639"/>
      <c r="DF101" s="639"/>
      <c r="DG101" s="639"/>
      <c r="DH101" s="639"/>
      <c r="DI101" s="641"/>
      <c r="DJ101" s="641"/>
      <c r="DK101" s="641"/>
      <c r="DL101" s="641"/>
      <c r="DM101" s="641"/>
      <c r="DN101" s="641"/>
      <c r="DO101" s="641"/>
      <c r="DP101" s="576"/>
      <c r="DQ101" s="576"/>
      <c r="DR101" s="576"/>
      <c r="DS101" s="576"/>
      <c r="DT101" s="576"/>
      <c r="DU101" s="576"/>
      <c r="DV101" s="576"/>
      <c r="DW101" s="576"/>
      <c r="DX101" s="576"/>
      <c r="DY101" s="576"/>
      <c r="DZ101" s="576"/>
      <c r="EA101" s="576"/>
      <c r="EB101" s="576"/>
      <c r="EC101" s="576"/>
      <c r="ED101" s="576"/>
      <c r="EE101" s="576"/>
      <c r="EF101" s="576"/>
      <c r="EG101" s="576"/>
      <c r="EH101" s="576"/>
    </row>
    <row r="102" spans="1:138" s="14" customFormat="1" x14ac:dyDescent="0.25">
      <c r="A102" s="8">
        <v>98</v>
      </c>
      <c r="B102" s="4" t="s">
        <v>50</v>
      </c>
      <c r="C102" s="4"/>
      <c r="D102" s="4" t="s">
        <v>51</v>
      </c>
      <c r="E102" s="4" t="s">
        <v>74</v>
      </c>
      <c r="F102" s="19" t="s">
        <v>8</v>
      </c>
      <c r="G102" s="19" t="s">
        <v>837</v>
      </c>
      <c r="H102" s="556" t="s">
        <v>837</v>
      </c>
      <c r="I102" s="556" t="s">
        <v>837</v>
      </c>
      <c r="J102" s="556" t="s">
        <v>837</v>
      </c>
      <c r="K102" s="556">
        <v>10004</v>
      </c>
      <c r="L102" s="556" t="s">
        <v>837</v>
      </c>
      <c r="M102" s="556" t="s">
        <v>837</v>
      </c>
      <c r="N102" s="556" t="s">
        <v>837</v>
      </c>
      <c r="O102" s="556" t="s">
        <v>837</v>
      </c>
      <c r="P102" s="556">
        <v>10004</v>
      </c>
      <c r="Q102" s="556" t="s">
        <v>837</v>
      </c>
      <c r="R102" s="556" t="s">
        <v>837</v>
      </c>
      <c r="S102" s="556" t="s">
        <v>837</v>
      </c>
      <c r="T102" s="556" t="s">
        <v>837</v>
      </c>
      <c r="U102" s="556">
        <v>10004</v>
      </c>
      <c r="V102" s="556" t="s">
        <v>837</v>
      </c>
      <c r="W102" s="556" t="s">
        <v>837</v>
      </c>
      <c r="X102" s="556" t="s">
        <v>837</v>
      </c>
      <c r="Y102" s="556" t="s">
        <v>837</v>
      </c>
      <c r="Z102" s="556" t="s">
        <v>837</v>
      </c>
      <c r="AA102" s="556" t="s">
        <v>837</v>
      </c>
      <c r="AB102" s="556" t="s">
        <v>837</v>
      </c>
      <c r="AC102" s="556" t="s">
        <v>837</v>
      </c>
      <c r="AD102" s="556" t="s">
        <v>837</v>
      </c>
      <c r="AE102" s="556">
        <v>10004</v>
      </c>
      <c r="AF102" s="556" t="s">
        <v>837</v>
      </c>
      <c r="AG102" s="556" t="s">
        <v>837</v>
      </c>
      <c r="AH102" s="556" t="s">
        <v>837</v>
      </c>
      <c r="AI102" s="556" t="s">
        <v>837</v>
      </c>
      <c r="AJ102" s="556">
        <v>10004</v>
      </c>
      <c r="AK102" s="556" t="s">
        <v>837</v>
      </c>
      <c r="AL102" s="556" t="s">
        <v>837</v>
      </c>
      <c r="AM102" s="556" t="s">
        <v>837</v>
      </c>
      <c r="AN102" s="556" t="s">
        <v>837</v>
      </c>
      <c r="AO102" s="556">
        <v>10004</v>
      </c>
      <c r="AP102" s="556" t="s">
        <v>837</v>
      </c>
      <c r="AQ102" s="556" t="s">
        <v>837</v>
      </c>
      <c r="AR102" s="556" t="s">
        <v>837</v>
      </c>
      <c r="AS102" s="556" t="s">
        <v>837</v>
      </c>
      <c r="AT102" s="556">
        <v>10004</v>
      </c>
      <c r="AU102" s="556" t="s">
        <v>837</v>
      </c>
      <c r="AV102" s="556" t="s">
        <v>837</v>
      </c>
      <c r="AW102" s="556" t="s">
        <v>837</v>
      </c>
      <c r="AX102" s="556" t="s">
        <v>837</v>
      </c>
      <c r="AY102" s="556" t="s">
        <v>837</v>
      </c>
      <c r="AZ102" s="556" t="s">
        <v>837</v>
      </c>
      <c r="BA102" s="556" t="s">
        <v>837</v>
      </c>
      <c r="BB102" s="556" t="s">
        <v>837</v>
      </c>
      <c r="BC102" s="556" t="s">
        <v>837</v>
      </c>
      <c r="BD102" s="556">
        <v>10004</v>
      </c>
      <c r="BE102" s="556" t="s">
        <v>837</v>
      </c>
      <c r="BF102" s="612"/>
      <c r="BG102" s="612"/>
      <c r="BH102" s="612"/>
      <c r="BI102" s="576"/>
      <c r="BJ102" s="576"/>
      <c r="BK102" s="576"/>
      <c r="BL102" s="602"/>
      <c r="BM102" s="553">
        <v>40001</v>
      </c>
      <c r="BN102" s="612">
        <v>40001</v>
      </c>
      <c r="BO102" s="576"/>
      <c r="BP102" s="606"/>
      <c r="BQ102" s="576"/>
      <c r="BR102" s="570"/>
      <c r="BS102" s="547"/>
      <c r="BT102" s="549"/>
      <c r="BU102" s="549"/>
      <c r="BV102" s="549"/>
      <c r="BW102" s="549"/>
      <c r="BX102" s="549"/>
      <c r="BY102" s="549"/>
      <c r="BZ102" s="549"/>
      <c r="CA102" s="549"/>
      <c r="CB102" s="549"/>
      <c r="CC102" s="549"/>
      <c r="CD102" s="548"/>
      <c r="CE102" s="547"/>
      <c r="CF102" s="549"/>
      <c r="CG102" s="549"/>
      <c r="CH102" s="549"/>
      <c r="CI102" s="549"/>
      <c r="CJ102" s="549"/>
      <c r="CK102" s="549"/>
      <c r="CL102" s="549"/>
      <c r="CM102" s="549"/>
      <c r="CN102" s="548"/>
      <c r="CO102" s="640"/>
      <c r="CP102" s="640"/>
      <c r="CQ102" s="640"/>
      <c r="CR102" s="640"/>
      <c r="CS102" s="640"/>
      <c r="CT102" s="640"/>
      <c r="CU102" s="640"/>
      <c r="CV102" s="640"/>
      <c r="CW102" s="640"/>
      <c r="CX102" s="640"/>
      <c r="CY102" s="640"/>
      <c r="CZ102" s="640"/>
      <c r="DA102" s="640"/>
      <c r="DB102" s="640"/>
      <c r="DC102" s="640"/>
      <c r="DD102" s="640"/>
      <c r="DE102" s="640"/>
      <c r="DF102" s="640"/>
      <c r="DG102" s="640"/>
      <c r="DH102" s="640"/>
      <c r="DI102" s="641"/>
      <c r="DJ102" s="641"/>
      <c r="DK102" s="641"/>
      <c r="DL102" s="641"/>
      <c r="DM102" s="641"/>
      <c r="DN102" s="641"/>
      <c r="DO102" s="641"/>
      <c r="DP102" s="576"/>
      <c r="DQ102" s="576"/>
      <c r="DR102" s="576"/>
      <c r="DS102" s="576"/>
      <c r="DT102" s="576"/>
      <c r="DU102" s="576"/>
      <c r="DV102" s="576"/>
      <c r="DW102" s="576"/>
      <c r="DX102" s="576"/>
      <c r="DY102" s="576"/>
      <c r="DZ102" s="576"/>
      <c r="EA102" s="576"/>
      <c r="EB102" s="576"/>
      <c r="EC102" s="576"/>
      <c r="ED102" s="576"/>
      <c r="EE102" s="576"/>
      <c r="EF102" s="576"/>
      <c r="EG102" s="576"/>
      <c r="EH102" s="576"/>
    </row>
    <row r="103" spans="1:138" s="14" customFormat="1" x14ac:dyDescent="0.25">
      <c r="A103" s="8">
        <v>99</v>
      </c>
      <c r="B103" s="5" t="s">
        <v>689</v>
      </c>
      <c r="C103" s="5"/>
      <c r="D103" s="4" t="s">
        <v>1</v>
      </c>
      <c r="E103" s="4" t="s">
        <v>75</v>
      </c>
      <c r="F103" s="19" t="s">
        <v>8</v>
      </c>
      <c r="G103" s="19" t="s">
        <v>837</v>
      </c>
      <c r="H103" s="556" t="s">
        <v>837</v>
      </c>
      <c r="I103" s="556">
        <v>10002</v>
      </c>
      <c r="J103" s="556" t="s">
        <v>837</v>
      </c>
      <c r="K103" s="556">
        <v>10004</v>
      </c>
      <c r="L103" s="556" t="s">
        <v>837</v>
      </c>
      <c r="M103" s="556" t="s">
        <v>837</v>
      </c>
      <c r="N103" s="556">
        <v>10002</v>
      </c>
      <c r="O103" s="556" t="s">
        <v>837</v>
      </c>
      <c r="P103" s="556">
        <v>10004</v>
      </c>
      <c r="Q103" s="556" t="s">
        <v>837</v>
      </c>
      <c r="R103" s="556" t="s">
        <v>837</v>
      </c>
      <c r="S103" s="556">
        <v>10002</v>
      </c>
      <c r="T103" s="556" t="s">
        <v>837</v>
      </c>
      <c r="U103" s="556">
        <v>10004</v>
      </c>
      <c r="V103" s="556" t="s">
        <v>837</v>
      </c>
      <c r="W103" s="556" t="s">
        <v>837</v>
      </c>
      <c r="X103" s="556" t="s">
        <v>837</v>
      </c>
      <c r="Y103" s="556" t="s">
        <v>837</v>
      </c>
      <c r="Z103" s="556" t="s">
        <v>837</v>
      </c>
      <c r="AA103" s="556" t="s">
        <v>837</v>
      </c>
      <c r="AB103" s="556" t="s">
        <v>837</v>
      </c>
      <c r="AC103" s="556">
        <v>10002</v>
      </c>
      <c r="AD103" s="556" t="s">
        <v>837</v>
      </c>
      <c r="AE103" s="556">
        <v>10004</v>
      </c>
      <c r="AF103" s="556" t="s">
        <v>837</v>
      </c>
      <c r="AG103" s="556" t="s">
        <v>837</v>
      </c>
      <c r="AH103" s="556">
        <v>10002</v>
      </c>
      <c r="AI103" s="556" t="s">
        <v>837</v>
      </c>
      <c r="AJ103" s="556">
        <v>10004</v>
      </c>
      <c r="AK103" s="556" t="s">
        <v>837</v>
      </c>
      <c r="AL103" s="556" t="s">
        <v>837</v>
      </c>
      <c r="AM103" s="556">
        <v>10002</v>
      </c>
      <c r="AN103" s="556" t="s">
        <v>837</v>
      </c>
      <c r="AO103" s="556">
        <v>10004</v>
      </c>
      <c r="AP103" s="556" t="s">
        <v>837</v>
      </c>
      <c r="AQ103" s="556" t="s">
        <v>837</v>
      </c>
      <c r="AR103" s="556">
        <v>10002</v>
      </c>
      <c r="AS103" s="556" t="s">
        <v>837</v>
      </c>
      <c r="AT103" s="556">
        <v>10004</v>
      </c>
      <c r="AU103" s="556" t="s">
        <v>837</v>
      </c>
      <c r="AV103" s="556" t="s">
        <v>837</v>
      </c>
      <c r="AW103" s="556" t="s">
        <v>837</v>
      </c>
      <c r="AX103" s="556" t="s">
        <v>837</v>
      </c>
      <c r="AY103" s="556" t="s">
        <v>837</v>
      </c>
      <c r="AZ103" s="556" t="s">
        <v>837</v>
      </c>
      <c r="BA103" s="556" t="s">
        <v>837</v>
      </c>
      <c r="BB103" s="556">
        <v>10002</v>
      </c>
      <c r="BC103" s="556" t="s">
        <v>837</v>
      </c>
      <c r="BD103" s="556">
        <v>10004</v>
      </c>
      <c r="BE103" s="556" t="s">
        <v>837</v>
      </c>
      <c r="BF103" s="614"/>
      <c r="BG103" s="614"/>
      <c r="BH103" s="614"/>
      <c r="BI103" s="576"/>
      <c r="BJ103" s="576"/>
      <c r="BK103" s="576"/>
      <c r="BL103" s="602"/>
      <c r="BM103" s="553" t="s">
        <v>837</v>
      </c>
      <c r="BN103" s="612" t="s">
        <v>837</v>
      </c>
      <c r="BO103" s="576"/>
      <c r="BP103" s="606"/>
      <c r="BQ103" s="576"/>
      <c r="BR103" s="570"/>
      <c r="BS103" s="547"/>
      <c r="BT103" s="549"/>
      <c r="BU103" s="549"/>
      <c r="BV103" s="549"/>
      <c r="BW103" s="549"/>
      <c r="BX103" s="549"/>
      <c r="BY103" s="549"/>
      <c r="BZ103" s="549"/>
      <c r="CA103" s="549"/>
      <c r="CB103" s="549"/>
      <c r="CC103" s="549"/>
      <c r="CD103" s="548"/>
      <c r="CE103" s="547"/>
      <c r="CF103" s="549"/>
      <c r="CG103" s="549"/>
      <c r="CH103" s="549"/>
      <c r="CI103" s="549"/>
      <c r="CJ103" s="549"/>
      <c r="CK103" s="549"/>
      <c r="CL103" s="549"/>
      <c r="CM103" s="549"/>
      <c r="CN103" s="548"/>
      <c r="CO103" s="640"/>
      <c r="CP103" s="640"/>
      <c r="CQ103" s="640"/>
      <c r="CR103" s="640"/>
      <c r="CS103" s="640"/>
      <c r="CT103" s="640"/>
      <c r="CU103" s="640"/>
      <c r="CV103" s="640"/>
      <c r="CW103" s="640"/>
      <c r="CX103" s="640"/>
      <c r="CY103" s="640"/>
      <c r="CZ103" s="640"/>
      <c r="DA103" s="640"/>
      <c r="DB103" s="640"/>
      <c r="DC103" s="640"/>
      <c r="DD103" s="640"/>
      <c r="DE103" s="640"/>
      <c r="DF103" s="640"/>
      <c r="DG103" s="640"/>
      <c r="DH103" s="640"/>
      <c r="DI103" s="641"/>
      <c r="DJ103" s="641"/>
      <c r="DK103" s="641"/>
      <c r="DL103" s="641"/>
      <c r="DM103" s="641"/>
      <c r="DN103" s="641"/>
      <c r="DO103" s="641"/>
      <c r="DP103" s="576"/>
      <c r="DQ103" s="576"/>
      <c r="DR103" s="576"/>
      <c r="DS103" s="576"/>
      <c r="DT103" s="576"/>
      <c r="DU103" s="576"/>
      <c r="DV103" s="576"/>
      <c r="DW103" s="576"/>
      <c r="DX103" s="576"/>
      <c r="DY103" s="576"/>
      <c r="DZ103" s="576"/>
      <c r="EA103" s="576"/>
      <c r="EB103" s="576"/>
      <c r="EC103" s="576"/>
      <c r="ED103" s="576"/>
      <c r="EE103" s="576"/>
      <c r="EF103" s="576"/>
      <c r="EG103" s="576"/>
      <c r="EH103" s="576"/>
    </row>
    <row r="104" spans="1:138" s="14" customFormat="1" x14ac:dyDescent="0.25">
      <c r="A104" s="8">
        <v>100</v>
      </c>
      <c r="B104" s="5" t="s">
        <v>691</v>
      </c>
      <c r="C104" s="5"/>
      <c r="D104" s="4" t="s">
        <v>1</v>
      </c>
      <c r="E104" s="4" t="s">
        <v>75</v>
      </c>
      <c r="F104" s="19" t="s">
        <v>8</v>
      </c>
      <c r="G104" s="19" t="s">
        <v>837</v>
      </c>
      <c r="H104" s="556" t="s">
        <v>837</v>
      </c>
      <c r="I104" s="556" t="s">
        <v>837</v>
      </c>
      <c r="J104" s="556" t="s">
        <v>837</v>
      </c>
      <c r="K104" s="556" t="s">
        <v>837</v>
      </c>
      <c r="L104" s="556" t="s">
        <v>837</v>
      </c>
      <c r="M104" s="556" t="s">
        <v>837</v>
      </c>
      <c r="N104" s="556" t="s">
        <v>837</v>
      </c>
      <c r="O104" s="556" t="s">
        <v>837</v>
      </c>
      <c r="P104" s="556" t="s">
        <v>837</v>
      </c>
      <c r="Q104" s="556" t="s">
        <v>837</v>
      </c>
      <c r="R104" s="556" t="s">
        <v>837</v>
      </c>
      <c r="S104" s="556" t="s">
        <v>837</v>
      </c>
      <c r="T104" s="556" t="s">
        <v>837</v>
      </c>
      <c r="U104" s="556" t="s">
        <v>837</v>
      </c>
      <c r="V104" s="556" t="s">
        <v>837</v>
      </c>
      <c r="W104" s="556" t="s">
        <v>837</v>
      </c>
      <c r="X104" s="556" t="s">
        <v>837</v>
      </c>
      <c r="Y104" s="556" t="s">
        <v>837</v>
      </c>
      <c r="Z104" s="556" t="s">
        <v>837</v>
      </c>
      <c r="AA104" s="556" t="s">
        <v>837</v>
      </c>
      <c r="AB104" s="556" t="s">
        <v>837</v>
      </c>
      <c r="AC104" s="556" t="s">
        <v>837</v>
      </c>
      <c r="AD104" s="556" t="s">
        <v>837</v>
      </c>
      <c r="AE104" s="556" t="s">
        <v>837</v>
      </c>
      <c r="AF104" s="556" t="s">
        <v>837</v>
      </c>
      <c r="AG104" s="556" t="s">
        <v>837</v>
      </c>
      <c r="AH104" s="556" t="s">
        <v>837</v>
      </c>
      <c r="AI104" s="556" t="s">
        <v>837</v>
      </c>
      <c r="AJ104" s="556" t="s">
        <v>837</v>
      </c>
      <c r="AK104" s="556" t="s">
        <v>837</v>
      </c>
      <c r="AL104" s="556" t="s">
        <v>837</v>
      </c>
      <c r="AM104" s="556" t="s">
        <v>837</v>
      </c>
      <c r="AN104" s="556" t="s">
        <v>837</v>
      </c>
      <c r="AO104" s="556" t="s">
        <v>837</v>
      </c>
      <c r="AP104" s="556" t="s">
        <v>837</v>
      </c>
      <c r="AQ104" s="556" t="s">
        <v>837</v>
      </c>
      <c r="AR104" s="556" t="s">
        <v>837</v>
      </c>
      <c r="AS104" s="556" t="s">
        <v>837</v>
      </c>
      <c r="AT104" s="556" t="s">
        <v>837</v>
      </c>
      <c r="AU104" s="556" t="s">
        <v>837</v>
      </c>
      <c r="AV104" s="556" t="s">
        <v>837</v>
      </c>
      <c r="AW104" s="556" t="s">
        <v>837</v>
      </c>
      <c r="AX104" s="556" t="s">
        <v>837</v>
      </c>
      <c r="AY104" s="556" t="s">
        <v>837</v>
      </c>
      <c r="AZ104" s="556" t="s">
        <v>837</v>
      </c>
      <c r="BA104" s="556" t="s">
        <v>837</v>
      </c>
      <c r="BB104" s="556" t="s">
        <v>837</v>
      </c>
      <c r="BC104" s="556" t="s">
        <v>837</v>
      </c>
      <c r="BD104" s="556" t="s">
        <v>837</v>
      </c>
      <c r="BE104" s="556" t="s">
        <v>837</v>
      </c>
      <c r="BF104" s="636"/>
      <c r="BG104" s="636"/>
      <c r="BH104" s="636">
        <v>20001</v>
      </c>
      <c r="BI104" s="576"/>
      <c r="BJ104" s="576"/>
      <c r="BK104" s="576"/>
      <c r="BL104" s="602"/>
      <c r="BM104" s="553" t="s">
        <v>837</v>
      </c>
      <c r="BN104" s="612" t="s">
        <v>837</v>
      </c>
      <c r="BO104" s="576"/>
      <c r="BP104" s="606"/>
      <c r="BQ104" s="576"/>
      <c r="BR104" s="570"/>
      <c r="BS104" s="547"/>
      <c r="BT104" s="549"/>
      <c r="BU104" s="549"/>
      <c r="BV104" s="549"/>
      <c r="BW104" s="549"/>
      <c r="BX104" s="549"/>
      <c r="BY104" s="549"/>
      <c r="BZ104" s="549"/>
      <c r="CA104" s="549"/>
      <c r="CB104" s="549"/>
      <c r="CC104" s="549"/>
      <c r="CD104" s="548"/>
      <c r="CE104" s="547"/>
      <c r="CF104" s="549"/>
      <c r="CG104" s="549"/>
      <c r="CH104" s="549"/>
      <c r="CI104" s="549"/>
      <c r="CJ104" s="549"/>
      <c r="CK104" s="549"/>
      <c r="CL104" s="549"/>
      <c r="CM104" s="549"/>
      <c r="CN104" s="548"/>
      <c r="CO104" s="639"/>
      <c r="CP104" s="639"/>
      <c r="CQ104" s="639"/>
      <c r="CR104" s="639"/>
      <c r="CS104" s="639"/>
      <c r="CT104" s="639"/>
      <c r="CU104" s="639"/>
      <c r="CV104" s="639"/>
      <c r="CW104" s="639"/>
      <c r="CX104" s="639"/>
      <c r="CY104" s="639"/>
      <c r="CZ104" s="639"/>
      <c r="DA104" s="639"/>
      <c r="DB104" s="639"/>
      <c r="DC104" s="639"/>
      <c r="DD104" s="639"/>
      <c r="DE104" s="639"/>
      <c r="DF104" s="639"/>
      <c r="DG104" s="639"/>
      <c r="DH104" s="639"/>
      <c r="DI104" s="641"/>
      <c r="DJ104" s="641"/>
      <c r="DK104" s="641"/>
      <c r="DL104" s="641"/>
      <c r="DM104" s="641"/>
      <c r="DN104" s="641"/>
      <c r="DO104" s="641"/>
      <c r="DP104" s="576"/>
      <c r="DQ104" s="576"/>
      <c r="DR104" s="576"/>
      <c r="DS104" s="576"/>
      <c r="DT104" s="576"/>
      <c r="DU104" s="576"/>
      <c r="DV104" s="576"/>
      <c r="DW104" s="576"/>
      <c r="DX104" s="576"/>
      <c r="DY104" s="576"/>
      <c r="DZ104" s="576"/>
      <c r="EA104" s="576"/>
      <c r="EB104" s="576"/>
      <c r="EC104" s="576"/>
      <c r="ED104" s="576"/>
      <c r="EE104" s="576"/>
      <c r="EF104" s="576"/>
      <c r="EG104" s="576"/>
      <c r="EH104" s="576"/>
    </row>
    <row r="105" spans="1:138" s="14" customFormat="1" x14ac:dyDescent="0.25">
      <c r="A105" s="8">
        <v>101</v>
      </c>
      <c r="B105" s="4" t="s">
        <v>693</v>
      </c>
      <c r="C105" s="4"/>
      <c r="D105" s="4" t="s">
        <v>1</v>
      </c>
      <c r="E105" s="4" t="s">
        <v>75</v>
      </c>
      <c r="F105" s="19" t="s">
        <v>8</v>
      </c>
      <c r="G105" s="19" t="s">
        <v>837</v>
      </c>
      <c r="H105" s="556" t="s">
        <v>837</v>
      </c>
      <c r="I105" s="556" t="s">
        <v>837</v>
      </c>
      <c r="J105" s="556" t="s">
        <v>837</v>
      </c>
      <c r="K105" s="556" t="s">
        <v>837</v>
      </c>
      <c r="L105" s="556" t="s">
        <v>837</v>
      </c>
      <c r="M105" s="556" t="s">
        <v>837</v>
      </c>
      <c r="N105" s="556" t="s">
        <v>837</v>
      </c>
      <c r="O105" s="556" t="s">
        <v>837</v>
      </c>
      <c r="P105" s="556" t="s">
        <v>837</v>
      </c>
      <c r="Q105" s="556" t="s">
        <v>837</v>
      </c>
      <c r="R105" s="556" t="s">
        <v>837</v>
      </c>
      <c r="S105" s="556" t="s">
        <v>837</v>
      </c>
      <c r="T105" s="556" t="s">
        <v>837</v>
      </c>
      <c r="U105" s="556" t="s">
        <v>837</v>
      </c>
      <c r="V105" s="556" t="s">
        <v>837</v>
      </c>
      <c r="W105" s="556" t="s">
        <v>837</v>
      </c>
      <c r="X105" s="556" t="s">
        <v>837</v>
      </c>
      <c r="Y105" s="556" t="s">
        <v>837</v>
      </c>
      <c r="Z105" s="556" t="s">
        <v>837</v>
      </c>
      <c r="AA105" s="556" t="s">
        <v>837</v>
      </c>
      <c r="AB105" s="556" t="s">
        <v>837</v>
      </c>
      <c r="AC105" s="556" t="s">
        <v>837</v>
      </c>
      <c r="AD105" s="556" t="s">
        <v>837</v>
      </c>
      <c r="AE105" s="556" t="s">
        <v>837</v>
      </c>
      <c r="AF105" s="556" t="s">
        <v>837</v>
      </c>
      <c r="AG105" s="556" t="s">
        <v>837</v>
      </c>
      <c r="AH105" s="556" t="s">
        <v>837</v>
      </c>
      <c r="AI105" s="556" t="s">
        <v>837</v>
      </c>
      <c r="AJ105" s="556" t="s">
        <v>837</v>
      </c>
      <c r="AK105" s="556" t="s">
        <v>837</v>
      </c>
      <c r="AL105" s="556" t="s">
        <v>837</v>
      </c>
      <c r="AM105" s="556" t="s">
        <v>837</v>
      </c>
      <c r="AN105" s="556" t="s">
        <v>837</v>
      </c>
      <c r="AO105" s="556" t="s">
        <v>837</v>
      </c>
      <c r="AP105" s="556" t="s">
        <v>837</v>
      </c>
      <c r="AQ105" s="556" t="s">
        <v>837</v>
      </c>
      <c r="AR105" s="556" t="s">
        <v>837</v>
      </c>
      <c r="AS105" s="556" t="s">
        <v>837</v>
      </c>
      <c r="AT105" s="556" t="s">
        <v>837</v>
      </c>
      <c r="AU105" s="556" t="s">
        <v>837</v>
      </c>
      <c r="AV105" s="556" t="s">
        <v>837</v>
      </c>
      <c r="AW105" s="556" t="s">
        <v>837</v>
      </c>
      <c r="AX105" s="556" t="s">
        <v>837</v>
      </c>
      <c r="AY105" s="556" t="s">
        <v>837</v>
      </c>
      <c r="AZ105" s="556" t="s">
        <v>837</v>
      </c>
      <c r="BA105" s="556" t="s">
        <v>837</v>
      </c>
      <c r="BB105" s="556" t="s">
        <v>837</v>
      </c>
      <c r="BC105" s="556" t="s">
        <v>837</v>
      </c>
      <c r="BD105" s="556" t="s">
        <v>837</v>
      </c>
      <c r="BE105" s="556" t="s">
        <v>837</v>
      </c>
      <c r="BF105" s="612"/>
      <c r="BG105" s="612"/>
      <c r="BH105" s="612"/>
      <c r="BI105" s="576"/>
      <c r="BJ105" s="576"/>
      <c r="BK105" s="576"/>
      <c r="BL105" s="602"/>
      <c r="BM105" s="553" t="s">
        <v>837</v>
      </c>
      <c r="BN105" s="612" t="s">
        <v>837</v>
      </c>
      <c r="BO105" s="576"/>
      <c r="BP105" s="606"/>
      <c r="BQ105" s="576"/>
      <c r="BR105" s="570"/>
      <c r="BS105" s="547"/>
      <c r="BT105" s="549"/>
      <c r="BU105" s="549"/>
      <c r="BV105" s="549"/>
      <c r="BW105" s="549"/>
      <c r="BX105" s="549"/>
      <c r="BY105" s="549"/>
      <c r="BZ105" s="549"/>
      <c r="CA105" s="549"/>
      <c r="CB105" s="549"/>
      <c r="CC105" s="549"/>
      <c r="CD105" s="548"/>
      <c r="CE105" s="547"/>
      <c r="CF105" s="549"/>
      <c r="CG105" s="549"/>
      <c r="CH105" s="549"/>
      <c r="CI105" s="549"/>
      <c r="CJ105" s="549"/>
      <c r="CK105" s="549"/>
      <c r="CL105" s="549"/>
      <c r="CM105" s="549"/>
      <c r="CN105" s="548"/>
      <c r="CO105" s="640"/>
      <c r="CP105" s="640"/>
      <c r="CQ105" s="640"/>
      <c r="CR105" s="640"/>
      <c r="CS105" s="640"/>
      <c r="CT105" s="640"/>
      <c r="CU105" s="640"/>
      <c r="CV105" s="640"/>
      <c r="CW105" s="640"/>
      <c r="CX105" s="640"/>
      <c r="CY105" s="640"/>
      <c r="CZ105" s="640"/>
      <c r="DA105" s="640"/>
      <c r="DB105" s="640"/>
      <c r="DC105" s="640"/>
      <c r="DD105" s="640"/>
      <c r="DE105" s="640"/>
      <c r="DF105" s="640"/>
      <c r="DG105" s="640"/>
      <c r="DH105" s="640"/>
      <c r="DI105" s="641"/>
      <c r="DJ105" s="641"/>
      <c r="DK105" s="641"/>
      <c r="DL105" s="641"/>
      <c r="DM105" s="641"/>
      <c r="DN105" s="641"/>
      <c r="DO105" s="641"/>
      <c r="DP105" s="576"/>
      <c r="DQ105" s="576"/>
      <c r="DR105" s="576"/>
      <c r="DS105" s="576"/>
      <c r="DT105" s="576"/>
      <c r="DU105" s="576"/>
      <c r="DV105" s="576"/>
      <c r="DW105" s="576"/>
      <c r="DX105" s="576"/>
      <c r="DY105" s="576"/>
      <c r="DZ105" s="576"/>
      <c r="EA105" s="576"/>
      <c r="EB105" s="576"/>
      <c r="EC105" s="576"/>
      <c r="ED105" s="576"/>
      <c r="EE105" s="576"/>
      <c r="EF105" s="576"/>
      <c r="EG105" s="576"/>
      <c r="EH105" s="576"/>
    </row>
    <row r="106" spans="1:138" s="14" customFormat="1" x14ac:dyDescent="0.25">
      <c r="A106" s="8">
        <v>102</v>
      </c>
      <c r="B106" s="4" t="s">
        <v>37</v>
      </c>
      <c r="C106" s="4"/>
      <c r="D106" s="4" t="s">
        <v>1</v>
      </c>
      <c r="E106" s="4" t="s">
        <v>75</v>
      </c>
      <c r="F106" s="19" t="s">
        <v>8</v>
      </c>
      <c r="G106" s="19" t="s">
        <v>837</v>
      </c>
      <c r="H106" s="556" t="s">
        <v>837</v>
      </c>
      <c r="I106" s="556" t="s">
        <v>837</v>
      </c>
      <c r="J106" s="556" t="s">
        <v>837</v>
      </c>
      <c r="K106" s="556" t="s">
        <v>837</v>
      </c>
      <c r="L106" s="556" t="s">
        <v>837</v>
      </c>
      <c r="M106" s="556" t="s">
        <v>837</v>
      </c>
      <c r="N106" s="556" t="s">
        <v>837</v>
      </c>
      <c r="O106" s="556" t="s">
        <v>837</v>
      </c>
      <c r="P106" s="556" t="s">
        <v>837</v>
      </c>
      <c r="Q106" s="556" t="s">
        <v>837</v>
      </c>
      <c r="R106" s="556" t="s">
        <v>837</v>
      </c>
      <c r="S106" s="556" t="s">
        <v>837</v>
      </c>
      <c r="T106" s="556" t="s">
        <v>837</v>
      </c>
      <c r="U106" s="556" t="s">
        <v>837</v>
      </c>
      <c r="V106" s="556" t="s">
        <v>837</v>
      </c>
      <c r="W106" s="556" t="s">
        <v>837</v>
      </c>
      <c r="X106" s="556" t="s">
        <v>837</v>
      </c>
      <c r="Y106" s="556" t="s">
        <v>837</v>
      </c>
      <c r="Z106" s="556" t="s">
        <v>837</v>
      </c>
      <c r="AA106" s="556" t="s">
        <v>837</v>
      </c>
      <c r="AB106" s="556" t="s">
        <v>837</v>
      </c>
      <c r="AC106" s="556" t="s">
        <v>837</v>
      </c>
      <c r="AD106" s="556" t="s">
        <v>837</v>
      </c>
      <c r="AE106" s="556" t="s">
        <v>837</v>
      </c>
      <c r="AF106" s="556" t="s">
        <v>837</v>
      </c>
      <c r="AG106" s="556" t="s">
        <v>837</v>
      </c>
      <c r="AH106" s="556" t="s">
        <v>837</v>
      </c>
      <c r="AI106" s="556" t="s">
        <v>837</v>
      </c>
      <c r="AJ106" s="556" t="s">
        <v>837</v>
      </c>
      <c r="AK106" s="556" t="s">
        <v>837</v>
      </c>
      <c r="AL106" s="556" t="s">
        <v>837</v>
      </c>
      <c r="AM106" s="556" t="s">
        <v>837</v>
      </c>
      <c r="AN106" s="556" t="s">
        <v>837</v>
      </c>
      <c r="AO106" s="556" t="s">
        <v>837</v>
      </c>
      <c r="AP106" s="556" t="s">
        <v>837</v>
      </c>
      <c r="AQ106" s="556" t="s">
        <v>837</v>
      </c>
      <c r="AR106" s="556" t="s">
        <v>837</v>
      </c>
      <c r="AS106" s="556" t="s">
        <v>837</v>
      </c>
      <c r="AT106" s="556" t="s">
        <v>837</v>
      </c>
      <c r="AU106" s="556" t="s">
        <v>837</v>
      </c>
      <c r="AV106" s="556" t="s">
        <v>837</v>
      </c>
      <c r="AW106" s="556" t="s">
        <v>837</v>
      </c>
      <c r="AX106" s="556" t="s">
        <v>837</v>
      </c>
      <c r="AY106" s="556" t="s">
        <v>837</v>
      </c>
      <c r="AZ106" s="556" t="s">
        <v>837</v>
      </c>
      <c r="BA106" s="556" t="s">
        <v>837</v>
      </c>
      <c r="BB106" s="556" t="s">
        <v>837</v>
      </c>
      <c r="BC106" s="556" t="s">
        <v>837</v>
      </c>
      <c r="BD106" s="556" t="s">
        <v>837</v>
      </c>
      <c r="BE106" s="556" t="s">
        <v>837</v>
      </c>
      <c r="BF106" s="612"/>
      <c r="BG106" s="612"/>
      <c r="BH106" s="612"/>
      <c r="BI106" s="576"/>
      <c r="BJ106" s="576"/>
      <c r="BK106" s="576"/>
      <c r="BL106" s="602"/>
      <c r="BM106" s="553" t="s">
        <v>837</v>
      </c>
      <c r="BN106" s="612" t="s">
        <v>837</v>
      </c>
      <c r="BO106" s="576"/>
      <c r="BP106" s="606"/>
      <c r="BQ106" s="576"/>
      <c r="BR106" s="570"/>
      <c r="BS106" s="547"/>
      <c r="BT106" s="549"/>
      <c r="BU106" s="549"/>
      <c r="BV106" s="549"/>
      <c r="BW106" s="549"/>
      <c r="BX106" s="549"/>
      <c r="BY106" s="549"/>
      <c r="BZ106" s="549"/>
      <c r="CA106" s="549"/>
      <c r="CB106" s="549"/>
      <c r="CC106" s="549"/>
      <c r="CD106" s="548"/>
      <c r="CE106" s="547"/>
      <c r="CF106" s="549"/>
      <c r="CG106" s="549"/>
      <c r="CH106" s="549"/>
      <c r="CI106" s="549"/>
      <c r="CJ106" s="549"/>
      <c r="CK106" s="549"/>
      <c r="CL106" s="549"/>
      <c r="CM106" s="549"/>
      <c r="CN106" s="548"/>
      <c r="CO106" s="640"/>
      <c r="CP106" s="640"/>
      <c r="CQ106" s="640"/>
      <c r="CR106" s="640"/>
      <c r="CS106" s="640"/>
      <c r="CT106" s="640"/>
      <c r="CU106" s="640"/>
      <c r="CV106" s="640"/>
      <c r="CW106" s="640"/>
      <c r="CX106" s="640"/>
      <c r="CY106" s="640"/>
      <c r="CZ106" s="640"/>
      <c r="DA106" s="640"/>
      <c r="DB106" s="640"/>
      <c r="DC106" s="640"/>
      <c r="DD106" s="640"/>
      <c r="DE106" s="640"/>
      <c r="DF106" s="640"/>
      <c r="DG106" s="640"/>
      <c r="DH106" s="640"/>
      <c r="DI106" s="641"/>
      <c r="DJ106" s="641"/>
      <c r="DK106" s="641"/>
      <c r="DL106" s="641"/>
      <c r="DM106" s="641"/>
      <c r="DN106" s="641"/>
      <c r="DO106" s="641"/>
      <c r="DP106" s="576"/>
      <c r="DQ106" s="576"/>
      <c r="DR106" s="576"/>
      <c r="DS106" s="576"/>
      <c r="DT106" s="576"/>
      <c r="DU106" s="576"/>
      <c r="DV106" s="576"/>
      <c r="DW106" s="576"/>
      <c r="DX106" s="576"/>
      <c r="DY106" s="576"/>
      <c r="DZ106" s="576"/>
      <c r="EA106" s="576"/>
      <c r="EB106" s="576"/>
      <c r="EC106" s="576"/>
      <c r="ED106" s="576"/>
      <c r="EE106" s="576"/>
      <c r="EF106" s="576"/>
      <c r="EG106" s="576"/>
      <c r="EH106" s="576"/>
    </row>
    <row r="107" spans="1:138" s="14" customFormat="1" x14ac:dyDescent="0.25">
      <c r="A107" s="8">
        <v>103</v>
      </c>
      <c r="B107" s="19" t="s">
        <v>405</v>
      </c>
      <c r="C107" s="19"/>
      <c r="D107" s="19"/>
      <c r="E107" s="19" t="s">
        <v>75</v>
      </c>
      <c r="F107" s="19"/>
      <c r="G107" s="19" t="s">
        <v>6</v>
      </c>
      <c r="H107" s="556" t="s">
        <v>837</v>
      </c>
      <c r="I107" s="556" t="s">
        <v>837</v>
      </c>
      <c r="J107" s="556" t="s">
        <v>837</v>
      </c>
      <c r="K107" s="556" t="s">
        <v>837</v>
      </c>
      <c r="L107" s="556" t="s">
        <v>837</v>
      </c>
      <c r="M107" s="556" t="s">
        <v>837</v>
      </c>
      <c r="N107" s="556" t="s">
        <v>837</v>
      </c>
      <c r="O107" s="556" t="s">
        <v>837</v>
      </c>
      <c r="P107" s="556" t="s">
        <v>837</v>
      </c>
      <c r="Q107" s="556" t="s">
        <v>837</v>
      </c>
      <c r="R107" s="556" t="s">
        <v>837</v>
      </c>
      <c r="S107" s="556" t="s">
        <v>837</v>
      </c>
      <c r="T107" s="556"/>
      <c r="U107" s="556" t="s">
        <v>837</v>
      </c>
      <c r="V107" s="556" t="s">
        <v>837</v>
      </c>
      <c r="W107" s="556" t="s">
        <v>837</v>
      </c>
      <c r="X107" s="556" t="s">
        <v>837</v>
      </c>
      <c r="Y107" s="556" t="s">
        <v>837</v>
      </c>
      <c r="Z107" s="556" t="s">
        <v>837</v>
      </c>
      <c r="AA107" s="556" t="s">
        <v>837</v>
      </c>
      <c r="AB107" s="556" t="s">
        <v>837</v>
      </c>
      <c r="AC107" s="556" t="s">
        <v>837</v>
      </c>
      <c r="AD107" s="556" t="s">
        <v>837</v>
      </c>
      <c r="AE107" s="556" t="s">
        <v>837</v>
      </c>
      <c r="AF107" s="556" t="s">
        <v>837</v>
      </c>
      <c r="AG107" s="556" t="s">
        <v>837</v>
      </c>
      <c r="AH107" s="556" t="s">
        <v>837</v>
      </c>
      <c r="AI107" s="556" t="s">
        <v>837</v>
      </c>
      <c r="AJ107" s="556" t="s">
        <v>837</v>
      </c>
      <c r="AK107" s="556" t="s">
        <v>837</v>
      </c>
      <c r="AL107" s="556" t="s">
        <v>837</v>
      </c>
      <c r="AM107" s="556" t="s">
        <v>837</v>
      </c>
      <c r="AN107" s="556" t="s">
        <v>837</v>
      </c>
      <c r="AO107" s="556" t="s">
        <v>837</v>
      </c>
      <c r="AP107" s="556" t="s">
        <v>837</v>
      </c>
      <c r="AQ107" s="556" t="s">
        <v>837</v>
      </c>
      <c r="AR107" s="556" t="s">
        <v>837</v>
      </c>
      <c r="AS107" s="556" t="s">
        <v>837</v>
      </c>
      <c r="AT107" s="556" t="s">
        <v>837</v>
      </c>
      <c r="AU107" s="556" t="s">
        <v>837</v>
      </c>
      <c r="AV107" s="556" t="s">
        <v>837</v>
      </c>
      <c r="AW107" s="556" t="s">
        <v>837</v>
      </c>
      <c r="AX107" s="556" t="s">
        <v>837</v>
      </c>
      <c r="AY107" s="556" t="s">
        <v>837</v>
      </c>
      <c r="AZ107" s="556" t="s">
        <v>837</v>
      </c>
      <c r="BA107" s="556" t="s">
        <v>837</v>
      </c>
      <c r="BB107" s="556" t="s">
        <v>837</v>
      </c>
      <c r="BC107" s="556" t="s">
        <v>837</v>
      </c>
      <c r="BD107" s="556" t="s">
        <v>837</v>
      </c>
      <c r="BE107" s="556" t="s">
        <v>837</v>
      </c>
      <c r="BF107" s="638"/>
      <c r="BG107" s="638"/>
      <c r="BH107" s="638"/>
      <c r="BI107" s="577"/>
      <c r="BJ107" s="577"/>
      <c r="BK107" s="577"/>
      <c r="BL107" s="603"/>
      <c r="BM107" s="553" t="s">
        <v>837</v>
      </c>
      <c r="BN107" s="612" t="s">
        <v>837</v>
      </c>
      <c r="BO107" s="577"/>
      <c r="BP107" s="607"/>
      <c r="BQ107" s="577"/>
      <c r="BR107" s="560"/>
      <c r="BS107" s="547"/>
      <c r="BT107" s="549"/>
      <c r="BU107" s="549"/>
      <c r="BV107" s="549"/>
      <c r="BW107" s="549"/>
      <c r="BX107" s="549"/>
      <c r="BY107" s="549"/>
      <c r="BZ107" s="549"/>
      <c r="CA107" s="549"/>
      <c r="CB107" s="549"/>
      <c r="CC107" s="549"/>
      <c r="CD107" s="548"/>
      <c r="CE107" s="547"/>
      <c r="CF107" s="549"/>
      <c r="CG107" s="549"/>
      <c r="CH107" s="549"/>
      <c r="CI107" s="549"/>
      <c r="CJ107" s="549"/>
      <c r="CK107" s="549"/>
      <c r="CL107" s="549"/>
      <c r="CM107" s="549"/>
      <c r="CN107" s="548"/>
      <c r="CO107" s="638"/>
      <c r="CP107" s="638"/>
      <c r="CQ107" s="638"/>
      <c r="CR107" s="638"/>
      <c r="CS107" s="638"/>
      <c r="CT107" s="638"/>
      <c r="CU107" s="638"/>
      <c r="CV107" s="638"/>
      <c r="CW107" s="638"/>
      <c r="CX107" s="638"/>
      <c r="CY107" s="638"/>
      <c r="CZ107" s="638"/>
      <c r="DA107" s="638"/>
      <c r="DB107" s="638"/>
      <c r="DC107" s="638"/>
      <c r="DD107" s="638"/>
      <c r="DE107" s="638"/>
      <c r="DF107" s="638"/>
      <c r="DG107" s="638"/>
      <c r="DH107" s="638"/>
      <c r="DI107" s="607"/>
      <c r="DJ107" s="607"/>
      <c r="DK107" s="607"/>
      <c r="DL107" s="607"/>
      <c r="DM107" s="607"/>
      <c r="DN107" s="607"/>
      <c r="DO107" s="607"/>
      <c r="DP107" s="577"/>
      <c r="DQ107" s="577"/>
      <c r="DR107" s="577"/>
      <c r="DS107" s="577"/>
      <c r="DT107" s="577"/>
      <c r="DU107" s="577"/>
      <c r="DV107" s="577"/>
      <c r="DW107" s="577"/>
      <c r="DX107" s="577"/>
      <c r="DY107" s="577"/>
      <c r="DZ107" s="577"/>
      <c r="EA107" s="577"/>
      <c r="EB107" s="577"/>
      <c r="EC107" s="577"/>
      <c r="ED107" s="577"/>
      <c r="EE107" s="577"/>
      <c r="EF107" s="577"/>
      <c r="EG107" s="577"/>
      <c r="EH107" s="577"/>
    </row>
    <row r="108" spans="1:138" s="14" customFormat="1" x14ac:dyDescent="0.25">
      <c r="A108" s="8">
        <v>104</v>
      </c>
      <c r="B108" s="19" t="s">
        <v>732</v>
      </c>
      <c r="C108" s="19"/>
      <c r="D108" s="19" t="s">
        <v>1</v>
      </c>
      <c r="E108" s="19" t="s">
        <v>75</v>
      </c>
      <c r="F108" s="19" t="s">
        <v>8</v>
      </c>
      <c r="G108" s="19" t="s">
        <v>837</v>
      </c>
      <c r="H108" s="556" t="s">
        <v>837</v>
      </c>
      <c r="I108" s="556" t="s">
        <v>837</v>
      </c>
      <c r="J108" s="556" t="s">
        <v>837</v>
      </c>
      <c r="K108" s="556" t="s">
        <v>837</v>
      </c>
      <c r="L108" s="556" t="s">
        <v>837</v>
      </c>
      <c r="M108" s="556" t="s">
        <v>837</v>
      </c>
      <c r="N108" s="556" t="s">
        <v>837</v>
      </c>
      <c r="O108" s="556" t="s">
        <v>837</v>
      </c>
      <c r="P108" s="556" t="s">
        <v>837</v>
      </c>
      <c r="Q108" s="556" t="s">
        <v>837</v>
      </c>
      <c r="R108" s="556" t="s">
        <v>837</v>
      </c>
      <c r="S108" s="556" t="s">
        <v>837</v>
      </c>
      <c r="T108" s="556" t="s">
        <v>837</v>
      </c>
      <c r="U108" s="556" t="s">
        <v>837</v>
      </c>
      <c r="V108" s="556" t="s">
        <v>837</v>
      </c>
      <c r="W108" s="556" t="s">
        <v>837</v>
      </c>
      <c r="X108" s="556" t="s">
        <v>837</v>
      </c>
      <c r="Y108" s="556" t="s">
        <v>837</v>
      </c>
      <c r="Z108" s="556" t="s">
        <v>837</v>
      </c>
      <c r="AA108" s="556" t="s">
        <v>837</v>
      </c>
      <c r="AB108" s="556" t="s">
        <v>837</v>
      </c>
      <c r="AC108" s="556" t="s">
        <v>837</v>
      </c>
      <c r="AD108" s="556" t="s">
        <v>837</v>
      </c>
      <c r="AE108" s="556" t="s">
        <v>837</v>
      </c>
      <c r="AF108" s="556" t="s">
        <v>837</v>
      </c>
      <c r="AG108" s="556" t="s">
        <v>837</v>
      </c>
      <c r="AH108" s="556" t="s">
        <v>837</v>
      </c>
      <c r="AI108" s="556" t="s">
        <v>837</v>
      </c>
      <c r="AJ108" s="556" t="s">
        <v>837</v>
      </c>
      <c r="AK108" s="556" t="s">
        <v>837</v>
      </c>
      <c r="AL108" s="556" t="s">
        <v>837</v>
      </c>
      <c r="AM108" s="556" t="s">
        <v>837</v>
      </c>
      <c r="AN108" s="556" t="s">
        <v>837</v>
      </c>
      <c r="AO108" s="556" t="s">
        <v>837</v>
      </c>
      <c r="AP108" s="556" t="s">
        <v>837</v>
      </c>
      <c r="AQ108" s="556" t="s">
        <v>837</v>
      </c>
      <c r="AR108" s="556" t="s">
        <v>837</v>
      </c>
      <c r="AS108" s="556" t="s">
        <v>837</v>
      </c>
      <c r="AT108" s="556" t="s">
        <v>837</v>
      </c>
      <c r="AU108" s="556" t="s">
        <v>837</v>
      </c>
      <c r="AV108" s="556" t="s">
        <v>837</v>
      </c>
      <c r="AW108" s="556" t="s">
        <v>837</v>
      </c>
      <c r="AX108" s="556" t="s">
        <v>837</v>
      </c>
      <c r="AY108" s="556" t="s">
        <v>837</v>
      </c>
      <c r="AZ108" s="556" t="s">
        <v>837</v>
      </c>
      <c r="BA108" s="556" t="s">
        <v>837</v>
      </c>
      <c r="BB108" s="556" t="s">
        <v>837</v>
      </c>
      <c r="BC108" s="556" t="s">
        <v>837</v>
      </c>
      <c r="BD108" s="556" t="s">
        <v>837</v>
      </c>
      <c r="BE108" s="556" t="s">
        <v>837</v>
      </c>
      <c r="BF108" s="614"/>
      <c r="BG108" s="614"/>
      <c r="BH108" s="614"/>
      <c r="BI108" s="576"/>
      <c r="BJ108" s="576"/>
      <c r="BK108" s="576"/>
      <c r="BL108" s="602"/>
      <c r="BM108" s="553">
        <v>40001</v>
      </c>
      <c r="BN108" s="612">
        <v>40001</v>
      </c>
      <c r="BO108" s="576"/>
      <c r="BP108" s="606"/>
      <c r="BQ108" s="576"/>
      <c r="BR108" s="570"/>
      <c r="BS108" s="547"/>
      <c r="BT108" s="549"/>
      <c r="BU108" s="549"/>
      <c r="BV108" s="549"/>
      <c r="BW108" s="549"/>
      <c r="BX108" s="549"/>
      <c r="BY108" s="549"/>
      <c r="BZ108" s="549"/>
      <c r="CA108" s="549"/>
      <c r="CB108" s="549"/>
      <c r="CC108" s="549"/>
      <c r="CD108" s="548"/>
      <c r="CE108" s="547"/>
      <c r="CF108" s="549"/>
      <c r="CG108" s="549"/>
      <c r="CH108" s="549"/>
      <c r="CI108" s="549"/>
      <c r="CJ108" s="549"/>
      <c r="CK108" s="549"/>
      <c r="CL108" s="549"/>
      <c r="CM108" s="549"/>
      <c r="CN108" s="548"/>
      <c r="CO108" s="640"/>
      <c r="CP108" s="640"/>
      <c r="CQ108" s="640"/>
      <c r="CR108" s="640"/>
      <c r="CS108" s="640"/>
      <c r="CT108" s="640"/>
      <c r="CU108" s="640"/>
      <c r="CV108" s="640"/>
      <c r="CW108" s="640"/>
      <c r="CX108" s="640"/>
      <c r="CY108" s="640"/>
      <c r="CZ108" s="640"/>
      <c r="DA108" s="640"/>
      <c r="DB108" s="640"/>
      <c r="DC108" s="640"/>
      <c r="DD108" s="640"/>
      <c r="DE108" s="640"/>
      <c r="DF108" s="640"/>
      <c r="DG108" s="640"/>
      <c r="DH108" s="640"/>
      <c r="DI108" s="641"/>
      <c r="DJ108" s="641"/>
      <c r="DK108" s="641"/>
      <c r="DL108" s="641"/>
      <c r="DM108" s="641"/>
      <c r="DN108" s="641"/>
      <c r="DO108" s="641"/>
      <c r="DP108" s="576"/>
      <c r="DQ108" s="576"/>
      <c r="DR108" s="576"/>
      <c r="DS108" s="576"/>
      <c r="DT108" s="576"/>
      <c r="DU108" s="576"/>
      <c r="DV108" s="576"/>
      <c r="DW108" s="576"/>
      <c r="DX108" s="576"/>
      <c r="DY108" s="576"/>
      <c r="DZ108" s="576"/>
      <c r="EA108" s="576"/>
      <c r="EB108" s="576"/>
      <c r="EC108" s="576"/>
      <c r="ED108" s="576"/>
      <c r="EE108" s="576"/>
      <c r="EF108" s="576"/>
      <c r="EG108" s="576"/>
      <c r="EH108" s="576"/>
    </row>
    <row r="109" spans="1:138" s="14" customFormat="1" x14ac:dyDescent="0.25">
      <c r="A109" s="8">
        <v>105</v>
      </c>
      <c r="B109" s="526" t="s">
        <v>731</v>
      </c>
      <c r="C109" s="526"/>
      <c r="D109" s="19" t="s">
        <v>1</v>
      </c>
      <c r="E109" s="19" t="s">
        <v>75</v>
      </c>
      <c r="F109" s="19" t="s">
        <v>8</v>
      </c>
      <c r="G109" s="19" t="s">
        <v>837</v>
      </c>
      <c r="H109" s="556" t="s">
        <v>837</v>
      </c>
      <c r="I109" s="556">
        <v>10002</v>
      </c>
      <c r="J109" s="556" t="s">
        <v>837</v>
      </c>
      <c r="K109" s="556">
        <v>10004</v>
      </c>
      <c r="L109" s="556" t="s">
        <v>837</v>
      </c>
      <c r="M109" s="556" t="s">
        <v>837</v>
      </c>
      <c r="N109" s="556">
        <v>10002</v>
      </c>
      <c r="O109" s="556" t="s">
        <v>837</v>
      </c>
      <c r="P109" s="556">
        <v>10004</v>
      </c>
      <c r="Q109" s="556" t="s">
        <v>837</v>
      </c>
      <c r="R109" s="556" t="s">
        <v>837</v>
      </c>
      <c r="S109" s="556">
        <v>10002</v>
      </c>
      <c r="T109" s="556" t="s">
        <v>837</v>
      </c>
      <c r="U109" s="556">
        <v>10004</v>
      </c>
      <c r="V109" s="556" t="s">
        <v>837</v>
      </c>
      <c r="W109" s="556" t="s">
        <v>837</v>
      </c>
      <c r="X109" s="556" t="s">
        <v>837</v>
      </c>
      <c r="Y109" s="556" t="s">
        <v>837</v>
      </c>
      <c r="Z109" s="556" t="s">
        <v>837</v>
      </c>
      <c r="AA109" s="556" t="s">
        <v>837</v>
      </c>
      <c r="AB109" s="556" t="s">
        <v>837</v>
      </c>
      <c r="AC109" s="556">
        <v>10002</v>
      </c>
      <c r="AD109" s="556" t="s">
        <v>837</v>
      </c>
      <c r="AE109" s="556">
        <v>10004</v>
      </c>
      <c r="AF109" s="556" t="s">
        <v>837</v>
      </c>
      <c r="AG109" s="556" t="s">
        <v>837</v>
      </c>
      <c r="AH109" s="556">
        <v>10002</v>
      </c>
      <c r="AI109" s="556" t="s">
        <v>837</v>
      </c>
      <c r="AJ109" s="556">
        <v>10004</v>
      </c>
      <c r="AK109" s="556" t="s">
        <v>837</v>
      </c>
      <c r="AL109" s="556" t="s">
        <v>837</v>
      </c>
      <c r="AM109" s="556">
        <v>10002</v>
      </c>
      <c r="AN109" s="556" t="s">
        <v>837</v>
      </c>
      <c r="AO109" s="556">
        <v>10004</v>
      </c>
      <c r="AP109" s="556" t="s">
        <v>837</v>
      </c>
      <c r="AQ109" s="556" t="s">
        <v>837</v>
      </c>
      <c r="AR109" s="556">
        <v>10002</v>
      </c>
      <c r="AS109" s="556" t="s">
        <v>837</v>
      </c>
      <c r="AT109" s="556">
        <v>10004</v>
      </c>
      <c r="AU109" s="556" t="s">
        <v>837</v>
      </c>
      <c r="AV109" s="556" t="s">
        <v>837</v>
      </c>
      <c r="AW109" s="556" t="s">
        <v>837</v>
      </c>
      <c r="AX109" s="556" t="s">
        <v>837</v>
      </c>
      <c r="AY109" s="556" t="s">
        <v>837</v>
      </c>
      <c r="AZ109" s="556" t="s">
        <v>837</v>
      </c>
      <c r="BA109" s="556" t="s">
        <v>837</v>
      </c>
      <c r="BB109" s="556">
        <v>10002</v>
      </c>
      <c r="BC109" s="556" t="s">
        <v>837</v>
      </c>
      <c r="BD109" s="556">
        <v>10004</v>
      </c>
      <c r="BE109" s="556" t="s">
        <v>837</v>
      </c>
      <c r="BF109" s="614"/>
      <c r="BG109" s="614"/>
      <c r="BH109" s="614"/>
      <c r="BI109" s="576"/>
      <c r="BJ109" s="576"/>
      <c r="BK109" s="576"/>
      <c r="BL109" s="602"/>
      <c r="BM109" s="553" t="s">
        <v>837</v>
      </c>
      <c r="BN109" s="612" t="s">
        <v>837</v>
      </c>
      <c r="BO109" s="576"/>
      <c r="BP109" s="606"/>
      <c r="BQ109" s="576"/>
      <c r="BR109" s="570"/>
      <c r="BS109" s="547"/>
      <c r="BT109" s="549"/>
      <c r="BU109" s="549"/>
      <c r="BV109" s="549"/>
      <c r="BW109" s="549"/>
      <c r="BX109" s="549"/>
      <c r="BY109" s="549"/>
      <c r="BZ109" s="549"/>
      <c r="CA109" s="549"/>
      <c r="CB109" s="549"/>
      <c r="CC109" s="549"/>
      <c r="CD109" s="548"/>
      <c r="CE109" s="547"/>
      <c r="CF109" s="549"/>
      <c r="CG109" s="549"/>
      <c r="CH109" s="549"/>
      <c r="CI109" s="549"/>
      <c r="CJ109" s="549"/>
      <c r="CK109" s="549"/>
      <c r="CL109" s="549"/>
      <c r="CM109" s="549"/>
      <c r="CN109" s="548"/>
      <c r="CO109" s="640"/>
      <c r="CP109" s="640"/>
      <c r="CQ109" s="640"/>
      <c r="CR109" s="640"/>
      <c r="CS109" s="640"/>
      <c r="CT109" s="640"/>
      <c r="CU109" s="640"/>
      <c r="CV109" s="640"/>
      <c r="CW109" s="640"/>
      <c r="CX109" s="640"/>
      <c r="CY109" s="640"/>
      <c r="CZ109" s="640"/>
      <c r="DA109" s="640"/>
      <c r="DB109" s="640"/>
      <c r="DC109" s="640"/>
      <c r="DD109" s="640"/>
      <c r="DE109" s="640"/>
      <c r="DF109" s="640"/>
      <c r="DG109" s="640"/>
      <c r="DH109" s="640"/>
      <c r="DI109" s="641"/>
      <c r="DJ109" s="641"/>
      <c r="DK109" s="641"/>
      <c r="DL109" s="641"/>
      <c r="DM109" s="641"/>
      <c r="DN109" s="641"/>
      <c r="DO109" s="641"/>
      <c r="DP109" s="576"/>
      <c r="DQ109" s="576"/>
      <c r="DR109" s="576"/>
      <c r="DS109" s="576"/>
      <c r="DT109" s="576"/>
      <c r="DU109" s="576"/>
      <c r="DV109" s="576"/>
      <c r="DW109" s="576"/>
      <c r="DX109" s="576"/>
      <c r="DY109" s="576"/>
      <c r="DZ109" s="576"/>
      <c r="EA109" s="576"/>
      <c r="EB109" s="576"/>
      <c r="EC109" s="576"/>
      <c r="ED109" s="576"/>
      <c r="EE109" s="576"/>
      <c r="EF109" s="576"/>
      <c r="EG109" s="576"/>
      <c r="EH109" s="576"/>
    </row>
    <row r="110" spans="1:138" s="14" customFormat="1" x14ac:dyDescent="0.25">
      <c r="A110" s="8">
        <v>106</v>
      </c>
      <c r="B110" s="19" t="s">
        <v>730</v>
      </c>
      <c r="C110" s="19"/>
      <c r="D110" s="19" t="s">
        <v>1</v>
      </c>
      <c r="E110" s="19" t="s">
        <v>75</v>
      </c>
      <c r="F110" s="19" t="s">
        <v>8</v>
      </c>
      <c r="G110" s="19" t="s">
        <v>837</v>
      </c>
      <c r="H110" s="556" t="s">
        <v>837</v>
      </c>
      <c r="I110" s="556" t="s">
        <v>837</v>
      </c>
      <c r="J110" s="556" t="s">
        <v>837</v>
      </c>
      <c r="K110" s="556" t="s">
        <v>837</v>
      </c>
      <c r="L110" s="556" t="s">
        <v>837</v>
      </c>
      <c r="M110" s="556" t="s">
        <v>837</v>
      </c>
      <c r="N110" s="556" t="s">
        <v>837</v>
      </c>
      <c r="O110" s="556" t="s">
        <v>837</v>
      </c>
      <c r="P110" s="556" t="s">
        <v>837</v>
      </c>
      <c r="Q110" s="556" t="s">
        <v>837</v>
      </c>
      <c r="R110" s="556" t="s">
        <v>837</v>
      </c>
      <c r="S110" s="556" t="s">
        <v>837</v>
      </c>
      <c r="T110" s="556" t="s">
        <v>837</v>
      </c>
      <c r="U110" s="556" t="s">
        <v>837</v>
      </c>
      <c r="V110" s="556" t="s">
        <v>837</v>
      </c>
      <c r="W110" s="556" t="s">
        <v>837</v>
      </c>
      <c r="X110" s="556" t="s">
        <v>837</v>
      </c>
      <c r="Y110" s="556" t="s">
        <v>837</v>
      </c>
      <c r="Z110" s="556" t="s">
        <v>837</v>
      </c>
      <c r="AA110" s="556" t="s">
        <v>837</v>
      </c>
      <c r="AB110" s="556" t="s">
        <v>837</v>
      </c>
      <c r="AC110" s="556" t="s">
        <v>837</v>
      </c>
      <c r="AD110" s="556" t="s">
        <v>837</v>
      </c>
      <c r="AE110" s="556" t="s">
        <v>837</v>
      </c>
      <c r="AF110" s="556" t="s">
        <v>837</v>
      </c>
      <c r="AG110" s="556" t="s">
        <v>837</v>
      </c>
      <c r="AH110" s="556" t="s">
        <v>837</v>
      </c>
      <c r="AI110" s="556" t="s">
        <v>837</v>
      </c>
      <c r="AJ110" s="556" t="s">
        <v>837</v>
      </c>
      <c r="AK110" s="556" t="s">
        <v>837</v>
      </c>
      <c r="AL110" s="556" t="s">
        <v>837</v>
      </c>
      <c r="AM110" s="556" t="s">
        <v>837</v>
      </c>
      <c r="AN110" s="556" t="s">
        <v>837</v>
      </c>
      <c r="AO110" s="556" t="s">
        <v>837</v>
      </c>
      <c r="AP110" s="556" t="s">
        <v>837</v>
      </c>
      <c r="AQ110" s="556" t="s">
        <v>837</v>
      </c>
      <c r="AR110" s="556" t="s">
        <v>837</v>
      </c>
      <c r="AS110" s="556" t="s">
        <v>837</v>
      </c>
      <c r="AT110" s="556" t="s">
        <v>837</v>
      </c>
      <c r="AU110" s="556" t="s">
        <v>837</v>
      </c>
      <c r="AV110" s="556" t="s">
        <v>837</v>
      </c>
      <c r="AW110" s="556" t="s">
        <v>837</v>
      </c>
      <c r="AX110" s="556" t="s">
        <v>837</v>
      </c>
      <c r="AY110" s="556" t="s">
        <v>837</v>
      </c>
      <c r="AZ110" s="556" t="s">
        <v>837</v>
      </c>
      <c r="BA110" s="556" t="s">
        <v>837</v>
      </c>
      <c r="BB110" s="556" t="s">
        <v>837</v>
      </c>
      <c r="BC110" s="556" t="s">
        <v>837</v>
      </c>
      <c r="BD110" s="556" t="s">
        <v>837</v>
      </c>
      <c r="BE110" s="556" t="s">
        <v>837</v>
      </c>
      <c r="BF110" s="612"/>
      <c r="BG110" s="612"/>
      <c r="BH110" s="612"/>
      <c r="BI110" s="576"/>
      <c r="BJ110" s="576"/>
      <c r="BK110" s="576"/>
      <c r="BL110" s="602"/>
      <c r="BM110" s="553" t="s">
        <v>837</v>
      </c>
      <c r="BN110" s="612" t="s">
        <v>837</v>
      </c>
      <c r="BO110" s="576"/>
      <c r="BP110" s="606"/>
      <c r="BQ110" s="576"/>
      <c r="BR110" s="570"/>
      <c r="BS110" s="547"/>
      <c r="BT110" s="549"/>
      <c r="BU110" s="549"/>
      <c r="BV110" s="549"/>
      <c r="BW110" s="549"/>
      <c r="BX110" s="549"/>
      <c r="BY110" s="549"/>
      <c r="BZ110" s="549"/>
      <c r="CA110" s="549"/>
      <c r="CB110" s="549"/>
      <c r="CC110" s="549"/>
      <c r="CD110" s="548"/>
      <c r="CE110" s="547"/>
      <c r="CF110" s="549"/>
      <c r="CG110" s="549"/>
      <c r="CH110" s="549"/>
      <c r="CI110" s="549"/>
      <c r="CJ110" s="549"/>
      <c r="CK110" s="549"/>
      <c r="CL110" s="549"/>
      <c r="CM110" s="549"/>
      <c r="CN110" s="548"/>
      <c r="CO110" s="640"/>
      <c r="CP110" s="640"/>
      <c r="CQ110" s="640"/>
      <c r="CR110" s="640"/>
      <c r="CS110" s="640"/>
      <c r="CT110" s="640"/>
      <c r="CU110" s="640"/>
      <c r="CV110" s="640"/>
      <c r="CW110" s="640"/>
      <c r="CX110" s="640"/>
      <c r="CY110" s="640"/>
      <c r="CZ110" s="640"/>
      <c r="DA110" s="640"/>
      <c r="DB110" s="640"/>
      <c r="DC110" s="640"/>
      <c r="DD110" s="640"/>
      <c r="DE110" s="640"/>
      <c r="DF110" s="640"/>
      <c r="DG110" s="640"/>
      <c r="DH110" s="640"/>
      <c r="DI110" s="641"/>
      <c r="DJ110" s="641"/>
      <c r="DK110" s="641"/>
      <c r="DL110" s="641"/>
      <c r="DM110" s="641"/>
      <c r="DN110" s="641"/>
      <c r="DO110" s="641"/>
      <c r="DP110" s="576"/>
      <c r="DQ110" s="576"/>
      <c r="DR110" s="576"/>
      <c r="DS110" s="576"/>
      <c r="DT110" s="576"/>
      <c r="DU110" s="576"/>
      <c r="DV110" s="576"/>
      <c r="DW110" s="576"/>
      <c r="DX110" s="576"/>
      <c r="DY110" s="576"/>
      <c r="DZ110" s="576"/>
      <c r="EA110" s="576"/>
      <c r="EB110" s="576"/>
      <c r="EC110" s="576"/>
      <c r="ED110" s="576"/>
      <c r="EE110" s="576"/>
      <c r="EF110" s="576"/>
      <c r="EG110" s="576"/>
      <c r="EH110" s="576"/>
    </row>
    <row r="111" spans="1:138" s="14" customFormat="1" x14ac:dyDescent="0.25">
      <c r="A111" s="8">
        <v>107</v>
      </c>
      <c r="B111" s="19" t="s">
        <v>406</v>
      </c>
      <c r="C111" s="19"/>
      <c r="D111" s="19"/>
      <c r="E111" s="19" t="s">
        <v>75</v>
      </c>
      <c r="F111" s="19"/>
      <c r="G111" s="19" t="s">
        <v>6</v>
      </c>
      <c r="H111" s="556" t="s">
        <v>837</v>
      </c>
      <c r="I111" s="556" t="s">
        <v>837</v>
      </c>
      <c r="J111" s="556" t="s">
        <v>837</v>
      </c>
      <c r="K111" s="556" t="s">
        <v>837</v>
      </c>
      <c r="L111" s="556" t="s">
        <v>837</v>
      </c>
      <c r="M111" s="556" t="s">
        <v>837</v>
      </c>
      <c r="N111" s="556" t="s">
        <v>837</v>
      </c>
      <c r="O111" s="556" t="s">
        <v>837</v>
      </c>
      <c r="P111" s="556" t="s">
        <v>837</v>
      </c>
      <c r="Q111" s="556" t="s">
        <v>837</v>
      </c>
      <c r="R111" s="556" t="s">
        <v>837</v>
      </c>
      <c r="S111" s="556" t="s">
        <v>837</v>
      </c>
      <c r="T111" s="556"/>
      <c r="U111" s="556" t="s">
        <v>837</v>
      </c>
      <c r="V111" s="556" t="s">
        <v>837</v>
      </c>
      <c r="W111" s="556" t="s">
        <v>837</v>
      </c>
      <c r="X111" s="556" t="s">
        <v>837</v>
      </c>
      <c r="Y111" s="556" t="s">
        <v>837</v>
      </c>
      <c r="Z111" s="556" t="s">
        <v>837</v>
      </c>
      <c r="AA111" s="556" t="s">
        <v>837</v>
      </c>
      <c r="AB111" s="556" t="s">
        <v>837</v>
      </c>
      <c r="AC111" s="556" t="s">
        <v>837</v>
      </c>
      <c r="AD111" s="556" t="s">
        <v>837</v>
      </c>
      <c r="AE111" s="556" t="s">
        <v>837</v>
      </c>
      <c r="AF111" s="556" t="s">
        <v>837</v>
      </c>
      <c r="AG111" s="556" t="s">
        <v>837</v>
      </c>
      <c r="AH111" s="556" t="s">
        <v>837</v>
      </c>
      <c r="AI111" s="556" t="s">
        <v>837</v>
      </c>
      <c r="AJ111" s="556" t="s">
        <v>837</v>
      </c>
      <c r="AK111" s="556" t="s">
        <v>837</v>
      </c>
      <c r="AL111" s="556" t="s">
        <v>837</v>
      </c>
      <c r="AM111" s="556" t="s">
        <v>837</v>
      </c>
      <c r="AN111" s="556" t="s">
        <v>837</v>
      </c>
      <c r="AO111" s="556" t="s">
        <v>837</v>
      </c>
      <c r="AP111" s="556" t="s">
        <v>837</v>
      </c>
      <c r="AQ111" s="556" t="s">
        <v>837</v>
      </c>
      <c r="AR111" s="556" t="s">
        <v>837</v>
      </c>
      <c r="AS111" s="556" t="s">
        <v>837</v>
      </c>
      <c r="AT111" s="556" t="s">
        <v>837</v>
      </c>
      <c r="AU111" s="556" t="s">
        <v>837</v>
      </c>
      <c r="AV111" s="556" t="s">
        <v>837</v>
      </c>
      <c r="AW111" s="556" t="s">
        <v>837</v>
      </c>
      <c r="AX111" s="556" t="s">
        <v>837</v>
      </c>
      <c r="AY111" s="556" t="s">
        <v>837</v>
      </c>
      <c r="AZ111" s="556" t="s">
        <v>837</v>
      </c>
      <c r="BA111" s="556" t="s">
        <v>837</v>
      </c>
      <c r="BB111" s="556" t="s">
        <v>837</v>
      </c>
      <c r="BC111" s="556" t="s">
        <v>837</v>
      </c>
      <c r="BD111" s="556" t="s">
        <v>837</v>
      </c>
      <c r="BE111" s="556" t="s">
        <v>837</v>
      </c>
      <c r="BF111" s="638"/>
      <c r="BG111" s="638"/>
      <c r="BH111" s="638"/>
      <c r="BI111" s="577"/>
      <c r="BJ111" s="577"/>
      <c r="BK111" s="577"/>
      <c r="BL111" s="603"/>
      <c r="BM111" s="553" t="s">
        <v>837</v>
      </c>
      <c r="BN111" s="612" t="s">
        <v>837</v>
      </c>
      <c r="BO111" s="577"/>
      <c r="BP111" s="607"/>
      <c r="BQ111" s="577"/>
      <c r="BR111" s="560"/>
      <c r="BS111" s="547"/>
      <c r="BT111" s="549"/>
      <c r="BU111" s="549"/>
      <c r="BV111" s="549"/>
      <c r="BW111" s="549"/>
      <c r="BX111" s="549"/>
      <c r="BY111" s="549"/>
      <c r="BZ111" s="549"/>
      <c r="CA111" s="549"/>
      <c r="CB111" s="549"/>
      <c r="CC111" s="549"/>
      <c r="CD111" s="548"/>
      <c r="CE111" s="547"/>
      <c r="CF111" s="549"/>
      <c r="CG111" s="549"/>
      <c r="CH111" s="549"/>
      <c r="CI111" s="549"/>
      <c r="CJ111" s="549"/>
      <c r="CK111" s="549"/>
      <c r="CL111" s="549"/>
      <c r="CM111" s="549"/>
      <c r="CN111" s="548"/>
      <c r="CO111" s="638"/>
      <c r="CP111" s="638"/>
      <c r="CQ111" s="638"/>
      <c r="CR111" s="638"/>
      <c r="CS111" s="638"/>
      <c r="CT111" s="638"/>
      <c r="CU111" s="638"/>
      <c r="CV111" s="638"/>
      <c r="CW111" s="638"/>
      <c r="CX111" s="638"/>
      <c r="CY111" s="638"/>
      <c r="CZ111" s="638"/>
      <c r="DA111" s="638"/>
      <c r="DB111" s="638"/>
      <c r="DC111" s="638"/>
      <c r="DD111" s="638"/>
      <c r="DE111" s="638"/>
      <c r="DF111" s="638"/>
      <c r="DG111" s="638"/>
      <c r="DH111" s="638"/>
      <c r="DI111" s="607"/>
      <c r="DJ111" s="607"/>
      <c r="DK111" s="607"/>
      <c r="DL111" s="607"/>
      <c r="DM111" s="607"/>
      <c r="DN111" s="607"/>
      <c r="DO111" s="607"/>
      <c r="DP111" s="577"/>
      <c r="DQ111" s="577"/>
      <c r="DR111" s="577"/>
      <c r="DS111" s="577"/>
      <c r="DT111" s="577"/>
      <c r="DU111" s="577"/>
      <c r="DV111" s="577"/>
      <c r="DW111" s="577"/>
      <c r="DX111" s="577"/>
      <c r="DY111" s="577"/>
      <c r="DZ111" s="577"/>
      <c r="EA111" s="577"/>
      <c r="EB111" s="577"/>
      <c r="EC111" s="577"/>
      <c r="ED111" s="577"/>
      <c r="EE111" s="577"/>
      <c r="EF111" s="577"/>
      <c r="EG111" s="577"/>
      <c r="EH111" s="577"/>
    </row>
    <row r="112" spans="1:138" s="14" customFormat="1" x14ac:dyDescent="0.25">
      <c r="A112" s="8">
        <v>108</v>
      </c>
      <c r="B112" s="4" t="s">
        <v>748</v>
      </c>
      <c r="C112" s="4"/>
      <c r="D112" s="4" t="s">
        <v>1</v>
      </c>
      <c r="E112" s="4" t="s">
        <v>75</v>
      </c>
      <c r="F112" s="19" t="s">
        <v>8</v>
      </c>
      <c r="G112" s="19" t="s">
        <v>837</v>
      </c>
      <c r="H112" s="556" t="s">
        <v>837</v>
      </c>
      <c r="I112" s="556" t="s">
        <v>837</v>
      </c>
      <c r="J112" s="556" t="s">
        <v>837</v>
      </c>
      <c r="K112" s="556" t="s">
        <v>837</v>
      </c>
      <c r="L112" s="556" t="s">
        <v>837</v>
      </c>
      <c r="M112" s="556" t="s">
        <v>837</v>
      </c>
      <c r="N112" s="556" t="s">
        <v>837</v>
      </c>
      <c r="O112" s="556" t="s">
        <v>837</v>
      </c>
      <c r="P112" s="556" t="s">
        <v>837</v>
      </c>
      <c r="Q112" s="556" t="s">
        <v>837</v>
      </c>
      <c r="R112" s="556" t="s">
        <v>837</v>
      </c>
      <c r="S112" s="556" t="s">
        <v>837</v>
      </c>
      <c r="T112" s="556" t="s">
        <v>837</v>
      </c>
      <c r="U112" s="556" t="s">
        <v>837</v>
      </c>
      <c r="V112" s="556" t="s">
        <v>837</v>
      </c>
      <c r="W112" s="556" t="s">
        <v>837</v>
      </c>
      <c r="X112" s="556" t="s">
        <v>837</v>
      </c>
      <c r="Y112" s="556" t="s">
        <v>837</v>
      </c>
      <c r="Z112" s="556" t="s">
        <v>837</v>
      </c>
      <c r="AA112" s="556" t="s">
        <v>837</v>
      </c>
      <c r="AB112" s="556" t="s">
        <v>837</v>
      </c>
      <c r="AC112" s="556" t="s">
        <v>837</v>
      </c>
      <c r="AD112" s="556" t="s">
        <v>837</v>
      </c>
      <c r="AE112" s="556" t="s">
        <v>837</v>
      </c>
      <c r="AF112" s="556" t="s">
        <v>837</v>
      </c>
      <c r="AG112" s="556" t="s">
        <v>837</v>
      </c>
      <c r="AH112" s="556" t="s">
        <v>837</v>
      </c>
      <c r="AI112" s="556" t="s">
        <v>837</v>
      </c>
      <c r="AJ112" s="556" t="s">
        <v>837</v>
      </c>
      <c r="AK112" s="556" t="s">
        <v>837</v>
      </c>
      <c r="AL112" s="556" t="s">
        <v>837</v>
      </c>
      <c r="AM112" s="556" t="s">
        <v>837</v>
      </c>
      <c r="AN112" s="556" t="s">
        <v>837</v>
      </c>
      <c r="AO112" s="556" t="s">
        <v>837</v>
      </c>
      <c r="AP112" s="556" t="s">
        <v>837</v>
      </c>
      <c r="AQ112" s="556" t="s">
        <v>837</v>
      </c>
      <c r="AR112" s="556" t="s">
        <v>837</v>
      </c>
      <c r="AS112" s="556" t="s">
        <v>837</v>
      </c>
      <c r="AT112" s="556" t="s">
        <v>837</v>
      </c>
      <c r="AU112" s="556" t="s">
        <v>837</v>
      </c>
      <c r="AV112" s="556" t="s">
        <v>837</v>
      </c>
      <c r="AW112" s="556" t="s">
        <v>837</v>
      </c>
      <c r="AX112" s="556" t="s">
        <v>837</v>
      </c>
      <c r="AY112" s="556" t="s">
        <v>837</v>
      </c>
      <c r="AZ112" s="556" t="s">
        <v>837</v>
      </c>
      <c r="BA112" s="556" t="s">
        <v>837</v>
      </c>
      <c r="BB112" s="556" t="s">
        <v>837</v>
      </c>
      <c r="BC112" s="556" t="s">
        <v>837</v>
      </c>
      <c r="BD112" s="556" t="s">
        <v>837</v>
      </c>
      <c r="BE112" s="556" t="s">
        <v>837</v>
      </c>
      <c r="BF112" s="612"/>
      <c r="BG112" s="612"/>
      <c r="BH112" s="612"/>
      <c r="BI112" s="576"/>
      <c r="BJ112" s="576"/>
      <c r="BK112" s="576"/>
      <c r="BL112" s="602"/>
      <c r="BM112" s="553" t="s">
        <v>837</v>
      </c>
      <c r="BN112" s="612" t="s">
        <v>837</v>
      </c>
      <c r="BO112" s="576"/>
      <c r="BP112" s="606"/>
      <c r="BQ112" s="576"/>
      <c r="BR112" s="570"/>
      <c r="BS112" s="547"/>
      <c r="BT112" s="549"/>
      <c r="BU112" s="549"/>
      <c r="BV112" s="549"/>
      <c r="BW112" s="549"/>
      <c r="BX112" s="549"/>
      <c r="BY112" s="549"/>
      <c r="BZ112" s="549"/>
      <c r="CA112" s="549"/>
      <c r="CB112" s="549"/>
      <c r="CC112" s="549"/>
      <c r="CD112" s="548"/>
      <c r="CE112" s="547"/>
      <c r="CF112" s="549"/>
      <c r="CG112" s="549"/>
      <c r="CH112" s="549"/>
      <c r="CI112" s="549"/>
      <c r="CJ112" s="549"/>
      <c r="CK112" s="549"/>
      <c r="CL112" s="549"/>
      <c r="CM112" s="549"/>
      <c r="CN112" s="548"/>
      <c r="CO112" s="640"/>
      <c r="CP112" s="640"/>
      <c r="CQ112" s="640"/>
      <c r="CR112" s="640"/>
      <c r="CS112" s="640"/>
      <c r="CT112" s="640"/>
      <c r="CU112" s="640"/>
      <c r="CV112" s="640"/>
      <c r="CW112" s="640"/>
      <c r="CX112" s="640"/>
      <c r="CY112" s="640"/>
      <c r="CZ112" s="640"/>
      <c r="DA112" s="640"/>
      <c r="DB112" s="640"/>
      <c r="DC112" s="640"/>
      <c r="DD112" s="640"/>
      <c r="DE112" s="640"/>
      <c r="DF112" s="640"/>
      <c r="DG112" s="640"/>
      <c r="DH112" s="640"/>
      <c r="DI112" s="641"/>
      <c r="DJ112" s="641"/>
      <c r="DK112" s="641"/>
      <c r="DL112" s="641"/>
      <c r="DM112" s="641"/>
      <c r="DN112" s="641"/>
      <c r="DO112" s="641"/>
      <c r="DP112" s="576"/>
      <c r="DQ112" s="576"/>
      <c r="DR112" s="576"/>
      <c r="DS112" s="576"/>
      <c r="DT112" s="576"/>
      <c r="DU112" s="576"/>
      <c r="DV112" s="576"/>
      <c r="DW112" s="576"/>
      <c r="DX112" s="576"/>
      <c r="DY112" s="576"/>
      <c r="DZ112" s="576"/>
      <c r="EA112" s="576"/>
      <c r="EB112" s="576"/>
      <c r="EC112" s="576"/>
      <c r="ED112" s="576"/>
      <c r="EE112" s="576"/>
      <c r="EF112" s="576"/>
      <c r="EG112" s="576"/>
      <c r="EH112" s="576"/>
    </row>
    <row r="113" spans="1:138" s="14" customFormat="1" x14ac:dyDescent="0.25">
      <c r="A113" s="8">
        <v>109</v>
      </c>
      <c r="B113" s="4" t="s">
        <v>38</v>
      </c>
      <c r="C113" s="4"/>
      <c r="D113" s="4" t="s">
        <v>1</v>
      </c>
      <c r="E113" s="4" t="s">
        <v>75</v>
      </c>
      <c r="F113" s="19" t="s">
        <v>8</v>
      </c>
      <c r="G113" s="19" t="s">
        <v>837</v>
      </c>
      <c r="H113" s="556" t="s">
        <v>837</v>
      </c>
      <c r="I113" s="556" t="s">
        <v>837</v>
      </c>
      <c r="J113" s="556" t="s">
        <v>837</v>
      </c>
      <c r="K113" s="556" t="s">
        <v>837</v>
      </c>
      <c r="L113" s="556" t="s">
        <v>837</v>
      </c>
      <c r="M113" s="556" t="s">
        <v>837</v>
      </c>
      <c r="N113" s="556" t="s">
        <v>837</v>
      </c>
      <c r="O113" s="556" t="s">
        <v>837</v>
      </c>
      <c r="P113" s="556" t="s">
        <v>837</v>
      </c>
      <c r="Q113" s="556" t="s">
        <v>837</v>
      </c>
      <c r="R113" s="556" t="s">
        <v>837</v>
      </c>
      <c r="S113" s="556" t="s">
        <v>837</v>
      </c>
      <c r="T113" s="556" t="s">
        <v>837</v>
      </c>
      <c r="U113" s="556" t="s">
        <v>837</v>
      </c>
      <c r="V113" s="556" t="s">
        <v>837</v>
      </c>
      <c r="W113" s="556" t="s">
        <v>837</v>
      </c>
      <c r="X113" s="556" t="s">
        <v>837</v>
      </c>
      <c r="Y113" s="556" t="s">
        <v>837</v>
      </c>
      <c r="Z113" s="556" t="s">
        <v>837</v>
      </c>
      <c r="AA113" s="556" t="s">
        <v>837</v>
      </c>
      <c r="AB113" s="556" t="s">
        <v>837</v>
      </c>
      <c r="AC113" s="556" t="s">
        <v>837</v>
      </c>
      <c r="AD113" s="556" t="s">
        <v>837</v>
      </c>
      <c r="AE113" s="556" t="s">
        <v>837</v>
      </c>
      <c r="AF113" s="556" t="s">
        <v>837</v>
      </c>
      <c r="AG113" s="556" t="s">
        <v>837</v>
      </c>
      <c r="AH113" s="556" t="s">
        <v>837</v>
      </c>
      <c r="AI113" s="556" t="s">
        <v>837</v>
      </c>
      <c r="AJ113" s="556" t="s">
        <v>837</v>
      </c>
      <c r="AK113" s="556" t="s">
        <v>837</v>
      </c>
      <c r="AL113" s="556" t="s">
        <v>837</v>
      </c>
      <c r="AM113" s="556" t="s">
        <v>837</v>
      </c>
      <c r="AN113" s="556" t="s">
        <v>837</v>
      </c>
      <c r="AO113" s="556" t="s">
        <v>837</v>
      </c>
      <c r="AP113" s="556" t="s">
        <v>837</v>
      </c>
      <c r="AQ113" s="556" t="s">
        <v>837</v>
      </c>
      <c r="AR113" s="556" t="s">
        <v>837</v>
      </c>
      <c r="AS113" s="556" t="s">
        <v>837</v>
      </c>
      <c r="AT113" s="556" t="s">
        <v>837</v>
      </c>
      <c r="AU113" s="556" t="s">
        <v>837</v>
      </c>
      <c r="AV113" s="556" t="s">
        <v>837</v>
      </c>
      <c r="AW113" s="556" t="s">
        <v>837</v>
      </c>
      <c r="AX113" s="556" t="s">
        <v>837</v>
      </c>
      <c r="AY113" s="556" t="s">
        <v>837</v>
      </c>
      <c r="AZ113" s="556" t="s">
        <v>837</v>
      </c>
      <c r="BA113" s="556" t="s">
        <v>837</v>
      </c>
      <c r="BB113" s="556" t="s">
        <v>837</v>
      </c>
      <c r="BC113" s="556" t="s">
        <v>837</v>
      </c>
      <c r="BD113" s="556" t="s">
        <v>837</v>
      </c>
      <c r="BE113" s="556" t="s">
        <v>837</v>
      </c>
      <c r="BF113" s="612"/>
      <c r="BG113" s="612"/>
      <c r="BH113" s="612"/>
      <c r="BI113" s="576"/>
      <c r="BJ113" s="576"/>
      <c r="BK113" s="576"/>
      <c r="BL113" s="602"/>
      <c r="BM113" s="553" t="s">
        <v>837</v>
      </c>
      <c r="BN113" s="612" t="s">
        <v>837</v>
      </c>
      <c r="BO113" s="576"/>
      <c r="BP113" s="606"/>
      <c r="BQ113" s="576"/>
      <c r="BR113" s="570"/>
      <c r="BS113" s="547"/>
      <c r="BT113" s="549"/>
      <c r="BU113" s="549"/>
      <c r="BV113" s="549"/>
      <c r="BW113" s="549"/>
      <c r="BX113" s="549"/>
      <c r="BY113" s="549"/>
      <c r="BZ113" s="549"/>
      <c r="CA113" s="549"/>
      <c r="CB113" s="549"/>
      <c r="CC113" s="549"/>
      <c r="CD113" s="548"/>
      <c r="CE113" s="547"/>
      <c r="CF113" s="549"/>
      <c r="CG113" s="549"/>
      <c r="CH113" s="549"/>
      <c r="CI113" s="549"/>
      <c r="CJ113" s="549"/>
      <c r="CK113" s="549"/>
      <c r="CL113" s="549"/>
      <c r="CM113" s="549"/>
      <c r="CN113" s="548"/>
      <c r="CO113" s="640"/>
      <c r="CP113" s="640"/>
      <c r="CQ113" s="640"/>
      <c r="CR113" s="640"/>
      <c r="CS113" s="640"/>
      <c r="CT113" s="640"/>
      <c r="CU113" s="640"/>
      <c r="CV113" s="640"/>
      <c r="CW113" s="640"/>
      <c r="CX113" s="640"/>
      <c r="CY113" s="640"/>
      <c r="CZ113" s="640"/>
      <c r="DA113" s="640"/>
      <c r="DB113" s="640"/>
      <c r="DC113" s="640"/>
      <c r="DD113" s="640"/>
      <c r="DE113" s="640"/>
      <c r="DF113" s="640"/>
      <c r="DG113" s="640"/>
      <c r="DH113" s="640"/>
      <c r="DI113" s="641"/>
      <c r="DJ113" s="641"/>
      <c r="DK113" s="641"/>
      <c r="DL113" s="641"/>
      <c r="DM113" s="641"/>
      <c r="DN113" s="641"/>
      <c r="DO113" s="641"/>
      <c r="DP113" s="576"/>
      <c r="DQ113" s="576"/>
      <c r="DR113" s="576"/>
      <c r="DS113" s="576"/>
      <c r="DT113" s="576"/>
      <c r="DU113" s="576"/>
      <c r="DV113" s="576"/>
      <c r="DW113" s="576"/>
      <c r="DX113" s="576"/>
      <c r="DY113" s="576"/>
      <c r="DZ113" s="576"/>
      <c r="EA113" s="576"/>
      <c r="EB113" s="576"/>
      <c r="EC113" s="576"/>
      <c r="ED113" s="576"/>
      <c r="EE113" s="576"/>
      <c r="EF113" s="576"/>
      <c r="EG113" s="576"/>
      <c r="EH113" s="576"/>
    </row>
    <row r="114" spans="1:138" s="14" customFormat="1" x14ac:dyDescent="0.25">
      <c r="A114" s="8">
        <v>110</v>
      </c>
      <c r="B114" s="4" t="s">
        <v>39</v>
      </c>
      <c r="C114" s="4"/>
      <c r="D114" s="4" t="s">
        <v>1</v>
      </c>
      <c r="E114" s="4" t="s">
        <v>75</v>
      </c>
      <c r="F114" s="19" t="s">
        <v>8</v>
      </c>
      <c r="G114" s="19" t="s">
        <v>837</v>
      </c>
      <c r="H114" s="556" t="s">
        <v>837</v>
      </c>
      <c r="I114" s="556">
        <v>10002</v>
      </c>
      <c r="J114" s="556" t="s">
        <v>837</v>
      </c>
      <c r="K114" s="556">
        <v>10004</v>
      </c>
      <c r="L114" s="556" t="s">
        <v>837</v>
      </c>
      <c r="M114" s="556" t="s">
        <v>837</v>
      </c>
      <c r="N114" s="556">
        <v>10002</v>
      </c>
      <c r="O114" s="556" t="s">
        <v>837</v>
      </c>
      <c r="P114" s="556">
        <v>10004</v>
      </c>
      <c r="Q114" s="556" t="s">
        <v>837</v>
      </c>
      <c r="R114" s="556" t="s">
        <v>837</v>
      </c>
      <c r="S114" s="556">
        <v>10002</v>
      </c>
      <c r="T114" s="556" t="s">
        <v>837</v>
      </c>
      <c r="U114" s="556">
        <v>10004</v>
      </c>
      <c r="V114" s="556" t="s">
        <v>837</v>
      </c>
      <c r="W114" s="556" t="s">
        <v>837</v>
      </c>
      <c r="X114" s="556" t="s">
        <v>837</v>
      </c>
      <c r="Y114" s="556" t="s">
        <v>837</v>
      </c>
      <c r="Z114" s="556" t="s">
        <v>837</v>
      </c>
      <c r="AA114" s="556" t="s">
        <v>837</v>
      </c>
      <c r="AB114" s="556" t="s">
        <v>837</v>
      </c>
      <c r="AC114" s="556">
        <v>10002</v>
      </c>
      <c r="AD114" s="556" t="s">
        <v>837</v>
      </c>
      <c r="AE114" s="556">
        <v>10004</v>
      </c>
      <c r="AF114" s="556" t="s">
        <v>837</v>
      </c>
      <c r="AG114" s="556" t="s">
        <v>837</v>
      </c>
      <c r="AH114" s="556">
        <v>10002</v>
      </c>
      <c r="AI114" s="556" t="s">
        <v>837</v>
      </c>
      <c r="AJ114" s="556">
        <v>10004</v>
      </c>
      <c r="AK114" s="556" t="s">
        <v>837</v>
      </c>
      <c r="AL114" s="556" t="s">
        <v>837</v>
      </c>
      <c r="AM114" s="556">
        <v>10002</v>
      </c>
      <c r="AN114" s="556" t="s">
        <v>837</v>
      </c>
      <c r="AO114" s="556">
        <v>10004</v>
      </c>
      <c r="AP114" s="556" t="s">
        <v>837</v>
      </c>
      <c r="AQ114" s="556" t="s">
        <v>837</v>
      </c>
      <c r="AR114" s="556">
        <v>10002</v>
      </c>
      <c r="AS114" s="556" t="s">
        <v>837</v>
      </c>
      <c r="AT114" s="556">
        <v>10004</v>
      </c>
      <c r="AU114" s="556" t="s">
        <v>837</v>
      </c>
      <c r="AV114" s="556" t="s">
        <v>837</v>
      </c>
      <c r="AW114" s="556" t="s">
        <v>837</v>
      </c>
      <c r="AX114" s="556" t="s">
        <v>837</v>
      </c>
      <c r="AY114" s="556" t="s">
        <v>837</v>
      </c>
      <c r="AZ114" s="556" t="s">
        <v>837</v>
      </c>
      <c r="BA114" s="556" t="s">
        <v>837</v>
      </c>
      <c r="BB114" s="556">
        <v>10002</v>
      </c>
      <c r="BC114" s="556" t="s">
        <v>837</v>
      </c>
      <c r="BD114" s="556">
        <v>10004</v>
      </c>
      <c r="BE114" s="556" t="s">
        <v>837</v>
      </c>
      <c r="BF114" s="612"/>
      <c r="BG114" s="612"/>
      <c r="BH114" s="612"/>
      <c r="BI114" s="576"/>
      <c r="BJ114" s="576"/>
      <c r="BK114" s="576"/>
      <c r="BL114" s="602"/>
      <c r="BM114" s="553" t="s">
        <v>837</v>
      </c>
      <c r="BN114" s="612" t="s">
        <v>837</v>
      </c>
      <c r="BO114" s="576"/>
      <c r="BP114" s="606"/>
      <c r="BQ114" s="576"/>
      <c r="BR114" s="570"/>
      <c r="BS114" s="547"/>
      <c r="BT114" s="549"/>
      <c r="BU114" s="549"/>
      <c r="BV114" s="549"/>
      <c r="BW114" s="549"/>
      <c r="BX114" s="549"/>
      <c r="BY114" s="549"/>
      <c r="BZ114" s="549"/>
      <c r="CA114" s="549"/>
      <c r="CB114" s="549"/>
      <c r="CC114" s="549"/>
      <c r="CD114" s="548"/>
      <c r="CE114" s="547"/>
      <c r="CF114" s="549"/>
      <c r="CG114" s="549"/>
      <c r="CH114" s="549"/>
      <c r="CI114" s="549"/>
      <c r="CJ114" s="549"/>
      <c r="CK114" s="549"/>
      <c r="CL114" s="549"/>
      <c r="CM114" s="549"/>
      <c r="CN114" s="548"/>
      <c r="CO114" s="640"/>
      <c r="CP114" s="640"/>
      <c r="CQ114" s="640"/>
      <c r="CR114" s="640"/>
      <c r="CS114" s="640"/>
      <c r="CT114" s="640"/>
      <c r="CU114" s="640"/>
      <c r="CV114" s="640"/>
      <c r="CW114" s="640"/>
      <c r="CX114" s="640"/>
      <c r="CY114" s="640"/>
      <c r="CZ114" s="640"/>
      <c r="DA114" s="640"/>
      <c r="DB114" s="640"/>
      <c r="DC114" s="640"/>
      <c r="DD114" s="640"/>
      <c r="DE114" s="640"/>
      <c r="DF114" s="640"/>
      <c r="DG114" s="640"/>
      <c r="DH114" s="640"/>
      <c r="DI114" s="641"/>
      <c r="DJ114" s="641"/>
      <c r="DK114" s="641"/>
      <c r="DL114" s="641"/>
      <c r="DM114" s="641"/>
      <c r="DN114" s="641"/>
      <c r="DO114" s="641"/>
      <c r="DP114" s="576"/>
      <c r="DQ114" s="576"/>
      <c r="DR114" s="576"/>
      <c r="DS114" s="576"/>
      <c r="DT114" s="576"/>
      <c r="DU114" s="576"/>
      <c r="DV114" s="576"/>
      <c r="DW114" s="576"/>
      <c r="DX114" s="576"/>
      <c r="DY114" s="576"/>
      <c r="DZ114" s="576"/>
      <c r="EA114" s="576"/>
      <c r="EB114" s="576"/>
      <c r="EC114" s="576"/>
      <c r="ED114" s="576"/>
      <c r="EE114" s="576"/>
      <c r="EF114" s="576"/>
      <c r="EG114" s="576"/>
      <c r="EH114" s="576"/>
    </row>
    <row r="115" spans="1:138" s="14" customFormat="1" x14ac:dyDescent="0.25">
      <c r="A115" s="8">
        <v>111</v>
      </c>
      <c r="B115" s="4" t="s">
        <v>84</v>
      </c>
      <c r="C115" s="4"/>
      <c r="D115" s="4" t="s">
        <v>1</v>
      </c>
      <c r="E115" s="4" t="s">
        <v>75</v>
      </c>
      <c r="F115" s="19" t="s">
        <v>8</v>
      </c>
      <c r="G115" s="19" t="s">
        <v>837</v>
      </c>
      <c r="H115" s="556" t="s">
        <v>837</v>
      </c>
      <c r="I115" s="556">
        <v>10002</v>
      </c>
      <c r="J115" s="556" t="s">
        <v>837</v>
      </c>
      <c r="K115" s="556" t="s">
        <v>837</v>
      </c>
      <c r="L115" s="556" t="s">
        <v>837</v>
      </c>
      <c r="M115" s="556" t="s">
        <v>837</v>
      </c>
      <c r="N115" s="556">
        <v>10002</v>
      </c>
      <c r="O115" s="556" t="s">
        <v>837</v>
      </c>
      <c r="P115" s="556" t="s">
        <v>837</v>
      </c>
      <c r="Q115" s="556" t="s">
        <v>837</v>
      </c>
      <c r="R115" s="556" t="s">
        <v>837</v>
      </c>
      <c r="S115" s="556">
        <v>10002</v>
      </c>
      <c r="T115" s="556" t="s">
        <v>837</v>
      </c>
      <c r="U115" s="556" t="s">
        <v>837</v>
      </c>
      <c r="V115" s="556" t="s">
        <v>837</v>
      </c>
      <c r="W115" s="556" t="s">
        <v>837</v>
      </c>
      <c r="X115" s="556" t="s">
        <v>837</v>
      </c>
      <c r="Y115" s="556" t="s">
        <v>837</v>
      </c>
      <c r="Z115" s="556" t="s">
        <v>837</v>
      </c>
      <c r="AA115" s="556" t="s">
        <v>837</v>
      </c>
      <c r="AB115" s="556" t="s">
        <v>837</v>
      </c>
      <c r="AC115" s="556">
        <v>10002</v>
      </c>
      <c r="AD115" s="556" t="s">
        <v>837</v>
      </c>
      <c r="AE115" s="556" t="s">
        <v>837</v>
      </c>
      <c r="AF115" s="556" t="s">
        <v>837</v>
      </c>
      <c r="AG115" s="556" t="s">
        <v>837</v>
      </c>
      <c r="AH115" s="556">
        <v>10002</v>
      </c>
      <c r="AI115" s="556" t="s">
        <v>837</v>
      </c>
      <c r="AJ115" s="556" t="s">
        <v>837</v>
      </c>
      <c r="AK115" s="556" t="s">
        <v>837</v>
      </c>
      <c r="AL115" s="556" t="s">
        <v>837</v>
      </c>
      <c r="AM115" s="556">
        <v>10002</v>
      </c>
      <c r="AN115" s="556" t="s">
        <v>837</v>
      </c>
      <c r="AO115" s="556" t="s">
        <v>837</v>
      </c>
      <c r="AP115" s="556" t="s">
        <v>837</v>
      </c>
      <c r="AQ115" s="556" t="s">
        <v>837</v>
      </c>
      <c r="AR115" s="556">
        <v>10002</v>
      </c>
      <c r="AS115" s="556" t="s">
        <v>837</v>
      </c>
      <c r="AT115" s="556" t="s">
        <v>837</v>
      </c>
      <c r="AU115" s="556" t="s">
        <v>837</v>
      </c>
      <c r="AV115" s="556" t="s">
        <v>837</v>
      </c>
      <c r="AW115" s="556" t="s">
        <v>837</v>
      </c>
      <c r="AX115" s="556" t="s">
        <v>837</v>
      </c>
      <c r="AY115" s="556" t="s">
        <v>837</v>
      </c>
      <c r="AZ115" s="556" t="s">
        <v>837</v>
      </c>
      <c r="BA115" s="556" t="s">
        <v>837</v>
      </c>
      <c r="BB115" s="556">
        <v>10002</v>
      </c>
      <c r="BC115" s="556" t="s">
        <v>837</v>
      </c>
      <c r="BD115" s="556" t="s">
        <v>837</v>
      </c>
      <c r="BE115" s="556" t="s">
        <v>837</v>
      </c>
      <c r="BF115" s="636"/>
      <c r="BG115" s="636"/>
      <c r="BH115" s="636"/>
      <c r="BI115" s="576"/>
      <c r="BJ115" s="576"/>
      <c r="BK115" s="576"/>
      <c r="BL115" s="602"/>
      <c r="BM115" s="553" t="s">
        <v>837</v>
      </c>
      <c r="BN115" s="612" t="s">
        <v>837</v>
      </c>
      <c r="BO115" s="576"/>
      <c r="BP115" s="606"/>
      <c r="BQ115" s="576"/>
      <c r="BR115" s="570"/>
      <c r="BS115" s="547"/>
      <c r="BT115" s="549"/>
      <c r="BU115" s="549"/>
      <c r="BV115" s="549"/>
      <c r="BW115" s="549"/>
      <c r="BX115" s="549"/>
      <c r="BY115" s="549"/>
      <c r="BZ115" s="549"/>
      <c r="CA115" s="549"/>
      <c r="CB115" s="549"/>
      <c r="CC115" s="549"/>
      <c r="CD115" s="548"/>
      <c r="CE115" s="547"/>
      <c r="CF115" s="549"/>
      <c r="CG115" s="549"/>
      <c r="CH115" s="549"/>
      <c r="CI115" s="549"/>
      <c r="CJ115" s="549"/>
      <c r="CK115" s="549"/>
      <c r="CL115" s="549"/>
      <c r="CM115" s="549"/>
      <c r="CN115" s="548"/>
      <c r="CO115" s="640"/>
      <c r="CP115" s="640"/>
      <c r="CQ115" s="640"/>
      <c r="CR115" s="640"/>
      <c r="CS115" s="640"/>
      <c r="CT115" s="640"/>
      <c r="CU115" s="640"/>
      <c r="CV115" s="640"/>
      <c r="CW115" s="640"/>
      <c r="CX115" s="640"/>
      <c r="CY115" s="640"/>
      <c r="CZ115" s="640"/>
      <c r="DA115" s="640"/>
      <c r="DB115" s="640"/>
      <c r="DC115" s="640"/>
      <c r="DD115" s="640"/>
      <c r="DE115" s="640"/>
      <c r="DF115" s="640"/>
      <c r="DG115" s="640"/>
      <c r="DH115" s="640"/>
      <c r="DI115" s="641"/>
      <c r="DJ115" s="641"/>
      <c r="DK115" s="641"/>
      <c r="DL115" s="641"/>
      <c r="DM115" s="641"/>
      <c r="DN115" s="641"/>
      <c r="DO115" s="641"/>
      <c r="DP115" s="576"/>
      <c r="DQ115" s="576"/>
      <c r="DR115" s="576"/>
      <c r="DS115" s="576"/>
      <c r="DT115" s="576"/>
      <c r="DU115" s="576"/>
      <c r="DV115" s="576"/>
      <c r="DW115" s="576"/>
      <c r="DX115" s="576"/>
      <c r="DY115" s="576"/>
      <c r="DZ115" s="576"/>
      <c r="EA115" s="576"/>
      <c r="EB115" s="576"/>
      <c r="EC115" s="576"/>
      <c r="ED115" s="576"/>
      <c r="EE115" s="576"/>
      <c r="EF115" s="576"/>
      <c r="EG115" s="576"/>
      <c r="EH115" s="576"/>
    </row>
    <row r="116" spans="1:138" s="14" customFormat="1" x14ac:dyDescent="0.25">
      <c r="A116" s="8">
        <v>112</v>
      </c>
      <c r="B116" s="5" t="s">
        <v>698</v>
      </c>
      <c r="C116" s="5"/>
      <c r="D116" s="4" t="s">
        <v>57</v>
      </c>
      <c r="E116" s="4" t="s">
        <v>75</v>
      </c>
      <c r="F116" s="19" t="s">
        <v>8</v>
      </c>
      <c r="G116" s="19" t="s">
        <v>837</v>
      </c>
      <c r="H116" s="556" t="s">
        <v>837</v>
      </c>
      <c r="I116" s="556" t="s">
        <v>837</v>
      </c>
      <c r="J116" s="556" t="s">
        <v>837</v>
      </c>
      <c r="K116" s="556" t="s">
        <v>837</v>
      </c>
      <c r="L116" s="556" t="s">
        <v>837</v>
      </c>
      <c r="M116" s="556" t="s">
        <v>837</v>
      </c>
      <c r="N116" s="556" t="s">
        <v>837</v>
      </c>
      <c r="O116" s="556" t="s">
        <v>837</v>
      </c>
      <c r="P116" s="556" t="s">
        <v>837</v>
      </c>
      <c r="Q116" s="556" t="s">
        <v>837</v>
      </c>
      <c r="R116" s="556" t="s">
        <v>837</v>
      </c>
      <c r="S116" s="556" t="s">
        <v>837</v>
      </c>
      <c r="T116" s="556" t="s">
        <v>837</v>
      </c>
      <c r="U116" s="556" t="s">
        <v>837</v>
      </c>
      <c r="V116" s="556" t="s">
        <v>837</v>
      </c>
      <c r="W116" s="556" t="s">
        <v>837</v>
      </c>
      <c r="X116" s="556" t="s">
        <v>837</v>
      </c>
      <c r="Y116" s="556" t="s">
        <v>837</v>
      </c>
      <c r="Z116" s="556" t="s">
        <v>837</v>
      </c>
      <c r="AA116" s="556" t="s">
        <v>837</v>
      </c>
      <c r="AB116" s="556" t="s">
        <v>837</v>
      </c>
      <c r="AC116" s="556" t="s">
        <v>837</v>
      </c>
      <c r="AD116" s="556" t="s">
        <v>837</v>
      </c>
      <c r="AE116" s="556" t="s">
        <v>837</v>
      </c>
      <c r="AF116" s="556" t="s">
        <v>837</v>
      </c>
      <c r="AG116" s="556" t="s">
        <v>837</v>
      </c>
      <c r="AH116" s="556" t="s">
        <v>837</v>
      </c>
      <c r="AI116" s="556" t="s">
        <v>837</v>
      </c>
      <c r="AJ116" s="556" t="s">
        <v>837</v>
      </c>
      <c r="AK116" s="556" t="s">
        <v>837</v>
      </c>
      <c r="AL116" s="556" t="s">
        <v>837</v>
      </c>
      <c r="AM116" s="556" t="s">
        <v>837</v>
      </c>
      <c r="AN116" s="556" t="s">
        <v>837</v>
      </c>
      <c r="AO116" s="556" t="s">
        <v>837</v>
      </c>
      <c r="AP116" s="556" t="s">
        <v>837</v>
      </c>
      <c r="AQ116" s="556" t="s">
        <v>837</v>
      </c>
      <c r="AR116" s="556" t="s">
        <v>837</v>
      </c>
      <c r="AS116" s="556" t="s">
        <v>837</v>
      </c>
      <c r="AT116" s="556" t="s">
        <v>837</v>
      </c>
      <c r="AU116" s="556" t="s">
        <v>837</v>
      </c>
      <c r="AV116" s="556" t="s">
        <v>837</v>
      </c>
      <c r="AW116" s="556" t="s">
        <v>837</v>
      </c>
      <c r="AX116" s="556" t="s">
        <v>837</v>
      </c>
      <c r="AY116" s="556" t="s">
        <v>837</v>
      </c>
      <c r="AZ116" s="556" t="s">
        <v>837</v>
      </c>
      <c r="BA116" s="556" t="s">
        <v>837</v>
      </c>
      <c r="BB116" s="556" t="s">
        <v>837</v>
      </c>
      <c r="BC116" s="556" t="s">
        <v>837</v>
      </c>
      <c r="BD116" s="556" t="s">
        <v>837</v>
      </c>
      <c r="BE116" s="556" t="s">
        <v>837</v>
      </c>
      <c r="BF116" s="612"/>
      <c r="BG116" s="612"/>
      <c r="BH116" s="612"/>
      <c r="BI116" s="576"/>
      <c r="BJ116" s="576"/>
      <c r="BK116" s="576"/>
      <c r="BL116" s="602"/>
      <c r="BM116" s="553" t="s">
        <v>837</v>
      </c>
      <c r="BN116" s="612" t="s">
        <v>837</v>
      </c>
      <c r="BO116" s="576"/>
      <c r="BP116" s="606"/>
      <c r="BQ116" s="576"/>
      <c r="BR116" s="570"/>
      <c r="BS116" s="547"/>
      <c r="BT116" s="549"/>
      <c r="BU116" s="549"/>
      <c r="BV116" s="549"/>
      <c r="BW116" s="549"/>
      <c r="BX116" s="549"/>
      <c r="BY116" s="549"/>
      <c r="BZ116" s="549"/>
      <c r="CA116" s="549"/>
      <c r="CB116" s="549"/>
      <c r="CC116" s="549"/>
      <c r="CD116" s="548"/>
      <c r="CE116" s="547"/>
      <c r="CF116" s="549"/>
      <c r="CG116" s="549"/>
      <c r="CH116" s="549"/>
      <c r="CI116" s="549"/>
      <c r="CJ116" s="549"/>
      <c r="CK116" s="549"/>
      <c r="CL116" s="549"/>
      <c r="CM116" s="549"/>
      <c r="CN116" s="548"/>
      <c r="CO116" s="640"/>
      <c r="CP116" s="640"/>
      <c r="CQ116" s="640"/>
      <c r="CR116" s="640"/>
      <c r="CS116" s="640"/>
      <c r="CT116" s="640"/>
      <c r="CU116" s="640"/>
      <c r="CV116" s="640"/>
      <c r="CW116" s="640"/>
      <c r="CX116" s="640"/>
      <c r="CY116" s="640"/>
      <c r="CZ116" s="640"/>
      <c r="DA116" s="640"/>
      <c r="DB116" s="640"/>
      <c r="DC116" s="640"/>
      <c r="DD116" s="640"/>
      <c r="DE116" s="640"/>
      <c r="DF116" s="640"/>
      <c r="DG116" s="640"/>
      <c r="DH116" s="640"/>
      <c r="DI116" s="641"/>
      <c r="DJ116" s="641"/>
      <c r="DK116" s="641"/>
      <c r="DL116" s="641"/>
      <c r="DM116" s="641"/>
      <c r="DN116" s="641"/>
      <c r="DO116" s="641"/>
      <c r="DP116" s="576"/>
      <c r="DQ116" s="576"/>
      <c r="DR116" s="576"/>
      <c r="DS116" s="576"/>
      <c r="DT116" s="576"/>
      <c r="DU116" s="576"/>
      <c r="DV116" s="576"/>
      <c r="DW116" s="576"/>
      <c r="DX116" s="576"/>
      <c r="DY116" s="576"/>
      <c r="DZ116" s="576"/>
      <c r="EA116" s="576"/>
      <c r="EB116" s="576"/>
      <c r="EC116" s="576"/>
      <c r="ED116" s="576"/>
      <c r="EE116" s="576"/>
      <c r="EF116" s="576"/>
      <c r="EG116" s="576"/>
      <c r="EH116" s="576"/>
    </row>
    <row r="117" spans="1:138" s="14" customFormat="1" x14ac:dyDescent="0.25">
      <c r="A117" s="8">
        <v>113</v>
      </c>
      <c r="B117" s="5" t="s">
        <v>746</v>
      </c>
      <c r="C117" s="5"/>
      <c r="D117" s="4" t="s">
        <v>57</v>
      </c>
      <c r="E117" s="4" t="s">
        <v>75</v>
      </c>
      <c r="F117" s="19" t="s">
        <v>8</v>
      </c>
      <c r="G117" s="19" t="s">
        <v>837</v>
      </c>
      <c r="H117" s="556" t="s">
        <v>837</v>
      </c>
      <c r="I117" s="556" t="s">
        <v>837</v>
      </c>
      <c r="J117" s="556" t="s">
        <v>837</v>
      </c>
      <c r="K117" s="556" t="s">
        <v>837</v>
      </c>
      <c r="L117" s="556" t="s">
        <v>837</v>
      </c>
      <c r="M117" s="556" t="s">
        <v>837</v>
      </c>
      <c r="N117" s="556" t="s">
        <v>837</v>
      </c>
      <c r="O117" s="556" t="s">
        <v>837</v>
      </c>
      <c r="P117" s="556" t="s">
        <v>837</v>
      </c>
      <c r="Q117" s="556" t="s">
        <v>837</v>
      </c>
      <c r="R117" s="556" t="s">
        <v>837</v>
      </c>
      <c r="S117" s="556" t="s">
        <v>837</v>
      </c>
      <c r="T117" s="556" t="s">
        <v>837</v>
      </c>
      <c r="U117" s="556" t="s">
        <v>837</v>
      </c>
      <c r="V117" s="556" t="s">
        <v>837</v>
      </c>
      <c r="W117" s="556" t="s">
        <v>837</v>
      </c>
      <c r="X117" s="556" t="s">
        <v>837</v>
      </c>
      <c r="Y117" s="556" t="s">
        <v>837</v>
      </c>
      <c r="Z117" s="556" t="s">
        <v>837</v>
      </c>
      <c r="AA117" s="556" t="s">
        <v>837</v>
      </c>
      <c r="AB117" s="556" t="s">
        <v>837</v>
      </c>
      <c r="AC117" s="556" t="s">
        <v>837</v>
      </c>
      <c r="AD117" s="556" t="s">
        <v>837</v>
      </c>
      <c r="AE117" s="556" t="s">
        <v>837</v>
      </c>
      <c r="AF117" s="556" t="s">
        <v>837</v>
      </c>
      <c r="AG117" s="556" t="s">
        <v>837</v>
      </c>
      <c r="AH117" s="556" t="s">
        <v>837</v>
      </c>
      <c r="AI117" s="556" t="s">
        <v>837</v>
      </c>
      <c r="AJ117" s="556" t="s">
        <v>837</v>
      </c>
      <c r="AK117" s="556" t="s">
        <v>837</v>
      </c>
      <c r="AL117" s="556" t="s">
        <v>837</v>
      </c>
      <c r="AM117" s="556" t="s">
        <v>837</v>
      </c>
      <c r="AN117" s="556" t="s">
        <v>837</v>
      </c>
      <c r="AO117" s="556" t="s">
        <v>837</v>
      </c>
      <c r="AP117" s="556" t="s">
        <v>837</v>
      </c>
      <c r="AQ117" s="556" t="s">
        <v>837</v>
      </c>
      <c r="AR117" s="556" t="s">
        <v>837</v>
      </c>
      <c r="AS117" s="556" t="s">
        <v>837</v>
      </c>
      <c r="AT117" s="556" t="s">
        <v>837</v>
      </c>
      <c r="AU117" s="556" t="s">
        <v>837</v>
      </c>
      <c r="AV117" s="556" t="s">
        <v>837</v>
      </c>
      <c r="AW117" s="556" t="s">
        <v>837</v>
      </c>
      <c r="AX117" s="556" t="s">
        <v>837</v>
      </c>
      <c r="AY117" s="556" t="s">
        <v>837</v>
      </c>
      <c r="AZ117" s="556" t="s">
        <v>837</v>
      </c>
      <c r="BA117" s="556" t="s">
        <v>837</v>
      </c>
      <c r="BB117" s="556" t="s">
        <v>837</v>
      </c>
      <c r="BC117" s="556" t="s">
        <v>837</v>
      </c>
      <c r="BD117" s="556" t="s">
        <v>837</v>
      </c>
      <c r="BE117" s="556" t="s">
        <v>837</v>
      </c>
      <c r="BF117" s="614"/>
      <c r="BG117" s="614"/>
      <c r="BH117" s="614"/>
      <c r="BI117" s="576"/>
      <c r="BJ117" s="576"/>
      <c r="BK117" s="576"/>
      <c r="BL117" s="602"/>
      <c r="BM117" s="553" t="s">
        <v>837</v>
      </c>
      <c r="BN117" s="612" t="s">
        <v>837</v>
      </c>
      <c r="BO117" s="576"/>
      <c r="BP117" s="606"/>
      <c r="BQ117" s="576"/>
      <c r="BR117" s="570"/>
      <c r="BS117" s="547"/>
      <c r="BT117" s="549"/>
      <c r="BU117" s="549"/>
      <c r="BV117" s="549"/>
      <c r="BW117" s="549"/>
      <c r="BX117" s="549"/>
      <c r="BY117" s="549"/>
      <c r="BZ117" s="549"/>
      <c r="CA117" s="549"/>
      <c r="CB117" s="549"/>
      <c r="CC117" s="549"/>
      <c r="CD117" s="548"/>
      <c r="CE117" s="547"/>
      <c r="CF117" s="549"/>
      <c r="CG117" s="549"/>
      <c r="CH117" s="549"/>
      <c r="CI117" s="549"/>
      <c r="CJ117" s="549"/>
      <c r="CK117" s="549"/>
      <c r="CL117" s="549"/>
      <c r="CM117" s="549"/>
      <c r="CN117" s="548"/>
      <c r="CO117" s="640"/>
      <c r="CP117" s="640"/>
      <c r="CQ117" s="640"/>
      <c r="CR117" s="640"/>
      <c r="CS117" s="640"/>
      <c r="CT117" s="640"/>
      <c r="CU117" s="640"/>
      <c r="CV117" s="640"/>
      <c r="CW117" s="640"/>
      <c r="CX117" s="640"/>
      <c r="CY117" s="640"/>
      <c r="CZ117" s="640"/>
      <c r="DA117" s="640"/>
      <c r="DB117" s="640"/>
      <c r="DC117" s="640"/>
      <c r="DD117" s="640"/>
      <c r="DE117" s="640"/>
      <c r="DF117" s="640"/>
      <c r="DG117" s="640"/>
      <c r="DH117" s="640"/>
      <c r="DI117" s="641"/>
      <c r="DJ117" s="641"/>
      <c r="DK117" s="641"/>
      <c r="DL117" s="641"/>
      <c r="DM117" s="641"/>
      <c r="DN117" s="641"/>
      <c r="DO117" s="641"/>
      <c r="DP117" s="576"/>
      <c r="DQ117" s="576"/>
      <c r="DR117" s="576"/>
      <c r="DS117" s="576"/>
      <c r="DT117" s="576"/>
      <c r="DU117" s="576"/>
      <c r="DV117" s="576"/>
      <c r="DW117" s="576"/>
      <c r="DX117" s="576"/>
      <c r="DY117" s="576"/>
      <c r="DZ117" s="576"/>
      <c r="EA117" s="576"/>
      <c r="EB117" s="576"/>
      <c r="EC117" s="576"/>
      <c r="ED117" s="576"/>
      <c r="EE117" s="576"/>
      <c r="EF117" s="576"/>
      <c r="EG117" s="576"/>
      <c r="EH117" s="576"/>
    </row>
    <row r="118" spans="1:138" s="14" customFormat="1" x14ac:dyDescent="0.25">
      <c r="A118" s="8">
        <v>114</v>
      </c>
      <c r="B118" s="5" t="s">
        <v>729</v>
      </c>
      <c r="C118" s="5"/>
      <c r="D118" s="4" t="s">
        <v>57</v>
      </c>
      <c r="E118" s="4" t="s">
        <v>75</v>
      </c>
      <c r="F118" s="19" t="s">
        <v>8</v>
      </c>
      <c r="G118" s="19" t="s">
        <v>837</v>
      </c>
      <c r="H118" s="556" t="s">
        <v>837</v>
      </c>
      <c r="I118" s="556">
        <v>10002</v>
      </c>
      <c r="J118" s="556" t="s">
        <v>837</v>
      </c>
      <c r="K118" s="556">
        <v>10004</v>
      </c>
      <c r="L118" s="556" t="s">
        <v>837</v>
      </c>
      <c r="M118" s="556" t="s">
        <v>837</v>
      </c>
      <c r="N118" s="556">
        <v>10002</v>
      </c>
      <c r="O118" s="556" t="s">
        <v>837</v>
      </c>
      <c r="P118" s="556">
        <v>10004</v>
      </c>
      <c r="Q118" s="556" t="s">
        <v>837</v>
      </c>
      <c r="R118" s="556" t="s">
        <v>837</v>
      </c>
      <c r="S118" s="556">
        <v>10002</v>
      </c>
      <c r="T118" s="556" t="s">
        <v>837</v>
      </c>
      <c r="U118" s="556">
        <v>10004</v>
      </c>
      <c r="V118" s="556" t="s">
        <v>837</v>
      </c>
      <c r="W118" s="556" t="s">
        <v>837</v>
      </c>
      <c r="X118" s="556" t="s">
        <v>837</v>
      </c>
      <c r="Y118" s="556" t="s">
        <v>837</v>
      </c>
      <c r="Z118" s="556" t="s">
        <v>837</v>
      </c>
      <c r="AA118" s="556" t="s">
        <v>837</v>
      </c>
      <c r="AB118" s="556" t="s">
        <v>837</v>
      </c>
      <c r="AC118" s="556">
        <v>10002</v>
      </c>
      <c r="AD118" s="556" t="s">
        <v>837</v>
      </c>
      <c r="AE118" s="556">
        <v>10004</v>
      </c>
      <c r="AF118" s="556" t="s">
        <v>837</v>
      </c>
      <c r="AG118" s="556" t="s">
        <v>837</v>
      </c>
      <c r="AH118" s="556" t="s">
        <v>837</v>
      </c>
      <c r="AI118" s="556" t="s">
        <v>837</v>
      </c>
      <c r="AJ118" s="556" t="s">
        <v>837</v>
      </c>
      <c r="AK118" s="556" t="s">
        <v>837</v>
      </c>
      <c r="AL118" s="556" t="s">
        <v>837</v>
      </c>
      <c r="AM118" s="556" t="s">
        <v>837</v>
      </c>
      <c r="AN118" s="556" t="s">
        <v>837</v>
      </c>
      <c r="AO118" s="556" t="s">
        <v>837</v>
      </c>
      <c r="AP118" s="556" t="s">
        <v>837</v>
      </c>
      <c r="AQ118" s="556" t="s">
        <v>837</v>
      </c>
      <c r="AR118" s="556" t="s">
        <v>837</v>
      </c>
      <c r="AS118" s="556" t="s">
        <v>837</v>
      </c>
      <c r="AT118" s="556" t="s">
        <v>837</v>
      </c>
      <c r="AU118" s="556" t="s">
        <v>837</v>
      </c>
      <c r="AV118" s="556" t="s">
        <v>837</v>
      </c>
      <c r="AW118" s="556" t="s">
        <v>837</v>
      </c>
      <c r="AX118" s="556" t="s">
        <v>837</v>
      </c>
      <c r="AY118" s="556" t="s">
        <v>837</v>
      </c>
      <c r="AZ118" s="556" t="s">
        <v>837</v>
      </c>
      <c r="BA118" s="556" t="s">
        <v>837</v>
      </c>
      <c r="BB118" s="556" t="s">
        <v>837</v>
      </c>
      <c r="BC118" s="556" t="s">
        <v>837</v>
      </c>
      <c r="BD118" s="556" t="s">
        <v>837</v>
      </c>
      <c r="BE118" s="556" t="s">
        <v>837</v>
      </c>
      <c r="BF118" s="614"/>
      <c r="BG118" s="614"/>
      <c r="BH118" s="614"/>
      <c r="BI118" s="576"/>
      <c r="BJ118" s="576"/>
      <c r="BK118" s="576"/>
      <c r="BL118" s="602"/>
      <c r="BM118" s="553" t="s">
        <v>837</v>
      </c>
      <c r="BN118" s="612" t="s">
        <v>837</v>
      </c>
      <c r="BO118" s="576"/>
      <c r="BP118" s="606"/>
      <c r="BQ118" s="576"/>
      <c r="BR118" s="570"/>
      <c r="BS118" s="547"/>
      <c r="BT118" s="549"/>
      <c r="BU118" s="549"/>
      <c r="BV118" s="549"/>
      <c r="BW118" s="549"/>
      <c r="BX118" s="549"/>
      <c r="BY118" s="549"/>
      <c r="BZ118" s="549"/>
      <c r="CA118" s="549"/>
      <c r="CB118" s="549"/>
      <c r="CC118" s="549"/>
      <c r="CD118" s="548"/>
      <c r="CE118" s="547"/>
      <c r="CF118" s="549"/>
      <c r="CG118" s="549"/>
      <c r="CH118" s="549"/>
      <c r="CI118" s="549"/>
      <c r="CJ118" s="549"/>
      <c r="CK118" s="549"/>
      <c r="CL118" s="549"/>
      <c r="CM118" s="549"/>
      <c r="CN118" s="548"/>
      <c r="CO118" s="640"/>
      <c r="CP118" s="640"/>
      <c r="CQ118" s="640"/>
      <c r="CR118" s="640"/>
      <c r="CS118" s="640"/>
      <c r="CT118" s="640"/>
      <c r="CU118" s="640"/>
      <c r="CV118" s="640"/>
      <c r="CW118" s="640"/>
      <c r="CX118" s="640"/>
      <c r="CY118" s="640"/>
      <c r="CZ118" s="640"/>
      <c r="DA118" s="640"/>
      <c r="DB118" s="640"/>
      <c r="DC118" s="640"/>
      <c r="DD118" s="640"/>
      <c r="DE118" s="640"/>
      <c r="DF118" s="640"/>
      <c r="DG118" s="640"/>
      <c r="DH118" s="640"/>
      <c r="DI118" s="641"/>
      <c r="DJ118" s="641"/>
      <c r="DK118" s="641"/>
      <c r="DL118" s="641"/>
      <c r="DM118" s="641"/>
      <c r="DN118" s="641"/>
      <c r="DO118" s="641"/>
      <c r="DP118" s="576"/>
      <c r="DQ118" s="576"/>
      <c r="DR118" s="576"/>
      <c r="DS118" s="576"/>
      <c r="DT118" s="576"/>
      <c r="DU118" s="576"/>
      <c r="DV118" s="576"/>
      <c r="DW118" s="576"/>
      <c r="DX118" s="576"/>
      <c r="DY118" s="576"/>
      <c r="DZ118" s="576"/>
      <c r="EA118" s="576"/>
      <c r="EB118" s="576"/>
      <c r="EC118" s="576"/>
      <c r="ED118" s="576"/>
      <c r="EE118" s="576"/>
      <c r="EF118" s="576"/>
      <c r="EG118" s="576"/>
      <c r="EH118" s="576"/>
    </row>
    <row r="119" spans="1:138" s="14" customFormat="1" x14ac:dyDescent="0.25">
      <c r="A119" s="8">
        <v>115</v>
      </c>
      <c r="B119" s="5" t="s">
        <v>40</v>
      </c>
      <c r="C119" s="5"/>
      <c r="D119" s="4" t="s">
        <v>57</v>
      </c>
      <c r="E119" s="4" t="s">
        <v>75</v>
      </c>
      <c r="F119" s="19" t="s">
        <v>8</v>
      </c>
      <c r="G119" s="19" t="s">
        <v>837</v>
      </c>
      <c r="H119" s="556" t="s">
        <v>837</v>
      </c>
      <c r="I119" s="556" t="s">
        <v>837</v>
      </c>
      <c r="J119" s="556" t="s">
        <v>837</v>
      </c>
      <c r="K119" s="556" t="s">
        <v>837</v>
      </c>
      <c r="L119" s="556" t="s">
        <v>837</v>
      </c>
      <c r="M119" s="556" t="s">
        <v>837</v>
      </c>
      <c r="N119" s="556" t="s">
        <v>837</v>
      </c>
      <c r="O119" s="556" t="s">
        <v>837</v>
      </c>
      <c r="P119" s="556" t="s">
        <v>837</v>
      </c>
      <c r="Q119" s="556" t="s">
        <v>837</v>
      </c>
      <c r="R119" s="556" t="s">
        <v>837</v>
      </c>
      <c r="S119" s="556" t="s">
        <v>837</v>
      </c>
      <c r="T119" s="556" t="s">
        <v>837</v>
      </c>
      <c r="U119" s="556" t="s">
        <v>837</v>
      </c>
      <c r="V119" s="556" t="s">
        <v>837</v>
      </c>
      <c r="W119" s="556" t="s">
        <v>837</v>
      </c>
      <c r="X119" s="556" t="s">
        <v>837</v>
      </c>
      <c r="Y119" s="556" t="s">
        <v>837</v>
      </c>
      <c r="Z119" s="556" t="s">
        <v>837</v>
      </c>
      <c r="AA119" s="556" t="s">
        <v>837</v>
      </c>
      <c r="AB119" s="556" t="s">
        <v>837</v>
      </c>
      <c r="AC119" s="556" t="s">
        <v>837</v>
      </c>
      <c r="AD119" s="556" t="s">
        <v>837</v>
      </c>
      <c r="AE119" s="556" t="s">
        <v>837</v>
      </c>
      <c r="AF119" s="556" t="s">
        <v>837</v>
      </c>
      <c r="AG119" s="556" t="s">
        <v>837</v>
      </c>
      <c r="AH119" s="556" t="s">
        <v>837</v>
      </c>
      <c r="AI119" s="556" t="s">
        <v>837</v>
      </c>
      <c r="AJ119" s="556" t="s">
        <v>837</v>
      </c>
      <c r="AK119" s="556" t="s">
        <v>837</v>
      </c>
      <c r="AL119" s="556" t="s">
        <v>837</v>
      </c>
      <c r="AM119" s="556" t="s">
        <v>837</v>
      </c>
      <c r="AN119" s="556" t="s">
        <v>837</v>
      </c>
      <c r="AO119" s="556" t="s">
        <v>837</v>
      </c>
      <c r="AP119" s="556" t="s">
        <v>837</v>
      </c>
      <c r="AQ119" s="556" t="s">
        <v>837</v>
      </c>
      <c r="AR119" s="556" t="s">
        <v>837</v>
      </c>
      <c r="AS119" s="556" t="s">
        <v>837</v>
      </c>
      <c r="AT119" s="556" t="s">
        <v>837</v>
      </c>
      <c r="AU119" s="556" t="s">
        <v>837</v>
      </c>
      <c r="AV119" s="556" t="s">
        <v>837</v>
      </c>
      <c r="AW119" s="556" t="s">
        <v>837</v>
      </c>
      <c r="AX119" s="556" t="s">
        <v>837</v>
      </c>
      <c r="AY119" s="556" t="s">
        <v>837</v>
      </c>
      <c r="AZ119" s="556" t="s">
        <v>837</v>
      </c>
      <c r="BA119" s="556" t="s">
        <v>837</v>
      </c>
      <c r="BB119" s="556" t="s">
        <v>837</v>
      </c>
      <c r="BC119" s="556" t="s">
        <v>837</v>
      </c>
      <c r="BD119" s="556" t="s">
        <v>837</v>
      </c>
      <c r="BE119" s="556" t="s">
        <v>837</v>
      </c>
      <c r="BF119" s="636"/>
      <c r="BG119" s="636"/>
      <c r="BH119" s="636">
        <v>20001</v>
      </c>
      <c r="BI119" s="576"/>
      <c r="BJ119" s="576"/>
      <c r="BK119" s="576"/>
      <c r="BL119" s="602"/>
      <c r="BM119" s="553" t="s">
        <v>837</v>
      </c>
      <c r="BN119" s="612" t="s">
        <v>837</v>
      </c>
      <c r="BO119" s="576"/>
      <c r="BP119" s="606"/>
      <c r="BQ119" s="576"/>
      <c r="BR119" s="570"/>
      <c r="BS119" s="547"/>
      <c r="BT119" s="549"/>
      <c r="BU119" s="549"/>
      <c r="BV119" s="549"/>
      <c r="BW119" s="549"/>
      <c r="BX119" s="549"/>
      <c r="BY119" s="549"/>
      <c r="BZ119" s="549"/>
      <c r="CA119" s="549"/>
      <c r="CB119" s="549"/>
      <c r="CC119" s="549"/>
      <c r="CD119" s="548"/>
      <c r="CE119" s="547"/>
      <c r="CF119" s="549"/>
      <c r="CG119" s="549"/>
      <c r="CH119" s="549"/>
      <c r="CI119" s="549"/>
      <c r="CJ119" s="549"/>
      <c r="CK119" s="549"/>
      <c r="CL119" s="549"/>
      <c r="CM119" s="549"/>
      <c r="CN119" s="548"/>
      <c r="CO119" s="640"/>
      <c r="CP119" s="640"/>
      <c r="CQ119" s="640"/>
      <c r="CR119" s="640"/>
      <c r="CS119" s="640"/>
      <c r="CT119" s="640"/>
      <c r="CU119" s="640"/>
      <c r="CV119" s="640"/>
      <c r="CW119" s="640"/>
      <c r="CX119" s="640"/>
      <c r="CY119" s="640"/>
      <c r="CZ119" s="640"/>
      <c r="DA119" s="640"/>
      <c r="DB119" s="640"/>
      <c r="DC119" s="640"/>
      <c r="DD119" s="640"/>
      <c r="DE119" s="640"/>
      <c r="DF119" s="640"/>
      <c r="DG119" s="640"/>
      <c r="DH119" s="640"/>
      <c r="DI119" s="641"/>
      <c r="DJ119" s="641"/>
      <c r="DK119" s="641"/>
      <c r="DL119" s="641"/>
      <c r="DM119" s="641"/>
      <c r="DN119" s="641"/>
      <c r="DO119" s="641"/>
      <c r="DP119" s="576"/>
      <c r="DQ119" s="576"/>
      <c r="DR119" s="576"/>
      <c r="DS119" s="576"/>
      <c r="DT119" s="576"/>
      <c r="DU119" s="576"/>
      <c r="DV119" s="576"/>
      <c r="DW119" s="576"/>
      <c r="DX119" s="576"/>
      <c r="DY119" s="576"/>
      <c r="DZ119" s="576"/>
      <c r="EA119" s="576"/>
      <c r="EB119" s="576"/>
      <c r="EC119" s="576"/>
      <c r="ED119" s="576"/>
      <c r="EE119" s="576"/>
      <c r="EF119" s="576"/>
      <c r="EG119" s="576"/>
      <c r="EH119" s="576"/>
    </row>
    <row r="120" spans="1:138" s="14" customFormat="1" x14ac:dyDescent="0.25">
      <c r="A120" s="8">
        <v>116</v>
      </c>
      <c r="B120" s="4" t="s">
        <v>728</v>
      </c>
      <c r="C120" s="4"/>
      <c r="D120" s="4" t="s">
        <v>57</v>
      </c>
      <c r="E120" s="4" t="s">
        <v>75</v>
      </c>
      <c r="F120" s="19" t="s">
        <v>8</v>
      </c>
      <c r="G120" s="19" t="s">
        <v>837</v>
      </c>
      <c r="H120" s="556" t="s">
        <v>837</v>
      </c>
      <c r="I120" s="556" t="s">
        <v>837</v>
      </c>
      <c r="J120" s="556" t="s">
        <v>837</v>
      </c>
      <c r="K120" s="556" t="s">
        <v>837</v>
      </c>
      <c r="L120" s="556" t="s">
        <v>837</v>
      </c>
      <c r="M120" s="556" t="s">
        <v>837</v>
      </c>
      <c r="N120" s="556" t="s">
        <v>837</v>
      </c>
      <c r="O120" s="556" t="s">
        <v>837</v>
      </c>
      <c r="P120" s="556" t="s">
        <v>837</v>
      </c>
      <c r="Q120" s="556" t="s">
        <v>837</v>
      </c>
      <c r="R120" s="556" t="s">
        <v>837</v>
      </c>
      <c r="S120" s="556" t="s">
        <v>837</v>
      </c>
      <c r="T120" s="556" t="s">
        <v>837</v>
      </c>
      <c r="U120" s="556" t="s">
        <v>837</v>
      </c>
      <c r="V120" s="556" t="s">
        <v>837</v>
      </c>
      <c r="W120" s="556" t="s">
        <v>837</v>
      </c>
      <c r="X120" s="556" t="s">
        <v>837</v>
      </c>
      <c r="Y120" s="556" t="s">
        <v>837</v>
      </c>
      <c r="Z120" s="556" t="s">
        <v>837</v>
      </c>
      <c r="AA120" s="556" t="s">
        <v>837</v>
      </c>
      <c r="AB120" s="556" t="s">
        <v>837</v>
      </c>
      <c r="AC120" s="556" t="s">
        <v>837</v>
      </c>
      <c r="AD120" s="556" t="s">
        <v>837</v>
      </c>
      <c r="AE120" s="556" t="s">
        <v>837</v>
      </c>
      <c r="AF120" s="556" t="s">
        <v>837</v>
      </c>
      <c r="AG120" s="556" t="s">
        <v>837</v>
      </c>
      <c r="AH120" s="556" t="s">
        <v>837</v>
      </c>
      <c r="AI120" s="556" t="s">
        <v>837</v>
      </c>
      <c r="AJ120" s="556" t="s">
        <v>837</v>
      </c>
      <c r="AK120" s="556" t="s">
        <v>837</v>
      </c>
      <c r="AL120" s="556" t="s">
        <v>837</v>
      </c>
      <c r="AM120" s="556" t="s">
        <v>837</v>
      </c>
      <c r="AN120" s="556" t="s">
        <v>837</v>
      </c>
      <c r="AO120" s="556" t="s">
        <v>837</v>
      </c>
      <c r="AP120" s="556" t="s">
        <v>837</v>
      </c>
      <c r="AQ120" s="556" t="s">
        <v>837</v>
      </c>
      <c r="AR120" s="556" t="s">
        <v>837</v>
      </c>
      <c r="AS120" s="556" t="s">
        <v>837</v>
      </c>
      <c r="AT120" s="556" t="s">
        <v>837</v>
      </c>
      <c r="AU120" s="556" t="s">
        <v>837</v>
      </c>
      <c r="AV120" s="556" t="s">
        <v>837</v>
      </c>
      <c r="AW120" s="556" t="s">
        <v>837</v>
      </c>
      <c r="AX120" s="556" t="s">
        <v>837</v>
      </c>
      <c r="AY120" s="556" t="s">
        <v>837</v>
      </c>
      <c r="AZ120" s="556" t="s">
        <v>837</v>
      </c>
      <c r="BA120" s="556" t="s">
        <v>837</v>
      </c>
      <c r="BB120" s="556" t="s">
        <v>837</v>
      </c>
      <c r="BC120" s="556" t="s">
        <v>837</v>
      </c>
      <c r="BD120" s="556" t="s">
        <v>837</v>
      </c>
      <c r="BE120" s="556" t="s">
        <v>837</v>
      </c>
      <c r="BF120" s="636"/>
      <c r="BG120" s="636"/>
      <c r="BH120" s="636">
        <v>20001</v>
      </c>
      <c r="BI120" s="576"/>
      <c r="BJ120" s="576"/>
      <c r="BK120" s="576"/>
      <c r="BL120" s="602"/>
      <c r="BM120" s="553" t="s">
        <v>837</v>
      </c>
      <c r="BN120" s="612" t="s">
        <v>837</v>
      </c>
      <c r="BO120" s="576"/>
      <c r="BP120" s="606"/>
      <c r="BQ120" s="576"/>
      <c r="BR120" s="570"/>
      <c r="BS120" s="547"/>
      <c r="BT120" s="549"/>
      <c r="BU120" s="549"/>
      <c r="BV120" s="549"/>
      <c r="BW120" s="549"/>
      <c r="BX120" s="549"/>
      <c r="BY120" s="549"/>
      <c r="BZ120" s="549"/>
      <c r="CA120" s="549"/>
      <c r="CB120" s="549"/>
      <c r="CC120" s="549"/>
      <c r="CD120" s="548"/>
      <c r="CE120" s="547"/>
      <c r="CF120" s="549"/>
      <c r="CG120" s="549"/>
      <c r="CH120" s="549"/>
      <c r="CI120" s="549"/>
      <c r="CJ120" s="549"/>
      <c r="CK120" s="549"/>
      <c r="CL120" s="549"/>
      <c r="CM120" s="549"/>
      <c r="CN120" s="548"/>
      <c r="CO120" s="640"/>
      <c r="CP120" s="640"/>
      <c r="CQ120" s="640"/>
      <c r="CR120" s="640"/>
      <c r="CS120" s="640"/>
      <c r="CT120" s="640"/>
      <c r="CU120" s="640"/>
      <c r="CV120" s="640"/>
      <c r="CW120" s="640"/>
      <c r="CX120" s="640"/>
      <c r="CY120" s="640"/>
      <c r="CZ120" s="640"/>
      <c r="DA120" s="640"/>
      <c r="DB120" s="640"/>
      <c r="DC120" s="640"/>
      <c r="DD120" s="640"/>
      <c r="DE120" s="640"/>
      <c r="DF120" s="640"/>
      <c r="DG120" s="640"/>
      <c r="DH120" s="640"/>
      <c r="DI120" s="641"/>
      <c r="DJ120" s="641"/>
      <c r="DK120" s="641"/>
      <c r="DL120" s="641"/>
      <c r="DM120" s="641"/>
      <c r="DN120" s="641"/>
      <c r="DO120" s="641"/>
      <c r="DP120" s="576"/>
      <c r="DQ120" s="576"/>
      <c r="DR120" s="576"/>
      <c r="DS120" s="576"/>
      <c r="DT120" s="576"/>
      <c r="DU120" s="576"/>
      <c r="DV120" s="576"/>
      <c r="DW120" s="576"/>
      <c r="DX120" s="576"/>
      <c r="DY120" s="576"/>
      <c r="DZ120" s="576"/>
      <c r="EA120" s="576"/>
      <c r="EB120" s="576"/>
      <c r="EC120" s="576"/>
      <c r="ED120" s="576"/>
      <c r="EE120" s="576"/>
      <c r="EF120" s="576"/>
      <c r="EG120" s="576"/>
      <c r="EH120" s="576"/>
    </row>
    <row r="121" spans="1:138" s="14" customFormat="1" x14ac:dyDescent="0.25">
      <c r="A121" s="8">
        <v>117</v>
      </c>
      <c r="B121" s="4" t="s">
        <v>727</v>
      </c>
      <c r="C121" s="4"/>
      <c r="D121" s="4" t="s">
        <v>57</v>
      </c>
      <c r="E121" s="4" t="s">
        <v>75</v>
      </c>
      <c r="F121" s="19" t="s">
        <v>8</v>
      </c>
      <c r="G121" s="19" t="s">
        <v>837</v>
      </c>
      <c r="H121" s="556" t="s">
        <v>837</v>
      </c>
      <c r="I121" s="556" t="s">
        <v>837</v>
      </c>
      <c r="J121" s="556" t="s">
        <v>837</v>
      </c>
      <c r="K121" s="556" t="s">
        <v>837</v>
      </c>
      <c r="L121" s="556" t="s">
        <v>837</v>
      </c>
      <c r="M121" s="556" t="s">
        <v>837</v>
      </c>
      <c r="N121" s="556" t="s">
        <v>837</v>
      </c>
      <c r="O121" s="556" t="s">
        <v>837</v>
      </c>
      <c r="P121" s="556" t="s">
        <v>837</v>
      </c>
      <c r="Q121" s="556" t="s">
        <v>837</v>
      </c>
      <c r="R121" s="556" t="s">
        <v>837</v>
      </c>
      <c r="S121" s="556" t="s">
        <v>837</v>
      </c>
      <c r="T121" s="556" t="s">
        <v>837</v>
      </c>
      <c r="U121" s="556" t="s">
        <v>837</v>
      </c>
      <c r="V121" s="556" t="s">
        <v>837</v>
      </c>
      <c r="W121" s="556" t="s">
        <v>837</v>
      </c>
      <c r="X121" s="556" t="s">
        <v>837</v>
      </c>
      <c r="Y121" s="556" t="s">
        <v>837</v>
      </c>
      <c r="Z121" s="556" t="s">
        <v>837</v>
      </c>
      <c r="AA121" s="556" t="s">
        <v>837</v>
      </c>
      <c r="AB121" s="556" t="s">
        <v>837</v>
      </c>
      <c r="AC121" s="556" t="s">
        <v>837</v>
      </c>
      <c r="AD121" s="556" t="s">
        <v>837</v>
      </c>
      <c r="AE121" s="556" t="s">
        <v>837</v>
      </c>
      <c r="AF121" s="556" t="s">
        <v>837</v>
      </c>
      <c r="AG121" s="556" t="s">
        <v>837</v>
      </c>
      <c r="AH121" s="556" t="s">
        <v>837</v>
      </c>
      <c r="AI121" s="556" t="s">
        <v>837</v>
      </c>
      <c r="AJ121" s="556" t="s">
        <v>837</v>
      </c>
      <c r="AK121" s="556" t="s">
        <v>837</v>
      </c>
      <c r="AL121" s="556" t="s">
        <v>837</v>
      </c>
      <c r="AM121" s="556" t="s">
        <v>837</v>
      </c>
      <c r="AN121" s="556" t="s">
        <v>837</v>
      </c>
      <c r="AO121" s="556" t="s">
        <v>837</v>
      </c>
      <c r="AP121" s="556" t="s">
        <v>837</v>
      </c>
      <c r="AQ121" s="556" t="s">
        <v>837</v>
      </c>
      <c r="AR121" s="556" t="s">
        <v>837</v>
      </c>
      <c r="AS121" s="556" t="s">
        <v>837</v>
      </c>
      <c r="AT121" s="556" t="s">
        <v>837</v>
      </c>
      <c r="AU121" s="556" t="s">
        <v>837</v>
      </c>
      <c r="AV121" s="556" t="s">
        <v>837</v>
      </c>
      <c r="AW121" s="556" t="s">
        <v>837</v>
      </c>
      <c r="AX121" s="556" t="s">
        <v>837</v>
      </c>
      <c r="AY121" s="556" t="s">
        <v>837</v>
      </c>
      <c r="AZ121" s="556" t="s">
        <v>837</v>
      </c>
      <c r="BA121" s="556" t="s">
        <v>837</v>
      </c>
      <c r="BB121" s="556" t="s">
        <v>837</v>
      </c>
      <c r="BC121" s="556" t="s">
        <v>837</v>
      </c>
      <c r="BD121" s="556" t="s">
        <v>837</v>
      </c>
      <c r="BE121" s="556" t="s">
        <v>837</v>
      </c>
      <c r="BF121" s="614"/>
      <c r="BG121" s="614"/>
      <c r="BH121" s="614"/>
      <c r="BI121" s="576"/>
      <c r="BJ121" s="576"/>
      <c r="BK121" s="576"/>
      <c r="BL121" s="602"/>
      <c r="BM121" s="553" t="s">
        <v>837</v>
      </c>
      <c r="BN121" s="612" t="s">
        <v>837</v>
      </c>
      <c r="BO121" s="576"/>
      <c r="BP121" s="606"/>
      <c r="BQ121" s="576"/>
      <c r="BR121" s="570"/>
      <c r="BS121" s="547"/>
      <c r="BT121" s="549"/>
      <c r="BU121" s="549"/>
      <c r="BV121" s="549"/>
      <c r="BW121" s="549"/>
      <c r="BX121" s="549"/>
      <c r="BY121" s="549"/>
      <c r="BZ121" s="549"/>
      <c r="CA121" s="549"/>
      <c r="CB121" s="549"/>
      <c r="CC121" s="549"/>
      <c r="CD121" s="548"/>
      <c r="CE121" s="547"/>
      <c r="CF121" s="549"/>
      <c r="CG121" s="549"/>
      <c r="CH121" s="549"/>
      <c r="CI121" s="549"/>
      <c r="CJ121" s="549"/>
      <c r="CK121" s="549"/>
      <c r="CL121" s="549"/>
      <c r="CM121" s="549"/>
      <c r="CN121" s="548"/>
      <c r="CO121" s="640"/>
      <c r="CP121" s="640"/>
      <c r="CQ121" s="640"/>
      <c r="CR121" s="640"/>
      <c r="CS121" s="640"/>
      <c r="CT121" s="640"/>
      <c r="CU121" s="640"/>
      <c r="CV121" s="640"/>
      <c r="CW121" s="640"/>
      <c r="CX121" s="640"/>
      <c r="CY121" s="640"/>
      <c r="CZ121" s="640"/>
      <c r="DA121" s="640"/>
      <c r="DB121" s="640"/>
      <c r="DC121" s="640"/>
      <c r="DD121" s="640"/>
      <c r="DE121" s="640"/>
      <c r="DF121" s="640"/>
      <c r="DG121" s="640"/>
      <c r="DH121" s="640"/>
      <c r="DI121" s="641"/>
      <c r="DJ121" s="641"/>
      <c r="DK121" s="641"/>
      <c r="DL121" s="641"/>
      <c r="DM121" s="641"/>
      <c r="DN121" s="641"/>
      <c r="DO121" s="641"/>
      <c r="DP121" s="576"/>
      <c r="DQ121" s="576"/>
      <c r="DR121" s="576"/>
      <c r="DS121" s="576"/>
      <c r="DT121" s="576"/>
      <c r="DU121" s="576"/>
      <c r="DV121" s="576"/>
      <c r="DW121" s="576"/>
      <c r="DX121" s="576"/>
      <c r="DY121" s="576"/>
      <c r="DZ121" s="576"/>
      <c r="EA121" s="576"/>
      <c r="EB121" s="576"/>
      <c r="EC121" s="576"/>
      <c r="ED121" s="576"/>
      <c r="EE121" s="576"/>
      <c r="EF121" s="576"/>
      <c r="EG121" s="576"/>
      <c r="EH121" s="576"/>
    </row>
    <row r="122" spans="1:138" s="14" customFormat="1" x14ac:dyDescent="0.25">
      <c r="A122" s="8">
        <v>118</v>
      </c>
      <c r="B122" s="4" t="s">
        <v>726</v>
      </c>
      <c r="C122" s="4"/>
      <c r="D122" s="4" t="s">
        <v>57</v>
      </c>
      <c r="E122" s="4" t="s">
        <v>75</v>
      </c>
      <c r="F122" s="19" t="s">
        <v>8</v>
      </c>
      <c r="G122" s="19" t="s">
        <v>837</v>
      </c>
      <c r="H122" s="556" t="s">
        <v>837</v>
      </c>
      <c r="I122" s="556" t="s">
        <v>837</v>
      </c>
      <c r="J122" s="556" t="s">
        <v>837</v>
      </c>
      <c r="K122" s="556" t="s">
        <v>837</v>
      </c>
      <c r="L122" s="556" t="s">
        <v>837</v>
      </c>
      <c r="M122" s="556" t="s">
        <v>837</v>
      </c>
      <c r="N122" s="556" t="s">
        <v>837</v>
      </c>
      <c r="O122" s="556" t="s">
        <v>837</v>
      </c>
      <c r="P122" s="556" t="s">
        <v>837</v>
      </c>
      <c r="Q122" s="556" t="s">
        <v>837</v>
      </c>
      <c r="R122" s="556" t="s">
        <v>837</v>
      </c>
      <c r="S122" s="556" t="s">
        <v>837</v>
      </c>
      <c r="T122" s="556" t="s">
        <v>837</v>
      </c>
      <c r="U122" s="556" t="s">
        <v>837</v>
      </c>
      <c r="V122" s="556" t="s">
        <v>837</v>
      </c>
      <c r="W122" s="556" t="s">
        <v>837</v>
      </c>
      <c r="X122" s="556" t="s">
        <v>837</v>
      </c>
      <c r="Y122" s="556" t="s">
        <v>837</v>
      </c>
      <c r="Z122" s="556" t="s">
        <v>837</v>
      </c>
      <c r="AA122" s="556" t="s">
        <v>837</v>
      </c>
      <c r="AB122" s="556" t="s">
        <v>837</v>
      </c>
      <c r="AC122" s="556" t="s">
        <v>837</v>
      </c>
      <c r="AD122" s="556" t="s">
        <v>837</v>
      </c>
      <c r="AE122" s="556" t="s">
        <v>837</v>
      </c>
      <c r="AF122" s="556" t="s">
        <v>837</v>
      </c>
      <c r="AG122" s="556" t="s">
        <v>837</v>
      </c>
      <c r="AH122" s="556" t="s">
        <v>837</v>
      </c>
      <c r="AI122" s="556" t="s">
        <v>837</v>
      </c>
      <c r="AJ122" s="556" t="s">
        <v>837</v>
      </c>
      <c r="AK122" s="556" t="s">
        <v>837</v>
      </c>
      <c r="AL122" s="556" t="s">
        <v>837</v>
      </c>
      <c r="AM122" s="556" t="s">
        <v>837</v>
      </c>
      <c r="AN122" s="556" t="s">
        <v>837</v>
      </c>
      <c r="AO122" s="556" t="s">
        <v>837</v>
      </c>
      <c r="AP122" s="556" t="s">
        <v>837</v>
      </c>
      <c r="AQ122" s="556" t="s">
        <v>837</v>
      </c>
      <c r="AR122" s="556" t="s">
        <v>837</v>
      </c>
      <c r="AS122" s="556" t="s">
        <v>837</v>
      </c>
      <c r="AT122" s="556" t="s">
        <v>837</v>
      </c>
      <c r="AU122" s="556" t="s">
        <v>837</v>
      </c>
      <c r="AV122" s="556" t="s">
        <v>837</v>
      </c>
      <c r="AW122" s="556" t="s">
        <v>837</v>
      </c>
      <c r="AX122" s="556" t="s">
        <v>837</v>
      </c>
      <c r="AY122" s="556" t="s">
        <v>837</v>
      </c>
      <c r="AZ122" s="556" t="s">
        <v>837</v>
      </c>
      <c r="BA122" s="556" t="s">
        <v>837</v>
      </c>
      <c r="BB122" s="556" t="s">
        <v>837</v>
      </c>
      <c r="BC122" s="556" t="s">
        <v>837</v>
      </c>
      <c r="BD122" s="556" t="s">
        <v>837</v>
      </c>
      <c r="BE122" s="556" t="s">
        <v>837</v>
      </c>
      <c r="BF122" s="614"/>
      <c r="BG122" s="614"/>
      <c r="BH122" s="614"/>
      <c r="BI122" s="576"/>
      <c r="BJ122" s="576"/>
      <c r="BK122" s="576"/>
      <c r="BL122" s="602"/>
      <c r="BM122" s="553" t="s">
        <v>837</v>
      </c>
      <c r="BN122" s="612" t="s">
        <v>837</v>
      </c>
      <c r="BO122" s="576"/>
      <c r="BP122" s="606"/>
      <c r="BQ122" s="576"/>
      <c r="BR122" s="570"/>
      <c r="BS122" s="547"/>
      <c r="BT122" s="549"/>
      <c r="BU122" s="549"/>
      <c r="BV122" s="549"/>
      <c r="BW122" s="549"/>
      <c r="BX122" s="549"/>
      <c r="BY122" s="549"/>
      <c r="BZ122" s="549"/>
      <c r="CA122" s="549"/>
      <c r="CB122" s="549"/>
      <c r="CC122" s="549"/>
      <c r="CD122" s="548"/>
      <c r="CE122" s="547"/>
      <c r="CF122" s="549"/>
      <c r="CG122" s="549"/>
      <c r="CH122" s="549"/>
      <c r="CI122" s="549"/>
      <c r="CJ122" s="549"/>
      <c r="CK122" s="549"/>
      <c r="CL122" s="549"/>
      <c r="CM122" s="549"/>
      <c r="CN122" s="548"/>
      <c r="CO122" s="640"/>
      <c r="CP122" s="640"/>
      <c r="CQ122" s="640"/>
      <c r="CR122" s="640"/>
      <c r="CS122" s="640"/>
      <c r="CT122" s="640"/>
      <c r="CU122" s="640"/>
      <c r="CV122" s="640"/>
      <c r="CW122" s="640"/>
      <c r="CX122" s="640"/>
      <c r="CY122" s="640"/>
      <c r="CZ122" s="640"/>
      <c r="DA122" s="640"/>
      <c r="DB122" s="640"/>
      <c r="DC122" s="640"/>
      <c r="DD122" s="640"/>
      <c r="DE122" s="640"/>
      <c r="DF122" s="640"/>
      <c r="DG122" s="640"/>
      <c r="DH122" s="640"/>
      <c r="DI122" s="641"/>
      <c r="DJ122" s="641"/>
      <c r="DK122" s="641"/>
      <c r="DL122" s="641"/>
      <c r="DM122" s="641"/>
      <c r="DN122" s="641"/>
      <c r="DO122" s="641"/>
      <c r="DP122" s="576"/>
      <c r="DQ122" s="576"/>
      <c r="DR122" s="576"/>
      <c r="DS122" s="576"/>
      <c r="DT122" s="576"/>
      <c r="DU122" s="576"/>
      <c r="DV122" s="576"/>
      <c r="DW122" s="576"/>
      <c r="DX122" s="576"/>
      <c r="DY122" s="576"/>
      <c r="DZ122" s="576"/>
      <c r="EA122" s="576"/>
      <c r="EB122" s="576"/>
      <c r="EC122" s="576"/>
      <c r="ED122" s="576"/>
      <c r="EE122" s="576"/>
      <c r="EF122" s="576"/>
      <c r="EG122" s="576"/>
      <c r="EH122" s="576"/>
    </row>
    <row r="123" spans="1:138" s="14" customFormat="1" x14ac:dyDescent="0.25">
      <c r="A123" s="8">
        <v>119</v>
      </c>
      <c r="B123" s="4" t="s">
        <v>42</v>
      </c>
      <c r="C123" s="4"/>
      <c r="D123" s="4" t="s">
        <v>54</v>
      </c>
      <c r="E123" s="4" t="s">
        <v>75</v>
      </c>
      <c r="F123" s="19" t="s">
        <v>8</v>
      </c>
      <c r="G123" s="19" t="s">
        <v>837</v>
      </c>
      <c r="H123" s="556" t="s">
        <v>837</v>
      </c>
      <c r="I123" s="556" t="s">
        <v>837</v>
      </c>
      <c r="J123" s="556" t="s">
        <v>837</v>
      </c>
      <c r="K123" s="556">
        <v>10004</v>
      </c>
      <c r="L123" s="556" t="s">
        <v>837</v>
      </c>
      <c r="M123" s="556" t="s">
        <v>837</v>
      </c>
      <c r="N123" s="556" t="s">
        <v>837</v>
      </c>
      <c r="O123" s="556" t="s">
        <v>837</v>
      </c>
      <c r="P123" s="556">
        <v>10004</v>
      </c>
      <c r="Q123" s="556" t="s">
        <v>837</v>
      </c>
      <c r="R123" s="556" t="s">
        <v>837</v>
      </c>
      <c r="S123" s="556" t="s">
        <v>837</v>
      </c>
      <c r="T123" s="556" t="s">
        <v>837</v>
      </c>
      <c r="U123" s="556">
        <v>10004</v>
      </c>
      <c r="V123" s="556" t="s">
        <v>837</v>
      </c>
      <c r="W123" s="556" t="s">
        <v>837</v>
      </c>
      <c r="X123" s="556" t="s">
        <v>837</v>
      </c>
      <c r="Y123" s="556" t="s">
        <v>837</v>
      </c>
      <c r="Z123" s="556" t="s">
        <v>837</v>
      </c>
      <c r="AA123" s="556" t="s">
        <v>837</v>
      </c>
      <c r="AB123" s="556" t="s">
        <v>837</v>
      </c>
      <c r="AC123" s="556" t="s">
        <v>837</v>
      </c>
      <c r="AD123" s="556" t="s">
        <v>837</v>
      </c>
      <c r="AE123" s="556">
        <v>10004</v>
      </c>
      <c r="AF123" s="556" t="s">
        <v>837</v>
      </c>
      <c r="AG123" s="556" t="s">
        <v>837</v>
      </c>
      <c r="AH123" s="556" t="s">
        <v>837</v>
      </c>
      <c r="AI123" s="556" t="s">
        <v>837</v>
      </c>
      <c r="AJ123" s="556">
        <v>10004</v>
      </c>
      <c r="AK123" s="556" t="s">
        <v>837</v>
      </c>
      <c r="AL123" s="556" t="s">
        <v>837</v>
      </c>
      <c r="AM123" s="556" t="s">
        <v>837</v>
      </c>
      <c r="AN123" s="556" t="s">
        <v>837</v>
      </c>
      <c r="AO123" s="556">
        <v>10004</v>
      </c>
      <c r="AP123" s="556" t="s">
        <v>837</v>
      </c>
      <c r="AQ123" s="556" t="s">
        <v>837</v>
      </c>
      <c r="AR123" s="556" t="s">
        <v>837</v>
      </c>
      <c r="AS123" s="556" t="s">
        <v>837</v>
      </c>
      <c r="AT123" s="556">
        <v>10004</v>
      </c>
      <c r="AU123" s="556" t="s">
        <v>837</v>
      </c>
      <c r="AV123" s="556" t="s">
        <v>837</v>
      </c>
      <c r="AW123" s="556" t="s">
        <v>837</v>
      </c>
      <c r="AX123" s="556" t="s">
        <v>837</v>
      </c>
      <c r="AY123" s="556" t="s">
        <v>837</v>
      </c>
      <c r="AZ123" s="556" t="s">
        <v>837</v>
      </c>
      <c r="BA123" s="556" t="s">
        <v>837</v>
      </c>
      <c r="BB123" s="556" t="s">
        <v>837</v>
      </c>
      <c r="BC123" s="556" t="s">
        <v>837</v>
      </c>
      <c r="BD123" s="556">
        <v>10004</v>
      </c>
      <c r="BE123" s="556" t="s">
        <v>837</v>
      </c>
      <c r="BF123" s="612"/>
      <c r="BG123" s="612"/>
      <c r="BH123" s="612"/>
      <c r="BI123" s="576"/>
      <c r="BJ123" s="576"/>
      <c r="BK123" s="576"/>
      <c r="BL123" s="602"/>
      <c r="BM123" s="553" t="s">
        <v>837</v>
      </c>
      <c r="BN123" s="612" t="s">
        <v>837</v>
      </c>
      <c r="BO123" s="576"/>
      <c r="BP123" s="606"/>
      <c r="BQ123" s="576"/>
      <c r="BR123" s="570"/>
      <c r="BS123" s="547"/>
      <c r="BT123" s="549"/>
      <c r="BU123" s="549"/>
      <c r="BV123" s="549"/>
      <c r="BW123" s="549"/>
      <c r="BX123" s="549"/>
      <c r="BY123" s="549"/>
      <c r="BZ123" s="549"/>
      <c r="CA123" s="549"/>
      <c r="CB123" s="549"/>
      <c r="CC123" s="549"/>
      <c r="CD123" s="548"/>
      <c r="CE123" s="547"/>
      <c r="CF123" s="549"/>
      <c r="CG123" s="549"/>
      <c r="CH123" s="549"/>
      <c r="CI123" s="549"/>
      <c r="CJ123" s="549"/>
      <c r="CK123" s="549"/>
      <c r="CL123" s="549"/>
      <c r="CM123" s="549"/>
      <c r="CN123" s="548"/>
      <c r="CO123" s="640"/>
      <c r="CP123" s="640"/>
      <c r="CQ123" s="640"/>
      <c r="CR123" s="640"/>
      <c r="CS123" s="640"/>
      <c r="CT123" s="640"/>
      <c r="CU123" s="640"/>
      <c r="CV123" s="640"/>
      <c r="CW123" s="640"/>
      <c r="CX123" s="640"/>
      <c r="CY123" s="640"/>
      <c r="CZ123" s="640"/>
      <c r="DA123" s="640"/>
      <c r="DB123" s="640"/>
      <c r="DC123" s="640"/>
      <c r="DD123" s="640"/>
      <c r="DE123" s="640"/>
      <c r="DF123" s="640"/>
      <c r="DG123" s="640"/>
      <c r="DH123" s="640"/>
      <c r="DI123" s="641"/>
      <c r="DJ123" s="641"/>
      <c r="DK123" s="641"/>
      <c r="DL123" s="641"/>
      <c r="DM123" s="641"/>
      <c r="DN123" s="641"/>
      <c r="DO123" s="641"/>
      <c r="DP123" s="576"/>
      <c r="DQ123" s="576"/>
      <c r="DR123" s="576"/>
      <c r="DS123" s="576"/>
      <c r="DT123" s="576"/>
      <c r="DU123" s="576"/>
      <c r="DV123" s="576"/>
      <c r="DW123" s="576"/>
      <c r="DX123" s="576"/>
      <c r="DY123" s="576"/>
      <c r="DZ123" s="576"/>
      <c r="EA123" s="576"/>
      <c r="EB123" s="576"/>
      <c r="EC123" s="576"/>
      <c r="ED123" s="576"/>
      <c r="EE123" s="576"/>
      <c r="EF123" s="576"/>
      <c r="EG123" s="576"/>
      <c r="EH123" s="576"/>
    </row>
    <row r="124" spans="1:138" s="14" customFormat="1" x14ac:dyDescent="0.25">
      <c r="A124" s="8">
        <v>120</v>
      </c>
      <c r="B124" s="4" t="s">
        <v>725</v>
      </c>
      <c r="C124" s="4"/>
      <c r="D124" s="4" t="s">
        <v>54</v>
      </c>
      <c r="E124" s="4" t="s">
        <v>75</v>
      </c>
      <c r="F124" s="19" t="s">
        <v>8</v>
      </c>
      <c r="G124" s="19" t="s">
        <v>837</v>
      </c>
      <c r="H124" s="556" t="s">
        <v>837</v>
      </c>
      <c r="I124" s="556" t="s">
        <v>837</v>
      </c>
      <c r="J124" s="556" t="s">
        <v>837</v>
      </c>
      <c r="K124" s="556" t="s">
        <v>837</v>
      </c>
      <c r="L124" s="556" t="s">
        <v>837</v>
      </c>
      <c r="M124" s="556" t="s">
        <v>837</v>
      </c>
      <c r="N124" s="556" t="s">
        <v>837</v>
      </c>
      <c r="O124" s="556" t="s">
        <v>837</v>
      </c>
      <c r="P124" s="556" t="s">
        <v>837</v>
      </c>
      <c r="Q124" s="556" t="s">
        <v>837</v>
      </c>
      <c r="R124" s="556" t="s">
        <v>837</v>
      </c>
      <c r="S124" s="556" t="s">
        <v>837</v>
      </c>
      <c r="T124" s="556" t="s">
        <v>837</v>
      </c>
      <c r="U124" s="556" t="s">
        <v>837</v>
      </c>
      <c r="V124" s="556" t="s">
        <v>837</v>
      </c>
      <c r="W124" s="556" t="s">
        <v>837</v>
      </c>
      <c r="X124" s="556" t="s">
        <v>837</v>
      </c>
      <c r="Y124" s="556" t="s">
        <v>837</v>
      </c>
      <c r="Z124" s="556" t="s">
        <v>837</v>
      </c>
      <c r="AA124" s="556" t="s">
        <v>837</v>
      </c>
      <c r="AB124" s="556" t="s">
        <v>837</v>
      </c>
      <c r="AC124" s="556" t="s">
        <v>837</v>
      </c>
      <c r="AD124" s="556" t="s">
        <v>837</v>
      </c>
      <c r="AE124" s="556" t="s">
        <v>837</v>
      </c>
      <c r="AF124" s="556" t="s">
        <v>837</v>
      </c>
      <c r="AG124" s="556" t="s">
        <v>837</v>
      </c>
      <c r="AH124" s="556" t="s">
        <v>837</v>
      </c>
      <c r="AI124" s="556" t="s">
        <v>837</v>
      </c>
      <c r="AJ124" s="556" t="s">
        <v>837</v>
      </c>
      <c r="AK124" s="556" t="s">
        <v>837</v>
      </c>
      <c r="AL124" s="556" t="s">
        <v>837</v>
      </c>
      <c r="AM124" s="556" t="s">
        <v>837</v>
      </c>
      <c r="AN124" s="556" t="s">
        <v>837</v>
      </c>
      <c r="AO124" s="556" t="s">
        <v>837</v>
      </c>
      <c r="AP124" s="556" t="s">
        <v>837</v>
      </c>
      <c r="AQ124" s="556" t="s">
        <v>837</v>
      </c>
      <c r="AR124" s="556" t="s">
        <v>837</v>
      </c>
      <c r="AS124" s="556" t="s">
        <v>837</v>
      </c>
      <c r="AT124" s="556" t="s">
        <v>837</v>
      </c>
      <c r="AU124" s="556" t="s">
        <v>837</v>
      </c>
      <c r="AV124" s="556" t="s">
        <v>837</v>
      </c>
      <c r="AW124" s="556" t="s">
        <v>837</v>
      </c>
      <c r="AX124" s="556" t="s">
        <v>837</v>
      </c>
      <c r="AY124" s="556" t="s">
        <v>837</v>
      </c>
      <c r="AZ124" s="556" t="s">
        <v>837</v>
      </c>
      <c r="BA124" s="556" t="s">
        <v>837</v>
      </c>
      <c r="BB124" s="556" t="s">
        <v>837</v>
      </c>
      <c r="BC124" s="556" t="s">
        <v>837</v>
      </c>
      <c r="BD124" s="556" t="s">
        <v>837</v>
      </c>
      <c r="BE124" s="556" t="s">
        <v>837</v>
      </c>
      <c r="BF124" s="612"/>
      <c r="BG124" s="612"/>
      <c r="BH124" s="612"/>
      <c r="BI124" s="576"/>
      <c r="BJ124" s="576"/>
      <c r="BK124" s="576"/>
      <c r="BL124" s="602"/>
      <c r="BM124" s="553" t="s">
        <v>837</v>
      </c>
      <c r="BN124" s="612" t="s">
        <v>837</v>
      </c>
      <c r="BO124" s="576"/>
      <c r="BP124" s="606"/>
      <c r="BQ124" s="576"/>
      <c r="BR124" s="570"/>
      <c r="BS124" s="547"/>
      <c r="BT124" s="549"/>
      <c r="BU124" s="549"/>
      <c r="BV124" s="549"/>
      <c r="BW124" s="549"/>
      <c r="BX124" s="549"/>
      <c r="BY124" s="549"/>
      <c r="BZ124" s="549"/>
      <c r="CA124" s="549"/>
      <c r="CB124" s="549"/>
      <c r="CC124" s="549"/>
      <c r="CD124" s="548"/>
      <c r="CE124" s="547"/>
      <c r="CF124" s="549"/>
      <c r="CG124" s="549"/>
      <c r="CH124" s="549"/>
      <c r="CI124" s="549"/>
      <c r="CJ124" s="549"/>
      <c r="CK124" s="549"/>
      <c r="CL124" s="549"/>
      <c r="CM124" s="549"/>
      <c r="CN124" s="548"/>
      <c r="CO124" s="640"/>
      <c r="CP124" s="640"/>
      <c r="CQ124" s="640"/>
      <c r="CR124" s="640"/>
      <c r="CS124" s="640"/>
      <c r="CT124" s="640"/>
      <c r="CU124" s="640"/>
      <c r="CV124" s="640"/>
      <c r="CW124" s="640"/>
      <c r="CX124" s="640"/>
      <c r="CY124" s="640"/>
      <c r="CZ124" s="640"/>
      <c r="DA124" s="640"/>
      <c r="DB124" s="640"/>
      <c r="DC124" s="640"/>
      <c r="DD124" s="640"/>
      <c r="DE124" s="640"/>
      <c r="DF124" s="640"/>
      <c r="DG124" s="640"/>
      <c r="DH124" s="640"/>
      <c r="DI124" s="641"/>
      <c r="DJ124" s="641"/>
      <c r="DK124" s="641"/>
      <c r="DL124" s="641"/>
      <c r="DM124" s="641"/>
      <c r="DN124" s="641"/>
      <c r="DO124" s="641"/>
      <c r="DP124" s="576"/>
      <c r="DQ124" s="576"/>
      <c r="DR124" s="576"/>
      <c r="DS124" s="576"/>
      <c r="DT124" s="576"/>
      <c r="DU124" s="576"/>
      <c r="DV124" s="576"/>
      <c r="DW124" s="576"/>
      <c r="DX124" s="576"/>
      <c r="DY124" s="576"/>
      <c r="DZ124" s="576"/>
      <c r="EA124" s="576"/>
      <c r="EB124" s="576"/>
      <c r="EC124" s="576"/>
      <c r="ED124" s="576"/>
      <c r="EE124" s="576"/>
      <c r="EF124" s="576"/>
      <c r="EG124" s="576"/>
      <c r="EH124" s="576"/>
    </row>
    <row r="125" spans="1:138" s="14" customFormat="1" x14ac:dyDescent="0.25">
      <c r="A125" s="8">
        <v>121</v>
      </c>
      <c r="B125" s="5" t="s">
        <v>41</v>
      </c>
      <c r="C125" s="5"/>
      <c r="D125" s="4" t="s">
        <v>54</v>
      </c>
      <c r="E125" s="4" t="s">
        <v>75</v>
      </c>
      <c r="F125" s="19" t="s">
        <v>8</v>
      </c>
      <c r="G125" s="19" t="s">
        <v>837</v>
      </c>
      <c r="H125" s="556" t="s">
        <v>837</v>
      </c>
      <c r="I125" s="556" t="s">
        <v>837</v>
      </c>
      <c r="J125" s="556" t="s">
        <v>837</v>
      </c>
      <c r="K125" s="556" t="s">
        <v>837</v>
      </c>
      <c r="L125" s="556" t="s">
        <v>837</v>
      </c>
      <c r="M125" s="556" t="s">
        <v>837</v>
      </c>
      <c r="N125" s="556" t="s">
        <v>837</v>
      </c>
      <c r="O125" s="556" t="s">
        <v>837</v>
      </c>
      <c r="P125" s="556" t="s">
        <v>837</v>
      </c>
      <c r="Q125" s="556" t="s">
        <v>837</v>
      </c>
      <c r="R125" s="556" t="s">
        <v>837</v>
      </c>
      <c r="S125" s="556" t="s">
        <v>837</v>
      </c>
      <c r="T125" s="556" t="s">
        <v>837</v>
      </c>
      <c r="U125" s="556" t="s">
        <v>837</v>
      </c>
      <c r="V125" s="556" t="s">
        <v>837</v>
      </c>
      <c r="W125" s="556" t="s">
        <v>837</v>
      </c>
      <c r="X125" s="556" t="s">
        <v>837</v>
      </c>
      <c r="Y125" s="556" t="s">
        <v>837</v>
      </c>
      <c r="Z125" s="556" t="s">
        <v>837</v>
      </c>
      <c r="AA125" s="556" t="s">
        <v>837</v>
      </c>
      <c r="AB125" s="556" t="s">
        <v>837</v>
      </c>
      <c r="AC125" s="556" t="s">
        <v>837</v>
      </c>
      <c r="AD125" s="556" t="s">
        <v>837</v>
      </c>
      <c r="AE125" s="556" t="s">
        <v>837</v>
      </c>
      <c r="AF125" s="556" t="s">
        <v>837</v>
      </c>
      <c r="AG125" s="556" t="s">
        <v>837</v>
      </c>
      <c r="AH125" s="556" t="s">
        <v>837</v>
      </c>
      <c r="AI125" s="556" t="s">
        <v>837</v>
      </c>
      <c r="AJ125" s="556" t="s">
        <v>837</v>
      </c>
      <c r="AK125" s="556" t="s">
        <v>837</v>
      </c>
      <c r="AL125" s="556" t="s">
        <v>837</v>
      </c>
      <c r="AM125" s="556" t="s">
        <v>837</v>
      </c>
      <c r="AN125" s="556" t="s">
        <v>837</v>
      </c>
      <c r="AO125" s="556" t="s">
        <v>837</v>
      </c>
      <c r="AP125" s="556" t="s">
        <v>837</v>
      </c>
      <c r="AQ125" s="556" t="s">
        <v>837</v>
      </c>
      <c r="AR125" s="556" t="s">
        <v>837</v>
      </c>
      <c r="AS125" s="556" t="s">
        <v>837</v>
      </c>
      <c r="AT125" s="556" t="s">
        <v>837</v>
      </c>
      <c r="AU125" s="556" t="s">
        <v>837</v>
      </c>
      <c r="AV125" s="556" t="s">
        <v>837</v>
      </c>
      <c r="AW125" s="556" t="s">
        <v>837</v>
      </c>
      <c r="AX125" s="556" t="s">
        <v>837</v>
      </c>
      <c r="AY125" s="556" t="s">
        <v>837</v>
      </c>
      <c r="AZ125" s="556" t="s">
        <v>837</v>
      </c>
      <c r="BA125" s="556" t="s">
        <v>837</v>
      </c>
      <c r="BB125" s="556" t="s">
        <v>837</v>
      </c>
      <c r="BC125" s="556" t="s">
        <v>837</v>
      </c>
      <c r="BD125" s="556" t="s">
        <v>837</v>
      </c>
      <c r="BE125" s="556" t="s">
        <v>837</v>
      </c>
      <c r="BF125" s="612"/>
      <c r="BG125" s="612"/>
      <c r="BH125" s="612"/>
      <c r="BI125" s="576"/>
      <c r="BJ125" s="576"/>
      <c r="BK125" s="576"/>
      <c r="BL125" s="602"/>
      <c r="BM125" s="553" t="s">
        <v>837</v>
      </c>
      <c r="BN125" s="612" t="s">
        <v>837</v>
      </c>
      <c r="BO125" s="576"/>
      <c r="BP125" s="606"/>
      <c r="BQ125" s="576"/>
      <c r="BR125" s="570"/>
      <c r="BS125" s="547"/>
      <c r="BT125" s="549"/>
      <c r="BU125" s="549"/>
      <c r="BV125" s="549"/>
      <c r="BW125" s="549"/>
      <c r="BX125" s="549"/>
      <c r="BY125" s="549"/>
      <c r="BZ125" s="549"/>
      <c r="CA125" s="549"/>
      <c r="CB125" s="549"/>
      <c r="CC125" s="549"/>
      <c r="CD125" s="548"/>
      <c r="CE125" s="547"/>
      <c r="CF125" s="549"/>
      <c r="CG125" s="549"/>
      <c r="CH125" s="549"/>
      <c r="CI125" s="549"/>
      <c r="CJ125" s="549"/>
      <c r="CK125" s="549"/>
      <c r="CL125" s="549"/>
      <c r="CM125" s="549"/>
      <c r="CN125" s="548"/>
      <c r="CO125" s="640"/>
      <c r="CP125" s="640"/>
      <c r="CQ125" s="640"/>
      <c r="CR125" s="640"/>
      <c r="CS125" s="640"/>
      <c r="CT125" s="640"/>
      <c r="CU125" s="640"/>
      <c r="CV125" s="640"/>
      <c r="CW125" s="640"/>
      <c r="CX125" s="640"/>
      <c r="CY125" s="640"/>
      <c r="CZ125" s="640"/>
      <c r="DA125" s="640"/>
      <c r="DB125" s="640"/>
      <c r="DC125" s="640"/>
      <c r="DD125" s="640"/>
      <c r="DE125" s="640"/>
      <c r="DF125" s="640"/>
      <c r="DG125" s="640"/>
      <c r="DH125" s="640"/>
      <c r="DI125" s="641"/>
      <c r="DJ125" s="641"/>
      <c r="DK125" s="641"/>
      <c r="DL125" s="641"/>
      <c r="DM125" s="641"/>
      <c r="DN125" s="641"/>
      <c r="DO125" s="641"/>
      <c r="DP125" s="576"/>
      <c r="DQ125" s="576"/>
      <c r="DR125" s="576"/>
      <c r="DS125" s="576"/>
      <c r="DT125" s="576"/>
      <c r="DU125" s="576"/>
      <c r="DV125" s="576"/>
      <c r="DW125" s="576"/>
      <c r="DX125" s="576"/>
      <c r="DY125" s="576"/>
      <c r="DZ125" s="576"/>
      <c r="EA125" s="576"/>
      <c r="EB125" s="576"/>
      <c r="EC125" s="576"/>
      <c r="ED125" s="576"/>
      <c r="EE125" s="576"/>
      <c r="EF125" s="576"/>
      <c r="EG125" s="576"/>
      <c r="EH125" s="576"/>
    </row>
    <row r="126" spans="1:138" s="14" customFormat="1" x14ac:dyDescent="0.25">
      <c r="A126" s="8">
        <v>122</v>
      </c>
      <c r="B126" s="12" t="s">
        <v>44</v>
      </c>
      <c r="C126" s="12"/>
      <c r="D126" s="4" t="s">
        <v>58</v>
      </c>
      <c r="E126" s="4" t="s">
        <v>75</v>
      </c>
      <c r="F126" s="19" t="s">
        <v>8</v>
      </c>
      <c r="G126" s="19" t="s">
        <v>837</v>
      </c>
      <c r="H126" s="556" t="s">
        <v>837</v>
      </c>
      <c r="I126" s="556" t="s">
        <v>837</v>
      </c>
      <c r="J126" s="556" t="s">
        <v>837</v>
      </c>
      <c r="K126" s="556" t="s">
        <v>837</v>
      </c>
      <c r="L126" s="556" t="s">
        <v>837</v>
      </c>
      <c r="M126" s="556" t="s">
        <v>837</v>
      </c>
      <c r="N126" s="556" t="s">
        <v>837</v>
      </c>
      <c r="O126" s="556" t="s">
        <v>837</v>
      </c>
      <c r="P126" s="556" t="s">
        <v>837</v>
      </c>
      <c r="Q126" s="556" t="s">
        <v>837</v>
      </c>
      <c r="R126" s="556" t="s">
        <v>837</v>
      </c>
      <c r="S126" s="556" t="s">
        <v>837</v>
      </c>
      <c r="T126" s="556" t="s">
        <v>837</v>
      </c>
      <c r="U126" s="556" t="s">
        <v>837</v>
      </c>
      <c r="V126" s="556" t="s">
        <v>837</v>
      </c>
      <c r="W126" s="556" t="s">
        <v>837</v>
      </c>
      <c r="X126" s="556" t="s">
        <v>837</v>
      </c>
      <c r="Y126" s="556" t="s">
        <v>837</v>
      </c>
      <c r="Z126" s="556" t="s">
        <v>837</v>
      </c>
      <c r="AA126" s="556" t="s">
        <v>837</v>
      </c>
      <c r="AB126" s="556" t="s">
        <v>837</v>
      </c>
      <c r="AC126" s="556" t="s">
        <v>837</v>
      </c>
      <c r="AD126" s="556" t="s">
        <v>837</v>
      </c>
      <c r="AE126" s="556" t="s">
        <v>837</v>
      </c>
      <c r="AF126" s="556" t="s">
        <v>837</v>
      </c>
      <c r="AG126" s="556" t="s">
        <v>837</v>
      </c>
      <c r="AH126" s="556" t="s">
        <v>837</v>
      </c>
      <c r="AI126" s="556" t="s">
        <v>837</v>
      </c>
      <c r="AJ126" s="556" t="s">
        <v>837</v>
      </c>
      <c r="AK126" s="556" t="s">
        <v>837</v>
      </c>
      <c r="AL126" s="556" t="s">
        <v>837</v>
      </c>
      <c r="AM126" s="556" t="s">
        <v>837</v>
      </c>
      <c r="AN126" s="556" t="s">
        <v>837</v>
      </c>
      <c r="AO126" s="556" t="s">
        <v>837</v>
      </c>
      <c r="AP126" s="556" t="s">
        <v>837</v>
      </c>
      <c r="AQ126" s="556" t="s">
        <v>837</v>
      </c>
      <c r="AR126" s="556" t="s">
        <v>837</v>
      </c>
      <c r="AS126" s="556" t="s">
        <v>837</v>
      </c>
      <c r="AT126" s="556" t="s">
        <v>837</v>
      </c>
      <c r="AU126" s="556" t="s">
        <v>837</v>
      </c>
      <c r="AV126" s="556" t="s">
        <v>837</v>
      </c>
      <c r="AW126" s="556" t="s">
        <v>837</v>
      </c>
      <c r="AX126" s="556" t="s">
        <v>837</v>
      </c>
      <c r="AY126" s="556" t="s">
        <v>837</v>
      </c>
      <c r="AZ126" s="556" t="s">
        <v>837</v>
      </c>
      <c r="BA126" s="556" t="s">
        <v>837</v>
      </c>
      <c r="BB126" s="556" t="s">
        <v>837</v>
      </c>
      <c r="BC126" s="556" t="s">
        <v>837</v>
      </c>
      <c r="BD126" s="556" t="s">
        <v>837</v>
      </c>
      <c r="BE126" s="556" t="s">
        <v>837</v>
      </c>
      <c r="BF126" s="589"/>
      <c r="BG126" s="589"/>
      <c r="BH126" s="589"/>
      <c r="BI126" s="576"/>
      <c r="BJ126" s="576"/>
      <c r="BK126" s="576"/>
      <c r="BL126" s="602"/>
      <c r="BM126" s="553" t="s">
        <v>837</v>
      </c>
      <c r="BN126" s="612" t="s">
        <v>837</v>
      </c>
      <c r="BO126" s="576"/>
      <c r="BP126" s="606"/>
      <c r="BQ126" s="576"/>
      <c r="BR126" s="570"/>
      <c r="BS126" s="547"/>
      <c r="BT126" s="549"/>
      <c r="BU126" s="549"/>
      <c r="BV126" s="549"/>
      <c r="BW126" s="549"/>
      <c r="BX126" s="549"/>
      <c r="BY126" s="549"/>
      <c r="BZ126" s="549"/>
      <c r="CA126" s="549"/>
      <c r="CB126" s="549"/>
      <c r="CC126" s="549"/>
      <c r="CD126" s="548"/>
      <c r="CE126" s="547"/>
      <c r="CF126" s="549"/>
      <c r="CG126" s="549"/>
      <c r="CH126" s="549"/>
      <c r="CI126" s="549"/>
      <c r="CJ126" s="549"/>
      <c r="CK126" s="549"/>
      <c r="CL126" s="549"/>
      <c r="CM126" s="549"/>
      <c r="CN126" s="548"/>
      <c r="CO126" s="640"/>
      <c r="CP126" s="640"/>
      <c r="CQ126" s="640"/>
      <c r="CR126" s="640"/>
      <c r="CS126" s="640"/>
      <c r="CT126" s="640"/>
      <c r="CU126" s="640"/>
      <c r="CV126" s="640"/>
      <c r="CW126" s="640"/>
      <c r="CX126" s="640"/>
      <c r="CY126" s="640"/>
      <c r="CZ126" s="640"/>
      <c r="DA126" s="640"/>
      <c r="DB126" s="640"/>
      <c r="DC126" s="640"/>
      <c r="DD126" s="640"/>
      <c r="DE126" s="640"/>
      <c r="DF126" s="640"/>
      <c r="DG126" s="640"/>
      <c r="DH126" s="640"/>
      <c r="DI126" s="641"/>
      <c r="DJ126" s="641"/>
      <c r="DK126" s="641"/>
      <c r="DL126" s="641"/>
      <c r="DM126" s="641"/>
      <c r="DN126" s="641"/>
      <c r="DO126" s="641"/>
      <c r="DP126" s="576"/>
      <c r="DQ126" s="576"/>
      <c r="DR126" s="576"/>
      <c r="DS126" s="576"/>
      <c r="DT126" s="576"/>
      <c r="DU126" s="576"/>
      <c r="DV126" s="576"/>
      <c r="DW126" s="576"/>
      <c r="DX126" s="576"/>
      <c r="DY126" s="576"/>
      <c r="DZ126" s="576"/>
      <c r="EA126" s="576"/>
      <c r="EB126" s="576"/>
      <c r="EC126" s="576"/>
      <c r="ED126" s="576"/>
      <c r="EE126" s="576"/>
      <c r="EF126" s="576"/>
      <c r="EG126" s="576"/>
      <c r="EH126" s="576"/>
    </row>
    <row r="127" spans="1:138" s="14" customFormat="1" x14ac:dyDescent="0.25">
      <c r="A127" s="8">
        <v>123</v>
      </c>
      <c r="B127" s="5" t="s">
        <v>724</v>
      </c>
      <c r="C127" s="5"/>
      <c r="D127" s="4" t="s">
        <v>58</v>
      </c>
      <c r="E127" s="4" t="s">
        <v>75</v>
      </c>
      <c r="F127" s="19" t="s">
        <v>8</v>
      </c>
      <c r="G127" s="19" t="s">
        <v>837</v>
      </c>
      <c r="H127" s="556" t="s">
        <v>837</v>
      </c>
      <c r="I127" s="556" t="s">
        <v>837</v>
      </c>
      <c r="J127" s="556" t="s">
        <v>837</v>
      </c>
      <c r="K127" s="556" t="s">
        <v>837</v>
      </c>
      <c r="L127" s="556" t="s">
        <v>837</v>
      </c>
      <c r="M127" s="556" t="s">
        <v>837</v>
      </c>
      <c r="N127" s="556" t="s">
        <v>837</v>
      </c>
      <c r="O127" s="556" t="s">
        <v>837</v>
      </c>
      <c r="P127" s="556" t="s">
        <v>837</v>
      </c>
      <c r="Q127" s="556" t="s">
        <v>837</v>
      </c>
      <c r="R127" s="556" t="s">
        <v>837</v>
      </c>
      <c r="S127" s="556" t="s">
        <v>837</v>
      </c>
      <c r="T127" s="556" t="s">
        <v>837</v>
      </c>
      <c r="U127" s="556" t="s">
        <v>837</v>
      </c>
      <c r="V127" s="556" t="s">
        <v>837</v>
      </c>
      <c r="W127" s="556" t="s">
        <v>837</v>
      </c>
      <c r="X127" s="556" t="s">
        <v>837</v>
      </c>
      <c r="Y127" s="556" t="s">
        <v>837</v>
      </c>
      <c r="Z127" s="556" t="s">
        <v>837</v>
      </c>
      <c r="AA127" s="556" t="s">
        <v>837</v>
      </c>
      <c r="AB127" s="556" t="s">
        <v>837</v>
      </c>
      <c r="AC127" s="556" t="s">
        <v>837</v>
      </c>
      <c r="AD127" s="556" t="s">
        <v>837</v>
      </c>
      <c r="AE127" s="556" t="s">
        <v>837</v>
      </c>
      <c r="AF127" s="556" t="s">
        <v>837</v>
      </c>
      <c r="AG127" s="556" t="s">
        <v>837</v>
      </c>
      <c r="AH127" s="556" t="s">
        <v>837</v>
      </c>
      <c r="AI127" s="556" t="s">
        <v>837</v>
      </c>
      <c r="AJ127" s="556" t="s">
        <v>837</v>
      </c>
      <c r="AK127" s="556" t="s">
        <v>837</v>
      </c>
      <c r="AL127" s="556" t="s">
        <v>837</v>
      </c>
      <c r="AM127" s="556" t="s">
        <v>837</v>
      </c>
      <c r="AN127" s="556" t="s">
        <v>837</v>
      </c>
      <c r="AO127" s="556" t="s">
        <v>837</v>
      </c>
      <c r="AP127" s="556" t="s">
        <v>837</v>
      </c>
      <c r="AQ127" s="556" t="s">
        <v>837</v>
      </c>
      <c r="AR127" s="556" t="s">
        <v>837</v>
      </c>
      <c r="AS127" s="556" t="s">
        <v>837</v>
      </c>
      <c r="AT127" s="556" t="s">
        <v>837</v>
      </c>
      <c r="AU127" s="556" t="s">
        <v>837</v>
      </c>
      <c r="AV127" s="556" t="s">
        <v>837</v>
      </c>
      <c r="AW127" s="556" t="s">
        <v>837</v>
      </c>
      <c r="AX127" s="556" t="s">
        <v>837</v>
      </c>
      <c r="AY127" s="556" t="s">
        <v>837</v>
      </c>
      <c r="AZ127" s="556" t="s">
        <v>837</v>
      </c>
      <c r="BA127" s="556" t="s">
        <v>837</v>
      </c>
      <c r="BB127" s="556" t="s">
        <v>837</v>
      </c>
      <c r="BC127" s="556" t="s">
        <v>837</v>
      </c>
      <c r="BD127" s="556" t="s">
        <v>837</v>
      </c>
      <c r="BE127" s="556" t="s">
        <v>837</v>
      </c>
      <c r="BF127" s="614"/>
      <c r="BG127" s="614"/>
      <c r="BH127" s="614"/>
      <c r="BI127" s="576"/>
      <c r="BJ127" s="576"/>
      <c r="BK127" s="576"/>
      <c r="BL127" s="602"/>
      <c r="BM127" s="553" t="s">
        <v>837</v>
      </c>
      <c r="BN127" s="612" t="s">
        <v>837</v>
      </c>
      <c r="BO127" s="576"/>
      <c r="BP127" s="606"/>
      <c r="BQ127" s="576"/>
      <c r="BR127" s="570"/>
      <c r="BS127" s="547"/>
      <c r="BT127" s="549"/>
      <c r="BU127" s="549"/>
      <c r="BV127" s="549"/>
      <c r="BW127" s="549"/>
      <c r="BX127" s="549"/>
      <c r="BY127" s="549"/>
      <c r="BZ127" s="549"/>
      <c r="CA127" s="549"/>
      <c r="CB127" s="549"/>
      <c r="CC127" s="549"/>
      <c r="CD127" s="548"/>
      <c r="CE127" s="547"/>
      <c r="CF127" s="549"/>
      <c r="CG127" s="549"/>
      <c r="CH127" s="549"/>
      <c r="CI127" s="549"/>
      <c r="CJ127" s="549"/>
      <c r="CK127" s="549"/>
      <c r="CL127" s="549"/>
      <c r="CM127" s="549"/>
      <c r="CN127" s="548"/>
      <c r="CO127" s="640"/>
      <c r="CP127" s="640"/>
      <c r="CQ127" s="640"/>
      <c r="CR127" s="640"/>
      <c r="CS127" s="640"/>
      <c r="CT127" s="640"/>
      <c r="CU127" s="640"/>
      <c r="CV127" s="640"/>
      <c r="CW127" s="640"/>
      <c r="CX127" s="640"/>
      <c r="CY127" s="640"/>
      <c r="CZ127" s="640"/>
      <c r="DA127" s="640"/>
      <c r="DB127" s="640"/>
      <c r="DC127" s="640"/>
      <c r="DD127" s="640"/>
      <c r="DE127" s="640"/>
      <c r="DF127" s="640"/>
      <c r="DG127" s="640"/>
      <c r="DH127" s="640"/>
      <c r="DI127" s="641"/>
      <c r="DJ127" s="641"/>
      <c r="DK127" s="641"/>
      <c r="DL127" s="641"/>
      <c r="DM127" s="641"/>
      <c r="DN127" s="641"/>
      <c r="DO127" s="641"/>
      <c r="DP127" s="576"/>
      <c r="DQ127" s="576"/>
      <c r="DR127" s="576"/>
      <c r="DS127" s="576"/>
      <c r="DT127" s="576"/>
      <c r="DU127" s="576"/>
      <c r="DV127" s="576"/>
      <c r="DW127" s="576"/>
      <c r="DX127" s="576"/>
      <c r="DY127" s="576"/>
      <c r="DZ127" s="576"/>
      <c r="EA127" s="576"/>
      <c r="EB127" s="576"/>
      <c r="EC127" s="576"/>
      <c r="ED127" s="576"/>
      <c r="EE127" s="576"/>
      <c r="EF127" s="576"/>
      <c r="EG127" s="576"/>
      <c r="EH127" s="576"/>
    </row>
    <row r="128" spans="1:138" s="14" customFormat="1" x14ac:dyDescent="0.25">
      <c r="A128" s="8">
        <v>124</v>
      </c>
      <c r="B128" s="5" t="s">
        <v>745</v>
      </c>
      <c r="C128" s="5"/>
      <c r="D128" s="4" t="s">
        <v>58</v>
      </c>
      <c r="E128" s="5" t="s">
        <v>75</v>
      </c>
      <c r="F128" s="19" t="s">
        <v>8</v>
      </c>
      <c r="G128" s="19" t="s">
        <v>837</v>
      </c>
      <c r="H128" s="556" t="s">
        <v>837</v>
      </c>
      <c r="I128" s="556" t="s">
        <v>837</v>
      </c>
      <c r="J128" s="556" t="s">
        <v>837</v>
      </c>
      <c r="K128" s="556" t="s">
        <v>837</v>
      </c>
      <c r="L128" s="556" t="s">
        <v>837</v>
      </c>
      <c r="M128" s="556" t="s">
        <v>837</v>
      </c>
      <c r="N128" s="556" t="s">
        <v>837</v>
      </c>
      <c r="O128" s="556" t="s">
        <v>837</v>
      </c>
      <c r="P128" s="556" t="s">
        <v>837</v>
      </c>
      <c r="Q128" s="556" t="s">
        <v>837</v>
      </c>
      <c r="R128" s="556" t="s">
        <v>837</v>
      </c>
      <c r="S128" s="556" t="s">
        <v>837</v>
      </c>
      <c r="T128" s="556" t="s">
        <v>837</v>
      </c>
      <c r="U128" s="556" t="s">
        <v>837</v>
      </c>
      <c r="V128" s="556" t="s">
        <v>837</v>
      </c>
      <c r="W128" s="556" t="s">
        <v>837</v>
      </c>
      <c r="X128" s="556" t="s">
        <v>837</v>
      </c>
      <c r="Y128" s="556" t="s">
        <v>837</v>
      </c>
      <c r="Z128" s="556" t="s">
        <v>837</v>
      </c>
      <c r="AA128" s="556" t="s">
        <v>837</v>
      </c>
      <c r="AB128" s="556" t="s">
        <v>837</v>
      </c>
      <c r="AC128" s="556" t="s">
        <v>837</v>
      </c>
      <c r="AD128" s="556" t="s">
        <v>837</v>
      </c>
      <c r="AE128" s="556" t="s">
        <v>837</v>
      </c>
      <c r="AF128" s="556" t="s">
        <v>837</v>
      </c>
      <c r="AG128" s="556" t="s">
        <v>837</v>
      </c>
      <c r="AH128" s="556" t="s">
        <v>837</v>
      </c>
      <c r="AI128" s="556" t="s">
        <v>837</v>
      </c>
      <c r="AJ128" s="556" t="s">
        <v>837</v>
      </c>
      <c r="AK128" s="556" t="s">
        <v>837</v>
      </c>
      <c r="AL128" s="556" t="s">
        <v>837</v>
      </c>
      <c r="AM128" s="556" t="s">
        <v>837</v>
      </c>
      <c r="AN128" s="556" t="s">
        <v>837</v>
      </c>
      <c r="AO128" s="556" t="s">
        <v>837</v>
      </c>
      <c r="AP128" s="556" t="s">
        <v>837</v>
      </c>
      <c r="AQ128" s="556" t="s">
        <v>837</v>
      </c>
      <c r="AR128" s="556" t="s">
        <v>837</v>
      </c>
      <c r="AS128" s="556" t="s">
        <v>837</v>
      </c>
      <c r="AT128" s="556" t="s">
        <v>837</v>
      </c>
      <c r="AU128" s="556" t="s">
        <v>837</v>
      </c>
      <c r="AV128" s="556" t="s">
        <v>837</v>
      </c>
      <c r="AW128" s="556" t="s">
        <v>837</v>
      </c>
      <c r="AX128" s="556" t="s">
        <v>837</v>
      </c>
      <c r="AY128" s="556" t="s">
        <v>837</v>
      </c>
      <c r="AZ128" s="556" t="s">
        <v>837</v>
      </c>
      <c r="BA128" s="556" t="s">
        <v>837</v>
      </c>
      <c r="BB128" s="556" t="s">
        <v>837</v>
      </c>
      <c r="BC128" s="556" t="s">
        <v>837</v>
      </c>
      <c r="BD128" s="556" t="s">
        <v>837</v>
      </c>
      <c r="BE128" s="556" t="s">
        <v>837</v>
      </c>
      <c r="BF128" s="612"/>
      <c r="BG128" s="612"/>
      <c r="BH128" s="612"/>
      <c r="BI128" s="576"/>
      <c r="BJ128" s="576"/>
      <c r="BK128" s="576"/>
      <c r="BL128" s="602"/>
      <c r="BM128" s="553" t="s">
        <v>837</v>
      </c>
      <c r="BN128" s="612" t="s">
        <v>837</v>
      </c>
      <c r="BO128" s="576"/>
      <c r="BP128" s="606"/>
      <c r="BQ128" s="576"/>
      <c r="BR128" s="570"/>
      <c r="BS128" s="547"/>
      <c r="BT128" s="549"/>
      <c r="BU128" s="549"/>
      <c r="BV128" s="549"/>
      <c r="BW128" s="549"/>
      <c r="BX128" s="549"/>
      <c r="BY128" s="549"/>
      <c r="BZ128" s="549"/>
      <c r="CA128" s="549"/>
      <c r="CB128" s="549"/>
      <c r="CC128" s="549"/>
      <c r="CD128" s="548"/>
      <c r="CE128" s="547"/>
      <c r="CF128" s="549"/>
      <c r="CG128" s="549"/>
      <c r="CH128" s="549"/>
      <c r="CI128" s="549"/>
      <c r="CJ128" s="549"/>
      <c r="CK128" s="549"/>
      <c r="CL128" s="549"/>
      <c r="CM128" s="549"/>
      <c r="CN128" s="548"/>
      <c r="CO128" s="640"/>
      <c r="CP128" s="640"/>
      <c r="CQ128" s="640"/>
      <c r="CR128" s="640"/>
      <c r="CS128" s="640"/>
      <c r="CT128" s="640"/>
      <c r="CU128" s="640"/>
      <c r="CV128" s="640"/>
      <c r="CW128" s="640"/>
      <c r="CX128" s="640"/>
      <c r="CY128" s="640"/>
      <c r="CZ128" s="640"/>
      <c r="DA128" s="640"/>
      <c r="DB128" s="640"/>
      <c r="DC128" s="640"/>
      <c r="DD128" s="640"/>
      <c r="DE128" s="640"/>
      <c r="DF128" s="640"/>
      <c r="DG128" s="640"/>
      <c r="DH128" s="640"/>
      <c r="DI128" s="641"/>
      <c r="DJ128" s="641"/>
      <c r="DK128" s="641"/>
      <c r="DL128" s="641"/>
      <c r="DM128" s="641"/>
      <c r="DN128" s="641"/>
      <c r="DO128" s="641"/>
      <c r="DP128" s="576"/>
      <c r="DQ128" s="576"/>
      <c r="DR128" s="576"/>
      <c r="DS128" s="576"/>
      <c r="DT128" s="576"/>
      <c r="DU128" s="576"/>
      <c r="DV128" s="576"/>
      <c r="DW128" s="576"/>
      <c r="DX128" s="576"/>
      <c r="DY128" s="576"/>
      <c r="DZ128" s="576"/>
      <c r="EA128" s="576"/>
      <c r="EB128" s="576"/>
      <c r="EC128" s="576"/>
      <c r="ED128" s="576"/>
      <c r="EE128" s="576"/>
      <c r="EF128" s="576"/>
      <c r="EG128" s="576"/>
      <c r="EH128" s="576"/>
    </row>
    <row r="129" spans="1:138" s="14" customFormat="1" x14ac:dyDescent="0.25">
      <c r="A129" s="8">
        <v>125</v>
      </c>
      <c r="B129" s="5" t="s">
        <v>723</v>
      </c>
      <c r="C129" s="5"/>
      <c r="D129" s="4" t="s">
        <v>58</v>
      </c>
      <c r="E129" s="4" t="s">
        <v>75</v>
      </c>
      <c r="F129" s="19" t="s">
        <v>8</v>
      </c>
      <c r="G129" s="19" t="s">
        <v>837</v>
      </c>
      <c r="H129" s="556" t="s">
        <v>837</v>
      </c>
      <c r="I129" s="556">
        <v>10002</v>
      </c>
      <c r="J129" s="556" t="s">
        <v>837</v>
      </c>
      <c r="K129" s="556">
        <v>10004</v>
      </c>
      <c r="L129" s="556" t="s">
        <v>837</v>
      </c>
      <c r="M129" s="556" t="s">
        <v>837</v>
      </c>
      <c r="N129" s="556">
        <v>10002</v>
      </c>
      <c r="O129" s="556" t="s">
        <v>837</v>
      </c>
      <c r="P129" s="556">
        <v>10004</v>
      </c>
      <c r="Q129" s="556" t="s">
        <v>837</v>
      </c>
      <c r="R129" s="556" t="s">
        <v>837</v>
      </c>
      <c r="S129" s="556">
        <v>10002</v>
      </c>
      <c r="T129" s="556" t="s">
        <v>837</v>
      </c>
      <c r="U129" s="556">
        <v>10004</v>
      </c>
      <c r="V129" s="556" t="s">
        <v>837</v>
      </c>
      <c r="W129" s="556" t="s">
        <v>837</v>
      </c>
      <c r="X129" s="556" t="s">
        <v>837</v>
      </c>
      <c r="Y129" s="556" t="s">
        <v>837</v>
      </c>
      <c r="Z129" s="556" t="s">
        <v>837</v>
      </c>
      <c r="AA129" s="556" t="s">
        <v>837</v>
      </c>
      <c r="AB129" s="556" t="s">
        <v>837</v>
      </c>
      <c r="AC129" s="556">
        <v>10002</v>
      </c>
      <c r="AD129" s="556" t="s">
        <v>837</v>
      </c>
      <c r="AE129" s="556">
        <v>10004</v>
      </c>
      <c r="AF129" s="556" t="s">
        <v>837</v>
      </c>
      <c r="AG129" s="556" t="s">
        <v>837</v>
      </c>
      <c r="AH129" s="556">
        <v>10002</v>
      </c>
      <c r="AI129" s="556" t="s">
        <v>837</v>
      </c>
      <c r="AJ129" s="556">
        <v>10004</v>
      </c>
      <c r="AK129" s="556" t="s">
        <v>837</v>
      </c>
      <c r="AL129" s="556" t="s">
        <v>837</v>
      </c>
      <c r="AM129" s="556">
        <v>10002</v>
      </c>
      <c r="AN129" s="556" t="s">
        <v>837</v>
      </c>
      <c r="AO129" s="556">
        <v>10004</v>
      </c>
      <c r="AP129" s="556" t="s">
        <v>837</v>
      </c>
      <c r="AQ129" s="556" t="s">
        <v>837</v>
      </c>
      <c r="AR129" s="556">
        <v>10002</v>
      </c>
      <c r="AS129" s="556" t="s">
        <v>837</v>
      </c>
      <c r="AT129" s="556">
        <v>10004</v>
      </c>
      <c r="AU129" s="556" t="s">
        <v>837</v>
      </c>
      <c r="AV129" s="556" t="s">
        <v>837</v>
      </c>
      <c r="AW129" s="556" t="s">
        <v>837</v>
      </c>
      <c r="AX129" s="556" t="s">
        <v>837</v>
      </c>
      <c r="AY129" s="556" t="s">
        <v>837</v>
      </c>
      <c r="AZ129" s="556" t="s">
        <v>837</v>
      </c>
      <c r="BA129" s="556" t="s">
        <v>837</v>
      </c>
      <c r="BB129" s="556">
        <v>10002</v>
      </c>
      <c r="BC129" s="556" t="s">
        <v>837</v>
      </c>
      <c r="BD129" s="556">
        <v>10004</v>
      </c>
      <c r="BE129" s="556" t="s">
        <v>837</v>
      </c>
      <c r="BF129" s="614"/>
      <c r="BG129" s="614"/>
      <c r="BH129" s="614"/>
      <c r="BI129" s="576"/>
      <c r="BJ129" s="576"/>
      <c r="BK129" s="576"/>
      <c r="BL129" s="602"/>
      <c r="BM129" s="553" t="s">
        <v>837</v>
      </c>
      <c r="BN129" s="612" t="s">
        <v>837</v>
      </c>
      <c r="BO129" s="576"/>
      <c r="BP129" s="606"/>
      <c r="BQ129" s="576"/>
      <c r="BR129" s="570"/>
      <c r="BS129" s="547"/>
      <c r="BT129" s="549"/>
      <c r="BU129" s="549"/>
      <c r="BV129" s="549"/>
      <c r="BW129" s="549"/>
      <c r="BX129" s="549"/>
      <c r="BY129" s="549"/>
      <c r="BZ129" s="549"/>
      <c r="CA129" s="549"/>
      <c r="CB129" s="549"/>
      <c r="CC129" s="549"/>
      <c r="CD129" s="548"/>
      <c r="CE129" s="547"/>
      <c r="CF129" s="549"/>
      <c r="CG129" s="549"/>
      <c r="CH129" s="549"/>
      <c r="CI129" s="549"/>
      <c r="CJ129" s="549"/>
      <c r="CK129" s="549"/>
      <c r="CL129" s="549"/>
      <c r="CM129" s="549"/>
      <c r="CN129" s="548"/>
      <c r="CO129" s="640"/>
      <c r="CP129" s="640"/>
      <c r="CQ129" s="640"/>
      <c r="CR129" s="640"/>
      <c r="CS129" s="640"/>
      <c r="CT129" s="640"/>
      <c r="CU129" s="640"/>
      <c r="CV129" s="640"/>
      <c r="CW129" s="640"/>
      <c r="CX129" s="640"/>
      <c r="CY129" s="640"/>
      <c r="CZ129" s="640"/>
      <c r="DA129" s="640"/>
      <c r="DB129" s="640"/>
      <c r="DC129" s="640"/>
      <c r="DD129" s="640"/>
      <c r="DE129" s="640"/>
      <c r="DF129" s="640"/>
      <c r="DG129" s="640"/>
      <c r="DH129" s="640"/>
      <c r="DI129" s="641"/>
      <c r="DJ129" s="641"/>
      <c r="DK129" s="641"/>
      <c r="DL129" s="641"/>
      <c r="DM129" s="641"/>
      <c r="DN129" s="641"/>
      <c r="DO129" s="641"/>
      <c r="DP129" s="576"/>
      <c r="DQ129" s="576"/>
      <c r="DR129" s="576"/>
      <c r="DS129" s="576"/>
      <c r="DT129" s="576"/>
      <c r="DU129" s="576"/>
      <c r="DV129" s="576"/>
      <c r="DW129" s="576"/>
      <c r="DX129" s="576"/>
      <c r="DY129" s="576"/>
      <c r="DZ129" s="576"/>
      <c r="EA129" s="576"/>
      <c r="EB129" s="576"/>
      <c r="EC129" s="576"/>
      <c r="ED129" s="576"/>
      <c r="EE129" s="576"/>
      <c r="EF129" s="576"/>
      <c r="EG129" s="576"/>
      <c r="EH129" s="576"/>
    </row>
    <row r="130" spans="1:138" s="14" customFormat="1" x14ac:dyDescent="0.25">
      <c r="A130" s="8">
        <v>126</v>
      </c>
      <c r="B130" s="12" t="s">
        <v>43</v>
      </c>
      <c r="C130" s="12"/>
      <c r="D130" s="4" t="s">
        <v>58</v>
      </c>
      <c r="E130" s="4" t="s">
        <v>75</v>
      </c>
      <c r="F130" s="19" t="s">
        <v>8</v>
      </c>
      <c r="G130" s="19" t="s">
        <v>837</v>
      </c>
      <c r="H130" s="556" t="s">
        <v>837</v>
      </c>
      <c r="I130" s="556" t="s">
        <v>837</v>
      </c>
      <c r="J130" s="556" t="s">
        <v>837</v>
      </c>
      <c r="K130" s="556" t="s">
        <v>837</v>
      </c>
      <c r="L130" s="556" t="s">
        <v>837</v>
      </c>
      <c r="M130" s="556" t="s">
        <v>837</v>
      </c>
      <c r="N130" s="556" t="s">
        <v>837</v>
      </c>
      <c r="O130" s="556" t="s">
        <v>837</v>
      </c>
      <c r="P130" s="556" t="s">
        <v>837</v>
      </c>
      <c r="Q130" s="556" t="s">
        <v>837</v>
      </c>
      <c r="R130" s="556" t="s">
        <v>837</v>
      </c>
      <c r="S130" s="556" t="s">
        <v>837</v>
      </c>
      <c r="T130" s="556" t="s">
        <v>837</v>
      </c>
      <c r="U130" s="556" t="s">
        <v>837</v>
      </c>
      <c r="V130" s="556" t="s">
        <v>837</v>
      </c>
      <c r="W130" s="556" t="s">
        <v>837</v>
      </c>
      <c r="X130" s="556" t="s">
        <v>837</v>
      </c>
      <c r="Y130" s="556" t="s">
        <v>837</v>
      </c>
      <c r="Z130" s="556" t="s">
        <v>837</v>
      </c>
      <c r="AA130" s="556" t="s">
        <v>837</v>
      </c>
      <c r="AB130" s="556" t="s">
        <v>837</v>
      </c>
      <c r="AC130" s="556" t="s">
        <v>837</v>
      </c>
      <c r="AD130" s="556" t="s">
        <v>837</v>
      </c>
      <c r="AE130" s="556" t="s">
        <v>837</v>
      </c>
      <c r="AF130" s="556" t="s">
        <v>837</v>
      </c>
      <c r="AG130" s="556" t="s">
        <v>837</v>
      </c>
      <c r="AH130" s="556" t="s">
        <v>837</v>
      </c>
      <c r="AI130" s="556" t="s">
        <v>837</v>
      </c>
      <c r="AJ130" s="556" t="s">
        <v>837</v>
      </c>
      <c r="AK130" s="556" t="s">
        <v>837</v>
      </c>
      <c r="AL130" s="556" t="s">
        <v>837</v>
      </c>
      <c r="AM130" s="556" t="s">
        <v>837</v>
      </c>
      <c r="AN130" s="556" t="s">
        <v>837</v>
      </c>
      <c r="AO130" s="556" t="s">
        <v>837</v>
      </c>
      <c r="AP130" s="556" t="s">
        <v>837</v>
      </c>
      <c r="AQ130" s="556" t="s">
        <v>837</v>
      </c>
      <c r="AR130" s="556" t="s">
        <v>837</v>
      </c>
      <c r="AS130" s="556" t="s">
        <v>837</v>
      </c>
      <c r="AT130" s="556" t="s">
        <v>837</v>
      </c>
      <c r="AU130" s="556" t="s">
        <v>837</v>
      </c>
      <c r="AV130" s="556" t="s">
        <v>837</v>
      </c>
      <c r="AW130" s="556" t="s">
        <v>837</v>
      </c>
      <c r="AX130" s="556" t="s">
        <v>837</v>
      </c>
      <c r="AY130" s="556" t="s">
        <v>837</v>
      </c>
      <c r="AZ130" s="556" t="s">
        <v>837</v>
      </c>
      <c r="BA130" s="556" t="s">
        <v>837</v>
      </c>
      <c r="BB130" s="556" t="s">
        <v>837</v>
      </c>
      <c r="BC130" s="556" t="s">
        <v>837</v>
      </c>
      <c r="BD130" s="556" t="s">
        <v>837</v>
      </c>
      <c r="BE130" s="556" t="s">
        <v>837</v>
      </c>
      <c r="BF130" s="589"/>
      <c r="BG130" s="589"/>
      <c r="BH130" s="589"/>
      <c r="BI130" s="576"/>
      <c r="BJ130" s="576"/>
      <c r="BK130" s="576"/>
      <c r="BL130" s="602"/>
      <c r="BM130" s="553" t="s">
        <v>837</v>
      </c>
      <c r="BN130" s="612" t="s">
        <v>837</v>
      </c>
      <c r="BO130" s="576"/>
      <c r="BP130" s="606"/>
      <c r="BQ130" s="576"/>
      <c r="BR130" s="570"/>
      <c r="BS130" s="547"/>
      <c r="BT130" s="549"/>
      <c r="BU130" s="549"/>
      <c r="BV130" s="549"/>
      <c r="BW130" s="549"/>
      <c r="BX130" s="549"/>
      <c r="BY130" s="549"/>
      <c r="BZ130" s="549"/>
      <c r="CA130" s="549"/>
      <c r="CB130" s="549"/>
      <c r="CC130" s="549"/>
      <c r="CD130" s="548"/>
      <c r="CE130" s="547"/>
      <c r="CF130" s="549"/>
      <c r="CG130" s="549"/>
      <c r="CH130" s="549"/>
      <c r="CI130" s="549"/>
      <c r="CJ130" s="549"/>
      <c r="CK130" s="549"/>
      <c r="CL130" s="549"/>
      <c r="CM130" s="549"/>
      <c r="CN130" s="548"/>
      <c r="CO130" s="640"/>
      <c r="CP130" s="640"/>
      <c r="CQ130" s="640"/>
      <c r="CR130" s="640"/>
      <c r="CS130" s="640"/>
      <c r="CT130" s="640"/>
      <c r="CU130" s="640"/>
      <c r="CV130" s="640"/>
      <c r="CW130" s="640"/>
      <c r="CX130" s="640"/>
      <c r="CY130" s="640"/>
      <c r="CZ130" s="640"/>
      <c r="DA130" s="640"/>
      <c r="DB130" s="640"/>
      <c r="DC130" s="640"/>
      <c r="DD130" s="640"/>
      <c r="DE130" s="640"/>
      <c r="DF130" s="640"/>
      <c r="DG130" s="640"/>
      <c r="DH130" s="640"/>
      <c r="DI130" s="641"/>
      <c r="DJ130" s="641"/>
      <c r="DK130" s="641"/>
      <c r="DL130" s="641"/>
      <c r="DM130" s="641"/>
      <c r="DN130" s="641"/>
      <c r="DO130" s="641"/>
      <c r="DP130" s="576"/>
      <c r="DQ130" s="576"/>
      <c r="DR130" s="576"/>
      <c r="DS130" s="576"/>
      <c r="DT130" s="576"/>
      <c r="DU130" s="576"/>
      <c r="DV130" s="576"/>
      <c r="DW130" s="576"/>
      <c r="DX130" s="576"/>
      <c r="DY130" s="576"/>
      <c r="DZ130" s="576"/>
      <c r="EA130" s="576"/>
      <c r="EB130" s="576"/>
      <c r="EC130" s="576"/>
      <c r="ED130" s="576"/>
      <c r="EE130" s="576"/>
      <c r="EF130" s="576"/>
      <c r="EG130" s="576"/>
      <c r="EH130" s="576"/>
    </row>
    <row r="131" spans="1:138" s="14" customFormat="1" x14ac:dyDescent="0.25">
      <c r="A131" s="8">
        <v>127</v>
      </c>
      <c r="B131" s="5" t="s">
        <v>63</v>
      </c>
      <c r="C131" s="5"/>
      <c r="D131" s="4" t="s">
        <v>58</v>
      </c>
      <c r="E131" s="4" t="s">
        <v>75</v>
      </c>
      <c r="F131" s="19" t="s">
        <v>8</v>
      </c>
      <c r="G131" s="19" t="s">
        <v>837</v>
      </c>
      <c r="H131" s="556" t="s">
        <v>837</v>
      </c>
      <c r="I131" s="556">
        <v>10002</v>
      </c>
      <c r="J131" s="556" t="s">
        <v>837</v>
      </c>
      <c r="K131" s="556">
        <v>10004</v>
      </c>
      <c r="L131" s="556" t="s">
        <v>837</v>
      </c>
      <c r="M131" s="556" t="s">
        <v>837</v>
      </c>
      <c r="N131" s="556">
        <v>10002</v>
      </c>
      <c r="O131" s="556" t="s">
        <v>837</v>
      </c>
      <c r="P131" s="556">
        <v>10004</v>
      </c>
      <c r="Q131" s="556" t="s">
        <v>837</v>
      </c>
      <c r="R131" s="556" t="s">
        <v>837</v>
      </c>
      <c r="S131" s="556">
        <v>10002</v>
      </c>
      <c r="T131" s="556" t="s">
        <v>837</v>
      </c>
      <c r="U131" s="556">
        <v>10004</v>
      </c>
      <c r="V131" s="556" t="s">
        <v>837</v>
      </c>
      <c r="W131" s="556" t="s">
        <v>837</v>
      </c>
      <c r="X131" s="556" t="s">
        <v>837</v>
      </c>
      <c r="Y131" s="556" t="s">
        <v>837</v>
      </c>
      <c r="Z131" s="556" t="s">
        <v>837</v>
      </c>
      <c r="AA131" s="556" t="s">
        <v>837</v>
      </c>
      <c r="AB131" s="556" t="s">
        <v>837</v>
      </c>
      <c r="AC131" s="556">
        <v>10002</v>
      </c>
      <c r="AD131" s="556" t="s">
        <v>837</v>
      </c>
      <c r="AE131" s="556">
        <v>10004</v>
      </c>
      <c r="AF131" s="556" t="s">
        <v>837</v>
      </c>
      <c r="AG131" s="556" t="s">
        <v>837</v>
      </c>
      <c r="AH131" s="556">
        <v>10002</v>
      </c>
      <c r="AI131" s="556" t="s">
        <v>837</v>
      </c>
      <c r="AJ131" s="556">
        <v>10004</v>
      </c>
      <c r="AK131" s="556" t="s">
        <v>837</v>
      </c>
      <c r="AL131" s="556" t="s">
        <v>837</v>
      </c>
      <c r="AM131" s="556">
        <v>10002</v>
      </c>
      <c r="AN131" s="556" t="s">
        <v>837</v>
      </c>
      <c r="AO131" s="556">
        <v>10004</v>
      </c>
      <c r="AP131" s="556" t="s">
        <v>837</v>
      </c>
      <c r="AQ131" s="556" t="s">
        <v>837</v>
      </c>
      <c r="AR131" s="556">
        <v>10002</v>
      </c>
      <c r="AS131" s="556" t="s">
        <v>837</v>
      </c>
      <c r="AT131" s="556">
        <v>10004</v>
      </c>
      <c r="AU131" s="556" t="s">
        <v>837</v>
      </c>
      <c r="AV131" s="556" t="s">
        <v>837</v>
      </c>
      <c r="AW131" s="556" t="s">
        <v>837</v>
      </c>
      <c r="AX131" s="556" t="s">
        <v>837</v>
      </c>
      <c r="AY131" s="556" t="s">
        <v>837</v>
      </c>
      <c r="AZ131" s="556" t="s">
        <v>837</v>
      </c>
      <c r="BA131" s="556" t="s">
        <v>837</v>
      </c>
      <c r="BB131" s="556">
        <v>10002</v>
      </c>
      <c r="BC131" s="556" t="s">
        <v>837</v>
      </c>
      <c r="BD131" s="556">
        <v>10004</v>
      </c>
      <c r="BE131" s="556" t="s">
        <v>837</v>
      </c>
      <c r="BF131" s="614"/>
      <c r="BG131" s="614"/>
      <c r="BH131" s="614"/>
      <c r="BI131" s="576"/>
      <c r="BJ131" s="576"/>
      <c r="BK131" s="576"/>
      <c r="BL131" s="602"/>
      <c r="BM131" s="553" t="s">
        <v>837</v>
      </c>
      <c r="BN131" s="612" t="s">
        <v>837</v>
      </c>
      <c r="BO131" s="576"/>
      <c r="BP131" s="606"/>
      <c r="BQ131" s="576"/>
      <c r="BR131" s="570"/>
      <c r="BS131" s="547"/>
      <c r="BT131" s="549"/>
      <c r="BU131" s="549"/>
      <c r="BV131" s="549"/>
      <c r="BW131" s="549"/>
      <c r="BX131" s="549"/>
      <c r="BY131" s="549"/>
      <c r="BZ131" s="549"/>
      <c r="CA131" s="549"/>
      <c r="CB131" s="549"/>
      <c r="CC131" s="549"/>
      <c r="CD131" s="548"/>
      <c r="CE131" s="547"/>
      <c r="CF131" s="549"/>
      <c r="CG131" s="549"/>
      <c r="CH131" s="549"/>
      <c r="CI131" s="549"/>
      <c r="CJ131" s="549"/>
      <c r="CK131" s="549"/>
      <c r="CL131" s="549"/>
      <c r="CM131" s="549"/>
      <c r="CN131" s="548"/>
      <c r="CO131" s="640"/>
      <c r="CP131" s="640"/>
      <c r="CQ131" s="640"/>
      <c r="CR131" s="640"/>
      <c r="CS131" s="640"/>
      <c r="CT131" s="640"/>
      <c r="CU131" s="640"/>
      <c r="CV131" s="640"/>
      <c r="CW131" s="640"/>
      <c r="CX131" s="640"/>
      <c r="CY131" s="640"/>
      <c r="CZ131" s="640"/>
      <c r="DA131" s="640"/>
      <c r="DB131" s="640"/>
      <c r="DC131" s="640"/>
      <c r="DD131" s="640"/>
      <c r="DE131" s="640"/>
      <c r="DF131" s="640"/>
      <c r="DG131" s="640"/>
      <c r="DH131" s="640"/>
      <c r="DI131" s="641"/>
      <c r="DJ131" s="641"/>
      <c r="DK131" s="641"/>
      <c r="DL131" s="641"/>
      <c r="DM131" s="641"/>
      <c r="DN131" s="641"/>
      <c r="DO131" s="641"/>
      <c r="DP131" s="576"/>
      <c r="DQ131" s="576"/>
      <c r="DR131" s="576"/>
      <c r="DS131" s="576"/>
      <c r="DT131" s="576"/>
      <c r="DU131" s="576"/>
      <c r="DV131" s="576"/>
      <c r="DW131" s="576"/>
      <c r="DX131" s="576"/>
      <c r="DY131" s="576"/>
      <c r="DZ131" s="576"/>
      <c r="EA131" s="576"/>
      <c r="EB131" s="576"/>
      <c r="EC131" s="576"/>
      <c r="ED131" s="576"/>
      <c r="EE131" s="576"/>
      <c r="EF131" s="576"/>
      <c r="EG131" s="576"/>
      <c r="EH131" s="576"/>
    </row>
    <row r="132" spans="1:138" s="14" customFormat="1" x14ac:dyDescent="0.25">
      <c r="A132" s="8">
        <v>128</v>
      </c>
      <c r="B132" s="19" t="s">
        <v>99</v>
      </c>
      <c r="C132" s="19"/>
      <c r="D132" s="4" t="s">
        <v>58</v>
      </c>
      <c r="E132" s="4" t="s">
        <v>75</v>
      </c>
      <c r="F132" s="19" t="s">
        <v>8</v>
      </c>
      <c r="G132" s="19" t="s">
        <v>837</v>
      </c>
      <c r="H132" s="556" t="s">
        <v>837</v>
      </c>
      <c r="I132" s="556" t="s">
        <v>837</v>
      </c>
      <c r="J132" s="556" t="s">
        <v>837</v>
      </c>
      <c r="K132" s="556" t="s">
        <v>837</v>
      </c>
      <c r="L132" s="556" t="s">
        <v>837</v>
      </c>
      <c r="M132" s="556" t="s">
        <v>837</v>
      </c>
      <c r="N132" s="556" t="s">
        <v>837</v>
      </c>
      <c r="O132" s="556" t="s">
        <v>837</v>
      </c>
      <c r="P132" s="556" t="s">
        <v>837</v>
      </c>
      <c r="Q132" s="556" t="s">
        <v>837</v>
      </c>
      <c r="R132" s="556" t="s">
        <v>837</v>
      </c>
      <c r="S132" s="556" t="s">
        <v>837</v>
      </c>
      <c r="T132" s="556" t="s">
        <v>837</v>
      </c>
      <c r="U132" s="556" t="s">
        <v>837</v>
      </c>
      <c r="V132" s="556" t="s">
        <v>837</v>
      </c>
      <c r="W132" s="556" t="s">
        <v>837</v>
      </c>
      <c r="X132" s="556" t="s">
        <v>837</v>
      </c>
      <c r="Y132" s="556" t="s">
        <v>837</v>
      </c>
      <c r="Z132" s="556" t="s">
        <v>837</v>
      </c>
      <c r="AA132" s="556" t="s">
        <v>837</v>
      </c>
      <c r="AB132" s="556" t="s">
        <v>837</v>
      </c>
      <c r="AC132" s="556" t="s">
        <v>837</v>
      </c>
      <c r="AD132" s="556" t="s">
        <v>837</v>
      </c>
      <c r="AE132" s="556" t="s">
        <v>837</v>
      </c>
      <c r="AF132" s="556" t="s">
        <v>837</v>
      </c>
      <c r="AG132" s="556" t="s">
        <v>837</v>
      </c>
      <c r="AH132" s="556" t="s">
        <v>837</v>
      </c>
      <c r="AI132" s="556" t="s">
        <v>837</v>
      </c>
      <c r="AJ132" s="556" t="s">
        <v>837</v>
      </c>
      <c r="AK132" s="556" t="s">
        <v>837</v>
      </c>
      <c r="AL132" s="556" t="s">
        <v>837</v>
      </c>
      <c r="AM132" s="556" t="s">
        <v>837</v>
      </c>
      <c r="AN132" s="556" t="s">
        <v>837</v>
      </c>
      <c r="AO132" s="556" t="s">
        <v>837</v>
      </c>
      <c r="AP132" s="556" t="s">
        <v>837</v>
      </c>
      <c r="AQ132" s="556" t="s">
        <v>837</v>
      </c>
      <c r="AR132" s="556" t="s">
        <v>837</v>
      </c>
      <c r="AS132" s="556" t="s">
        <v>837</v>
      </c>
      <c r="AT132" s="556" t="s">
        <v>837</v>
      </c>
      <c r="AU132" s="556" t="s">
        <v>837</v>
      </c>
      <c r="AV132" s="556" t="s">
        <v>837</v>
      </c>
      <c r="AW132" s="556" t="s">
        <v>837</v>
      </c>
      <c r="AX132" s="556" t="s">
        <v>837</v>
      </c>
      <c r="AY132" s="556" t="s">
        <v>837</v>
      </c>
      <c r="AZ132" s="556" t="s">
        <v>837</v>
      </c>
      <c r="BA132" s="556" t="s">
        <v>837</v>
      </c>
      <c r="BB132" s="556" t="s">
        <v>837</v>
      </c>
      <c r="BC132" s="556" t="s">
        <v>837</v>
      </c>
      <c r="BD132" s="556" t="s">
        <v>837</v>
      </c>
      <c r="BE132" s="556" t="s">
        <v>837</v>
      </c>
      <c r="BF132" s="614"/>
      <c r="BG132" s="614"/>
      <c r="BH132" s="614"/>
      <c r="BI132" s="576"/>
      <c r="BJ132" s="576"/>
      <c r="BK132" s="576"/>
      <c r="BL132" s="602"/>
      <c r="BM132" s="553" t="s">
        <v>837</v>
      </c>
      <c r="BN132" s="612" t="s">
        <v>837</v>
      </c>
      <c r="BO132" s="576"/>
      <c r="BP132" s="606"/>
      <c r="BQ132" s="576"/>
      <c r="BR132" s="570"/>
      <c r="BS132" s="547"/>
      <c r="BT132" s="549"/>
      <c r="BU132" s="549"/>
      <c r="BV132" s="549"/>
      <c r="BW132" s="549"/>
      <c r="BX132" s="549"/>
      <c r="BY132" s="549"/>
      <c r="BZ132" s="549"/>
      <c r="CA132" s="549"/>
      <c r="CB132" s="549"/>
      <c r="CC132" s="549"/>
      <c r="CD132" s="548"/>
      <c r="CE132" s="547"/>
      <c r="CF132" s="549"/>
      <c r="CG132" s="549"/>
      <c r="CH132" s="549"/>
      <c r="CI132" s="549"/>
      <c r="CJ132" s="549"/>
      <c r="CK132" s="549"/>
      <c r="CL132" s="549"/>
      <c r="CM132" s="549"/>
      <c r="CN132" s="548"/>
      <c r="CO132" s="640"/>
      <c r="CP132" s="640"/>
      <c r="CQ132" s="640"/>
      <c r="CR132" s="640"/>
      <c r="CS132" s="640"/>
      <c r="CT132" s="640"/>
      <c r="CU132" s="640"/>
      <c r="CV132" s="640"/>
      <c r="CW132" s="640"/>
      <c r="CX132" s="640"/>
      <c r="CY132" s="640"/>
      <c r="CZ132" s="640"/>
      <c r="DA132" s="640"/>
      <c r="DB132" s="640"/>
      <c r="DC132" s="640"/>
      <c r="DD132" s="640"/>
      <c r="DE132" s="640"/>
      <c r="DF132" s="640"/>
      <c r="DG132" s="640"/>
      <c r="DH132" s="640"/>
      <c r="DI132" s="641"/>
      <c r="DJ132" s="641"/>
      <c r="DK132" s="641"/>
      <c r="DL132" s="641"/>
      <c r="DM132" s="641"/>
      <c r="DN132" s="641"/>
      <c r="DO132" s="641"/>
      <c r="DP132" s="576"/>
      <c r="DQ132" s="576"/>
      <c r="DR132" s="576"/>
      <c r="DS132" s="576"/>
      <c r="DT132" s="576"/>
      <c r="DU132" s="576"/>
      <c r="DV132" s="576"/>
      <c r="DW132" s="576"/>
      <c r="DX132" s="576"/>
      <c r="DY132" s="576"/>
      <c r="DZ132" s="576"/>
      <c r="EA132" s="576"/>
      <c r="EB132" s="576"/>
      <c r="EC132" s="576"/>
      <c r="ED132" s="576"/>
      <c r="EE132" s="576"/>
      <c r="EF132" s="576"/>
      <c r="EG132" s="576"/>
      <c r="EH132" s="576"/>
    </row>
    <row r="133" spans="1:138" s="14" customFormat="1" x14ac:dyDescent="0.25">
      <c r="A133" s="8">
        <v>129</v>
      </c>
      <c r="B133" s="4" t="s">
        <v>722</v>
      </c>
      <c r="C133" s="4"/>
      <c r="D133" s="4" t="s">
        <v>53</v>
      </c>
      <c r="E133" s="4" t="s">
        <v>74</v>
      </c>
      <c r="F133" s="19"/>
      <c r="G133" s="19" t="s">
        <v>6</v>
      </c>
      <c r="H133" s="556" t="s">
        <v>837</v>
      </c>
      <c r="I133" s="556">
        <v>10002</v>
      </c>
      <c r="J133" s="556">
        <v>10003</v>
      </c>
      <c r="K133" s="556">
        <v>10004</v>
      </c>
      <c r="L133" s="556">
        <v>10005</v>
      </c>
      <c r="M133" s="556" t="s">
        <v>837</v>
      </c>
      <c r="N133" s="556">
        <v>10002</v>
      </c>
      <c r="O133" s="556">
        <v>10003</v>
      </c>
      <c r="P133" s="556">
        <v>10004</v>
      </c>
      <c r="Q133" s="556">
        <v>10005</v>
      </c>
      <c r="R133" s="556" t="s">
        <v>837</v>
      </c>
      <c r="S133" s="556" t="s">
        <v>837</v>
      </c>
      <c r="T133" s="556"/>
      <c r="U133" s="556" t="s">
        <v>837</v>
      </c>
      <c r="V133" s="556" t="s">
        <v>837</v>
      </c>
      <c r="W133" s="556" t="s">
        <v>837</v>
      </c>
      <c r="X133" s="556">
        <v>10002</v>
      </c>
      <c r="Y133" s="556" t="s">
        <v>837</v>
      </c>
      <c r="Z133" s="556">
        <v>10004</v>
      </c>
      <c r="AA133" s="556">
        <v>10005</v>
      </c>
      <c r="AB133" s="556" t="s">
        <v>837</v>
      </c>
      <c r="AC133" s="556">
        <v>10002</v>
      </c>
      <c r="AD133" s="556">
        <v>10003</v>
      </c>
      <c r="AE133" s="556">
        <v>10004</v>
      </c>
      <c r="AF133" s="556">
        <v>10005</v>
      </c>
      <c r="AG133" s="556" t="s">
        <v>837</v>
      </c>
      <c r="AH133" s="556" t="s">
        <v>837</v>
      </c>
      <c r="AI133" s="556" t="s">
        <v>837</v>
      </c>
      <c r="AJ133" s="556" t="s">
        <v>837</v>
      </c>
      <c r="AK133" s="556" t="s">
        <v>837</v>
      </c>
      <c r="AL133" s="556" t="s">
        <v>837</v>
      </c>
      <c r="AM133" s="556" t="s">
        <v>837</v>
      </c>
      <c r="AN133" s="556" t="s">
        <v>837</v>
      </c>
      <c r="AO133" s="556" t="s">
        <v>837</v>
      </c>
      <c r="AP133" s="556" t="s">
        <v>837</v>
      </c>
      <c r="AQ133" s="556" t="s">
        <v>837</v>
      </c>
      <c r="AR133" s="556" t="s">
        <v>837</v>
      </c>
      <c r="AS133" s="556" t="s">
        <v>837</v>
      </c>
      <c r="AT133" s="556" t="s">
        <v>837</v>
      </c>
      <c r="AU133" s="556" t="s">
        <v>837</v>
      </c>
      <c r="AV133" s="556" t="s">
        <v>837</v>
      </c>
      <c r="AW133" s="556" t="s">
        <v>837</v>
      </c>
      <c r="AX133" s="556" t="s">
        <v>837</v>
      </c>
      <c r="AY133" s="556" t="s">
        <v>837</v>
      </c>
      <c r="AZ133" s="556" t="s">
        <v>837</v>
      </c>
      <c r="BA133" s="556" t="s">
        <v>837</v>
      </c>
      <c r="BB133" s="556" t="s">
        <v>837</v>
      </c>
      <c r="BC133" s="556" t="s">
        <v>837</v>
      </c>
      <c r="BD133" s="556" t="s">
        <v>837</v>
      </c>
      <c r="BE133" s="556" t="s">
        <v>837</v>
      </c>
      <c r="BF133" s="636"/>
      <c r="BG133" s="636"/>
      <c r="BH133" s="636"/>
      <c r="BI133" s="576"/>
      <c r="BJ133" s="576"/>
      <c r="BK133" s="576"/>
      <c r="BL133" s="602"/>
      <c r="BM133" s="553" t="s">
        <v>837</v>
      </c>
      <c r="BN133" s="612" t="s">
        <v>837</v>
      </c>
      <c r="BO133" s="576"/>
      <c r="BP133" s="606"/>
      <c r="BQ133" s="576"/>
      <c r="BR133" s="570"/>
      <c r="BS133" s="547"/>
      <c r="BT133" s="549"/>
      <c r="BU133" s="549"/>
      <c r="BV133" s="549"/>
      <c r="BW133" s="549"/>
      <c r="BX133" s="549"/>
      <c r="BY133" s="549"/>
      <c r="BZ133" s="549"/>
      <c r="CA133" s="549"/>
      <c r="CB133" s="549"/>
      <c r="CC133" s="549"/>
      <c r="CD133" s="548"/>
      <c r="CE133" s="547"/>
      <c r="CF133" s="549"/>
      <c r="CG133" s="549"/>
      <c r="CH133" s="549"/>
      <c r="CI133" s="549"/>
      <c r="CJ133" s="549"/>
      <c r="CK133" s="549"/>
      <c r="CL133" s="549"/>
      <c r="CM133" s="549"/>
      <c r="CN133" s="548"/>
      <c r="CO133" s="640"/>
      <c r="CP133" s="640"/>
      <c r="CQ133" s="640"/>
      <c r="CR133" s="640"/>
      <c r="CS133" s="640"/>
      <c r="CT133" s="640"/>
      <c r="CU133" s="640"/>
      <c r="CV133" s="640"/>
      <c r="CW133" s="640"/>
      <c r="CX133" s="640"/>
      <c r="CY133" s="640"/>
      <c r="CZ133" s="640"/>
      <c r="DA133" s="640"/>
      <c r="DB133" s="640"/>
      <c r="DC133" s="640"/>
      <c r="DD133" s="640"/>
      <c r="DE133" s="640"/>
      <c r="DF133" s="640"/>
      <c r="DG133" s="640"/>
      <c r="DH133" s="640"/>
      <c r="DI133" s="641"/>
      <c r="DJ133" s="641"/>
      <c r="DK133" s="641"/>
      <c r="DL133" s="641"/>
      <c r="DM133" s="641"/>
      <c r="DN133" s="641"/>
      <c r="DO133" s="641"/>
      <c r="DP133" s="576"/>
      <c r="DQ133" s="576"/>
      <c r="DR133" s="576"/>
      <c r="DS133" s="576"/>
      <c r="DT133" s="576"/>
      <c r="DU133" s="576"/>
      <c r="DV133" s="576"/>
      <c r="DW133" s="576"/>
      <c r="DX133" s="576"/>
      <c r="DY133" s="576"/>
      <c r="DZ133" s="576"/>
      <c r="EA133" s="576"/>
      <c r="EB133" s="576"/>
      <c r="EC133" s="576"/>
      <c r="ED133" s="576"/>
      <c r="EE133" s="576"/>
      <c r="EF133" s="576"/>
      <c r="EG133" s="576"/>
      <c r="EH133" s="576"/>
    </row>
    <row r="134" spans="1:138" s="14" customFormat="1" x14ac:dyDescent="0.25">
      <c r="A134" s="8">
        <v>130</v>
      </c>
      <c r="B134" s="5" t="s">
        <v>67</v>
      </c>
      <c r="C134" s="5"/>
      <c r="D134" s="4" t="s">
        <v>53</v>
      </c>
      <c r="E134" s="4" t="s">
        <v>75</v>
      </c>
      <c r="F134" s="19" t="s">
        <v>8</v>
      </c>
      <c r="G134" s="19" t="s">
        <v>837</v>
      </c>
      <c r="H134" s="556" t="s">
        <v>837</v>
      </c>
      <c r="I134" s="556" t="s">
        <v>837</v>
      </c>
      <c r="J134" s="556" t="s">
        <v>837</v>
      </c>
      <c r="K134" s="556" t="s">
        <v>837</v>
      </c>
      <c r="L134" s="556" t="s">
        <v>837</v>
      </c>
      <c r="M134" s="556" t="s">
        <v>837</v>
      </c>
      <c r="N134" s="556" t="s">
        <v>837</v>
      </c>
      <c r="O134" s="556" t="s">
        <v>837</v>
      </c>
      <c r="P134" s="556" t="s">
        <v>837</v>
      </c>
      <c r="Q134" s="556" t="s">
        <v>837</v>
      </c>
      <c r="R134" s="556" t="s">
        <v>837</v>
      </c>
      <c r="S134" s="556" t="s">
        <v>837</v>
      </c>
      <c r="T134" s="556" t="s">
        <v>837</v>
      </c>
      <c r="U134" s="556" t="s">
        <v>837</v>
      </c>
      <c r="V134" s="556" t="s">
        <v>837</v>
      </c>
      <c r="W134" s="556" t="s">
        <v>837</v>
      </c>
      <c r="X134" s="556" t="s">
        <v>837</v>
      </c>
      <c r="Y134" s="556" t="s">
        <v>837</v>
      </c>
      <c r="Z134" s="556" t="s">
        <v>837</v>
      </c>
      <c r="AA134" s="556" t="s">
        <v>837</v>
      </c>
      <c r="AB134" s="556" t="s">
        <v>837</v>
      </c>
      <c r="AC134" s="556" t="s">
        <v>837</v>
      </c>
      <c r="AD134" s="556" t="s">
        <v>837</v>
      </c>
      <c r="AE134" s="556" t="s">
        <v>837</v>
      </c>
      <c r="AF134" s="556" t="s">
        <v>837</v>
      </c>
      <c r="AG134" s="556" t="s">
        <v>837</v>
      </c>
      <c r="AH134" s="556" t="s">
        <v>837</v>
      </c>
      <c r="AI134" s="556" t="s">
        <v>837</v>
      </c>
      <c r="AJ134" s="556" t="s">
        <v>837</v>
      </c>
      <c r="AK134" s="556" t="s">
        <v>837</v>
      </c>
      <c r="AL134" s="556" t="s">
        <v>837</v>
      </c>
      <c r="AM134" s="556" t="s">
        <v>837</v>
      </c>
      <c r="AN134" s="556" t="s">
        <v>837</v>
      </c>
      <c r="AO134" s="556" t="s">
        <v>837</v>
      </c>
      <c r="AP134" s="556" t="s">
        <v>837</v>
      </c>
      <c r="AQ134" s="556" t="s">
        <v>837</v>
      </c>
      <c r="AR134" s="556" t="s">
        <v>837</v>
      </c>
      <c r="AS134" s="556" t="s">
        <v>837</v>
      </c>
      <c r="AT134" s="556" t="s">
        <v>837</v>
      </c>
      <c r="AU134" s="556" t="s">
        <v>837</v>
      </c>
      <c r="AV134" s="556" t="s">
        <v>837</v>
      </c>
      <c r="AW134" s="556" t="s">
        <v>837</v>
      </c>
      <c r="AX134" s="556" t="s">
        <v>837</v>
      </c>
      <c r="AY134" s="556" t="s">
        <v>837</v>
      </c>
      <c r="AZ134" s="556" t="s">
        <v>837</v>
      </c>
      <c r="BA134" s="556" t="s">
        <v>837</v>
      </c>
      <c r="BB134" s="556" t="s">
        <v>837</v>
      </c>
      <c r="BC134" s="556" t="s">
        <v>837</v>
      </c>
      <c r="BD134" s="556" t="s">
        <v>837</v>
      </c>
      <c r="BE134" s="556" t="s">
        <v>837</v>
      </c>
      <c r="BF134" s="636"/>
      <c r="BG134" s="636"/>
      <c r="BH134" s="636"/>
      <c r="BI134" s="576"/>
      <c r="BJ134" s="576"/>
      <c r="BK134" s="576"/>
      <c r="BL134" s="602"/>
      <c r="BM134" s="553" t="s">
        <v>837</v>
      </c>
      <c r="BN134" s="612" t="s">
        <v>837</v>
      </c>
      <c r="BO134" s="576"/>
      <c r="BP134" s="606"/>
      <c r="BQ134" s="576"/>
      <c r="BR134" s="570"/>
      <c r="BS134" s="547"/>
      <c r="BT134" s="549"/>
      <c r="BU134" s="549"/>
      <c r="BV134" s="549"/>
      <c r="BW134" s="549"/>
      <c r="BX134" s="549"/>
      <c r="BY134" s="549"/>
      <c r="BZ134" s="549"/>
      <c r="CA134" s="549"/>
      <c r="CB134" s="549"/>
      <c r="CC134" s="549"/>
      <c r="CD134" s="548"/>
      <c r="CE134" s="547"/>
      <c r="CF134" s="549"/>
      <c r="CG134" s="549"/>
      <c r="CH134" s="549"/>
      <c r="CI134" s="549"/>
      <c r="CJ134" s="549"/>
      <c r="CK134" s="549"/>
      <c r="CL134" s="549"/>
      <c r="CM134" s="549"/>
      <c r="CN134" s="548"/>
      <c r="CO134" s="640"/>
      <c r="CP134" s="640"/>
      <c r="CQ134" s="640"/>
      <c r="CR134" s="640"/>
      <c r="CS134" s="640"/>
      <c r="CT134" s="640"/>
      <c r="CU134" s="640"/>
      <c r="CV134" s="640"/>
      <c r="CW134" s="640"/>
      <c r="CX134" s="640"/>
      <c r="CY134" s="640"/>
      <c r="CZ134" s="640"/>
      <c r="DA134" s="640"/>
      <c r="DB134" s="640"/>
      <c r="DC134" s="640"/>
      <c r="DD134" s="640"/>
      <c r="DE134" s="640"/>
      <c r="DF134" s="640"/>
      <c r="DG134" s="640"/>
      <c r="DH134" s="640"/>
      <c r="DI134" s="641"/>
      <c r="DJ134" s="641"/>
      <c r="DK134" s="641"/>
      <c r="DL134" s="641"/>
      <c r="DM134" s="641"/>
      <c r="DN134" s="641"/>
      <c r="DO134" s="641"/>
      <c r="DP134" s="576"/>
      <c r="DQ134" s="576"/>
      <c r="DR134" s="576"/>
      <c r="DS134" s="576"/>
      <c r="DT134" s="576"/>
      <c r="DU134" s="576"/>
      <c r="DV134" s="576"/>
      <c r="DW134" s="576"/>
      <c r="DX134" s="576"/>
      <c r="DY134" s="576"/>
      <c r="DZ134" s="576"/>
      <c r="EA134" s="576"/>
      <c r="EB134" s="576"/>
      <c r="EC134" s="576"/>
      <c r="ED134" s="576"/>
      <c r="EE134" s="576"/>
      <c r="EF134" s="576"/>
      <c r="EG134" s="576"/>
      <c r="EH134" s="576"/>
    </row>
    <row r="135" spans="1:138" s="14" customFormat="1" x14ac:dyDescent="0.25">
      <c r="A135" s="8">
        <v>131</v>
      </c>
      <c r="B135" s="4" t="s">
        <v>45</v>
      </c>
      <c r="C135" s="4"/>
      <c r="D135" s="4" t="s">
        <v>53</v>
      </c>
      <c r="E135" s="4" t="s">
        <v>75</v>
      </c>
      <c r="F135" s="19" t="s">
        <v>8</v>
      </c>
      <c r="G135" s="19" t="s">
        <v>837</v>
      </c>
      <c r="H135" s="556" t="s">
        <v>837</v>
      </c>
      <c r="I135" s="556" t="s">
        <v>837</v>
      </c>
      <c r="J135" s="556" t="s">
        <v>837</v>
      </c>
      <c r="K135" s="556" t="s">
        <v>837</v>
      </c>
      <c r="L135" s="556" t="s">
        <v>837</v>
      </c>
      <c r="M135" s="556" t="s">
        <v>837</v>
      </c>
      <c r="N135" s="556" t="s">
        <v>837</v>
      </c>
      <c r="O135" s="556" t="s">
        <v>837</v>
      </c>
      <c r="P135" s="556" t="s">
        <v>837</v>
      </c>
      <c r="Q135" s="556" t="s">
        <v>837</v>
      </c>
      <c r="R135" s="556" t="s">
        <v>837</v>
      </c>
      <c r="S135" s="556" t="s">
        <v>837</v>
      </c>
      <c r="T135" s="556" t="s">
        <v>837</v>
      </c>
      <c r="U135" s="556" t="s">
        <v>837</v>
      </c>
      <c r="V135" s="556" t="s">
        <v>837</v>
      </c>
      <c r="W135" s="556" t="s">
        <v>837</v>
      </c>
      <c r="X135" s="556" t="s">
        <v>837</v>
      </c>
      <c r="Y135" s="556" t="s">
        <v>837</v>
      </c>
      <c r="Z135" s="556" t="s">
        <v>837</v>
      </c>
      <c r="AA135" s="556" t="s">
        <v>837</v>
      </c>
      <c r="AB135" s="556" t="s">
        <v>837</v>
      </c>
      <c r="AC135" s="556" t="s">
        <v>837</v>
      </c>
      <c r="AD135" s="556" t="s">
        <v>837</v>
      </c>
      <c r="AE135" s="556" t="s">
        <v>837</v>
      </c>
      <c r="AF135" s="556" t="s">
        <v>837</v>
      </c>
      <c r="AG135" s="556" t="s">
        <v>837</v>
      </c>
      <c r="AH135" s="556" t="s">
        <v>837</v>
      </c>
      <c r="AI135" s="556" t="s">
        <v>837</v>
      </c>
      <c r="AJ135" s="556" t="s">
        <v>837</v>
      </c>
      <c r="AK135" s="556" t="s">
        <v>837</v>
      </c>
      <c r="AL135" s="556" t="s">
        <v>837</v>
      </c>
      <c r="AM135" s="556" t="s">
        <v>837</v>
      </c>
      <c r="AN135" s="556" t="s">
        <v>837</v>
      </c>
      <c r="AO135" s="556" t="s">
        <v>837</v>
      </c>
      <c r="AP135" s="556" t="s">
        <v>837</v>
      </c>
      <c r="AQ135" s="556" t="s">
        <v>837</v>
      </c>
      <c r="AR135" s="556" t="s">
        <v>837</v>
      </c>
      <c r="AS135" s="556" t="s">
        <v>837</v>
      </c>
      <c r="AT135" s="556" t="s">
        <v>837</v>
      </c>
      <c r="AU135" s="556" t="s">
        <v>837</v>
      </c>
      <c r="AV135" s="556" t="s">
        <v>837</v>
      </c>
      <c r="AW135" s="556" t="s">
        <v>837</v>
      </c>
      <c r="AX135" s="556" t="s">
        <v>837</v>
      </c>
      <c r="AY135" s="556" t="s">
        <v>837</v>
      </c>
      <c r="AZ135" s="556" t="s">
        <v>837</v>
      </c>
      <c r="BA135" s="556" t="s">
        <v>837</v>
      </c>
      <c r="BB135" s="556" t="s">
        <v>837</v>
      </c>
      <c r="BC135" s="556" t="s">
        <v>837</v>
      </c>
      <c r="BD135" s="556" t="s">
        <v>837</v>
      </c>
      <c r="BE135" s="556" t="s">
        <v>837</v>
      </c>
      <c r="BF135" s="612"/>
      <c r="BG135" s="612"/>
      <c r="BH135" s="612"/>
      <c r="BI135" s="576"/>
      <c r="BJ135" s="576"/>
      <c r="BK135" s="576"/>
      <c r="BL135" s="602"/>
      <c r="BM135" s="553" t="s">
        <v>837</v>
      </c>
      <c r="BN135" s="612" t="s">
        <v>837</v>
      </c>
      <c r="BO135" s="576"/>
      <c r="BP135" s="606"/>
      <c r="BQ135" s="576"/>
      <c r="BR135" s="570"/>
      <c r="BS135" s="547"/>
      <c r="BT135" s="549"/>
      <c r="BU135" s="549"/>
      <c r="BV135" s="549"/>
      <c r="BW135" s="549"/>
      <c r="BX135" s="549"/>
      <c r="BY135" s="549"/>
      <c r="BZ135" s="549"/>
      <c r="CA135" s="549"/>
      <c r="CB135" s="549"/>
      <c r="CC135" s="549"/>
      <c r="CD135" s="548"/>
      <c r="CE135" s="547"/>
      <c r="CF135" s="549"/>
      <c r="CG135" s="549"/>
      <c r="CH135" s="549"/>
      <c r="CI135" s="549"/>
      <c r="CJ135" s="549"/>
      <c r="CK135" s="549"/>
      <c r="CL135" s="549"/>
      <c r="CM135" s="549"/>
      <c r="CN135" s="548"/>
      <c r="CO135" s="640"/>
      <c r="CP135" s="640"/>
      <c r="CQ135" s="640"/>
      <c r="CR135" s="640"/>
      <c r="CS135" s="640"/>
      <c r="CT135" s="640"/>
      <c r="CU135" s="640"/>
      <c r="CV135" s="640"/>
      <c r="CW135" s="640"/>
      <c r="CX135" s="640"/>
      <c r="CY135" s="640"/>
      <c r="CZ135" s="640"/>
      <c r="DA135" s="640"/>
      <c r="DB135" s="640"/>
      <c r="DC135" s="640"/>
      <c r="DD135" s="640"/>
      <c r="DE135" s="640"/>
      <c r="DF135" s="640"/>
      <c r="DG135" s="640"/>
      <c r="DH135" s="640"/>
      <c r="DI135" s="641"/>
      <c r="DJ135" s="641"/>
      <c r="DK135" s="641"/>
      <c r="DL135" s="641"/>
      <c r="DM135" s="641"/>
      <c r="DN135" s="641"/>
      <c r="DO135" s="641"/>
      <c r="DP135" s="576"/>
      <c r="DQ135" s="576"/>
      <c r="DR135" s="576"/>
      <c r="DS135" s="576"/>
      <c r="DT135" s="576"/>
      <c r="DU135" s="576"/>
      <c r="DV135" s="576"/>
      <c r="DW135" s="576"/>
      <c r="DX135" s="576"/>
      <c r="DY135" s="576"/>
      <c r="DZ135" s="576"/>
      <c r="EA135" s="576"/>
      <c r="EB135" s="576"/>
      <c r="EC135" s="576"/>
      <c r="ED135" s="576"/>
      <c r="EE135" s="576"/>
      <c r="EF135" s="576"/>
      <c r="EG135" s="576"/>
      <c r="EH135" s="576"/>
    </row>
    <row r="136" spans="1:138" s="14" customFormat="1" x14ac:dyDescent="0.25">
      <c r="A136" s="8">
        <v>132</v>
      </c>
      <c r="B136" s="4" t="s">
        <v>66</v>
      </c>
      <c r="C136" s="4"/>
      <c r="D136" s="4" t="s">
        <v>53</v>
      </c>
      <c r="E136" s="4" t="s">
        <v>75</v>
      </c>
      <c r="F136" s="19" t="s">
        <v>8</v>
      </c>
      <c r="G136" s="19" t="s">
        <v>837</v>
      </c>
      <c r="H136" s="556" t="s">
        <v>837</v>
      </c>
      <c r="I136" s="556">
        <v>10002</v>
      </c>
      <c r="J136" s="556" t="s">
        <v>837</v>
      </c>
      <c r="K136" s="556">
        <v>10004</v>
      </c>
      <c r="L136" s="556" t="s">
        <v>837</v>
      </c>
      <c r="M136" s="556" t="s">
        <v>837</v>
      </c>
      <c r="N136" s="556">
        <v>10002</v>
      </c>
      <c r="O136" s="556" t="s">
        <v>837</v>
      </c>
      <c r="P136" s="556">
        <v>10004</v>
      </c>
      <c r="Q136" s="556" t="s">
        <v>837</v>
      </c>
      <c r="R136" s="556" t="s">
        <v>837</v>
      </c>
      <c r="S136" s="556">
        <v>10002</v>
      </c>
      <c r="T136" s="556" t="s">
        <v>837</v>
      </c>
      <c r="U136" s="556">
        <v>10004</v>
      </c>
      <c r="V136" s="556" t="s">
        <v>837</v>
      </c>
      <c r="W136" s="556" t="s">
        <v>837</v>
      </c>
      <c r="X136" s="556" t="s">
        <v>837</v>
      </c>
      <c r="Y136" s="556" t="s">
        <v>837</v>
      </c>
      <c r="Z136" s="556" t="s">
        <v>837</v>
      </c>
      <c r="AA136" s="556" t="s">
        <v>837</v>
      </c>
      <c r="AB136" s="556" t="s">
        <v>837</v>
      </c>
      <c r="AC136" s="556">
        <v>10002</v>
      </c>
      <c r="AD136" s="556" t="s">
        <v>837</v>
      </c>
      <c r="AE136" s="556">
        <v>10004</v>
      </c>
      <c r="AF136" s="556" t="s">
        <v>837</v>
      </c>
      <c r="AG136" s="556" t="s">
        <v>837</v>
      </c>
      <c r="AH136" s="556">
        <v>10002</v>
      </c>
      <c r="AI136" s="556" t="s">
        <v>837</v>
      </c>
      <c r="AJ136" s="556">
        <v>10004</v>
      </c>
      <c r="AK136" s="556" t="s">
        <v>837</v>
      </c>
      <c r="AL136" s="556" t="s">
        <v>837</v>
      </c>
      <c r="AM136" s="556">
        <v>10002</v>
      </c>
      <c r="AN136" s="556" t="s">
        <v>837</v>
      </c>
      <c r="AO136" s="556">
        <v>10004</v>
      </c>
      <c r="AP136" s="556" t="s">
        <v>837</v>
      </c>
      <c r="AQ136" s="556" t="s">
        <v>837</v>
      </c>
      <c r="AR136" s="556">
        <v>10002</v>
      </c>
      <c r="AS136" s="556" t="s">
        <v>837</v>
      </c>
      <c r="AT136" s="556">
        <v>10004</v>
      </c>
      <c r="AU136" s="556" t="s">
        <v>837</v>
      </c>
      <c r="AV136" s="556" t="s">
        <v>837</v>
      </c>
      <c r="AW136" s="556" t="s">
        <v>837</v>
      </c>
      <c r="AX136" s="556" t="s">
        <v>837</v>
      </c>
      <c r="AY136" s="556" t="s">
        <v>837</v>
      </c>
      <c r="AZ136" s="556" t="s">
        <v>837</v>
      </c>
      <c r="BA136" s="556" t="s">
        <v>837</v>
      </c>
      <c r="BB136" s="556">
        <v>10002</v>
      </c>
      <c r="BC136" s="556" t="s">
        <v>837</v>
      </c>
      <c r="BD136" s="556">
        <v>10004</v>
      </c>
      <c r="BE136" s="556" t="s">
        <v>837</v>
      </c>
      <c r="BF136" s="612"/>
      <c r="BG136" s="612"/>
      <c r="BH136" s="612"/>
      <c r="BI136" s="576"/>
      <c r="BJ136" s="576"/>
      <c r="BK136" s="576"/>
      <c r="BL136" s="602"/>
      <c r="BM136" s="553" t="s">
        <v>837</v>
      </c>
      <c r="BN136" s="612" t="s">
        <v>837</v>
      </c>
      <c r="BO136" s="576"/>
      <c r="BP136" s="606"/>
      <c r="BQ136" s="576"/>
      <c r="BR136" s="570"/>
      <c r="BS136" s="547"/>
      <c r="BT136" s="549"/>
      <c r="BU136" s="549"/>
      <c r="BV136" s="549"/>
      <c r="BW136" s="549"/>
      <c r="BX136" s="549"/>
      <c r="BY136" s="549"/>
      <c r="BZ136" s="549"/>
      <c r="CA136" s="549"/>
      <c r="CB136" s="549"/>
      <c r="CC136" s="549"/>
      <c r="CD136" s="548"/>
      <c r="CE136" s="547"/>
      <c r="CF136" s="549"/>
      <c r="CG136" s="549"/>
      <c r="CH136" s="549"/>
      <c r="CI136" s="549"/>
      <c r="CJ136" s="549"/>
      <c r="CK136" s="549"/>
      <c r="CL136" s="549"/>
      <c r="CM136" s="549"/>
      <c r="CN136" s="548"/>
      <c r="CO136" s="640"/>
      <c r="CP136" s="640"/>
      <c r="CQ136" s="640"/>
      <c r="CR136" s="640"/>
      <c r="CS136" s="640"/>
      <c r="CT136" s="640"/>
      <c r="CU136" s="640"/>
      <c r="CV136" s="640"/>
      <c r="CW136" s="640"/>
      <c r="CX136" s="640"/>
      <c r="CY136" s="640"/>
      <c r="CZ136" s="640"/>
      <c r="DA136" s="640"/>
      <c r="DB136" s="640"/>
      <c r="DC136" s="640"/>
      <c r="DD136" s="640"/>
      <c r="DE136" s="640"/>
      <c r="DF136" s="640"/>
      <c r="DG136" s="640"/>
      <c r="DH136" s="640"/>
      <c r="DI136" s="641"/>
      <c r="DJ136" s="641"/>
      <c r="DK136" s="641"/>
      <c r="DL136" s="641"/>
      <c r="DM136" s="641"/>
      <c r="DN136" s="641"/>
      <c r="DO136" s="641"/>
      <c r="DP136" s="576"/>
      <c r="DQ136" s="576"/>
      <c r="DR136" s="576"/>
      <c r="DS136" s="576"/>
      <c r="DT136" s="576"/>
      <c r="DU136" s="576"/>
      <c r="DV136" s="576"/>
      <c r="DW136" s="576"/>
      <c r="DX136" s="576"/>
      <c r="DY136" s="576"/>
      <c r="DZ136" s="576"/>
      <c r="EA136" s="576"/>
      <c r="EB136" s="576"/>
      <c r="EC136" s="576"/>
      <c r="ED136" s="576"/>
      <c r="EE136" s="576"/>
      <c r="EF136" s="576"/>
      <c r="EG136" s="576"/>
      <c r="EH136" s="576"/>
    </row>
    <row r="137" spans="1:138" s="14" customFormat="1" x14ac:dyDescent="0.25">
      <c r="A137" s="8">
        <v>133</v>
      </c>
      <c r="B137" s="4" t="s">
        <v>7</v>
      </c>
      <c r="C137" s="4"/>
      <c r="D137" s="4" t="s">
        <v>53</v>
      </c>
      <c r="E137" s="4" t="s">
        <v>74</v>
      </c>
      <c r="F137" s="19"/>
      <c r="G137" s="19" t="s">
        <v>6</v>
      </c>
      <c r="H137" s="556" t="s">
        <v>837</v>
      </c>
      <c r="I137" s="556">
        <v>10002</v>
      </c>
      <c r="J137" s="556">
        <v>10003</v>
      </c>
      <c r="K137" s="556">
        <v>10004</v>
      </c>
      <c r="L137" s="556">
        <v>10005</v>
      </c>
      <c r="M137" s="556" t="s">
        <v>837</v>
      </c>
      <c r="N137" s="556">
        <v>10002</v>
      </c>
      <c r="O137" s="556">
        <v>10003</v>
      </c>
      <c r="P137" s="556">
        <v>10004</v>
      </c>
      <c r="Q137" s="556">
        <v>10005</v>
      </c>
      <c r="R137" s="556" t="s">
        <v>837</v>
      </c>
      <c r="S137" s="556" t="s">
        <v>837</v>
      </c>
      <c r="T137" s="556"/>
      <c r="U137" s="556" t="s">
        <v>837</v>
      </c>
      <c r="V137" s="556" t="s">
        <v>837</v>
      </c>
      <c r="W137" s="556" t="s">
        <v>837</v>
      </c>
      <c r="X137" s="556">
        <v>10002</v>
      </c>
      <c r="Y137" s="556" t="s">
        <v>837</v>
      </c>
      <c r="Z137" s="556">
        <v>10004</v>
      </c>
      <c r="AA137" s="556">
        <v>10005</v>
      </c>
      <c r="AB137" s="556" t="s">
        <v>837</v>
      </c>
      <c r="AC137" s="556">
        <v>10002</v>
      </c>
      <c r="AD137" s="556">
        <v>10003</v>
      </c>
      <c r="AE137" s="556">
        <v>10004</v>
      </c>
      <c r="AF137" s="556">
        <v>10005</v>
      </c>
      <c r="AG137" s="556" t="s">
        <v>837</v>
      </c>
      <c r="AH137" s="556" t="s">
        <v>837</v>
      </c>
      <c r="AI137" s="556" t="s">
        <v>837</v>
      </c>
      <c r="AJ137" s="556" t="s">
        <v>837</v>
      </c>
      <c r="AK137" s="556" t="s">
        <v>837</v>
      </c>
      <c r="AL137" s="556" t="s">
        <v>837</v>
      </c>
      <c r="AM137" s="556" t="s">
        <v>837</v>
      </c>
      <c r="AN137" s="556" t="s">
        <v>837</v>
      </c>
      <c r="AO137" s="556" t="s">
        <v>837</v>
      </c>
      <c r="AP137" s="556" t="s">
        <v>837</v>
      </c>
      <c r="AQ137" s="556" t="s">
        <v>837</v>
      </c>
      <c r="AR137" s="556" t="s">
        <v>837</v>
      </c>
      <c r="AS137" s="556" t="s">
        <v>837</v>
      </c>
      <c r="AT137" s="556" t="s">
        <v>837</v>
      </c>
      <c r="AU137" s="556" t="s">
        <v>837</v>
      </c>
      <c r="AV137" s="556" t="s">
        <v>837</v>
      </c>
      <c r="AW137" s="556" t="s">
        <v>837</v>
      </c>
      <c r="AX137" s="556" t="s">
        <v>837</v>
      </c>
      <c r="AY137" s="556" t="s">
        <v>837</v>
      </c>
      <c r="AZ137" s="556" t="s">
        <v>837</v>
      </c>
      <c r="BA137" s="556" t="s">
        <v>837</v>
      </c>
      <c r="BB137" s="556" t="s">
        <v>837</v>
      </c>
      <c r="BC137" s="556" t="s">
        <v>837</v>
      </c>
      <c r="BD137" s="556" t="s">
        <v>837</v>
      </c>
      <c r="BE137" s="556" t="s">
        <v>837</v>
      </c>
      <c r="BF137" s="612"/>
      <c r="BG137" s="612"/>
      <c r="BH137" s="612"/>
      <c r="BI137" s="576"/>
      <c r="BJ137" s="576"/>
      <c r="BK137" s="576"/>
      <c r="BL137" s="602"/>
      <c r="BM137" s="553" t="s">
        <v>837</v>
      </c>
      <c r="BN137" s="612" t="s">
        <v>837</v>
      </c>
      <c r="BO137" s="576"/>
      <c r="BP137" s="606"/>
      <c r="BQ137" s="576"/>
      <c r="BR137" s="570"/>
      <c r="BS137" s="547"/>
      <c r="BT137" s="549"/>
      <c r="BU137" s="549"/>
      <c r="BV137" s="549"/>
      <c r="BW137" s="549"/>
      <c r="BX137" s="549"/>
      <c r="BY137" s="549"/>
      <c r="BZ137" s="549"/>
      <c r="CA137" s="549"/>
      <c r="CB137" s="549"/>
      <c r="CC137" s="549"/>
      <c r="CD137" s="548"/>
      <c r="CE137" s="547"/>
      <c r="CF137" s="549"/>
      <c r="CG137" s="549"/>
      <c r="CH137" s="549"/>
      <c r="CI137" s="549"/>
      <c r="CJ137" s="549"/>
      <c r="CK137" s="549"/>
      <c r="CL137" s="549"/>
      <c r="CM137" s="549"/>
      <c r="CN137" s="548"/>
      <c r="CO137" s="640"/>
      <c r="CP137" s="640"/>
      <c r="CQ137" s="640"/>
      <c r="CR137" s="640"/>
      <c r="CS137" s="640"/>
      <c r="CT137" s="640"/>
      <c r="CU137" s="640"/>
      <c r="CV137" s="640"/>
      <c r="CW137" s="640"/>
      <c r="CX137" s="640"/>
      <c r="CY137" s="640"/>
      <c r="CZ137" s="640"/>
      <c r="DA137" s="640"/>
      <c r="DB137" s="640"/>
      <c r="DC137" s="640"/>
      <c r="DD137" s="640"/>
      <c r="DE137" s="640"/>
      <c r="DF137" s="640"/>
      <c r="DG137" s="640"/>
      <c r="DH137" s="640"/>
      <c r="DI137" s="641"/>
      <c r="DJ137" s="641"/>
      <c r="DK137" s="641"/>
      <c r="DL137" s="641"/>
      <c r="DM137" s="641"/>
      <c r="DN137" s="641"/>
      <c r="DO137" s="641"/>
      <c r="DP137" s="576"/>
      <c r="DQ137" s="576"/>
      <c r="DR137" s="576"/>
      <c r="DS137" s="576"/>
      <c r="DT137" s="576"/>
      <c r="DU137" s="576"/>
      <c r="DV137" s="576"/>
      <c r="DW137" s="576"/>
      <c r="DX137" s="576"/>
      <c r="DY137" s="576"/>
      <c r="DZ137" s="576"/>
      <c r="EA137" s="576"/>
      <c r="EB137" s="576"/>
      <c r="EC137" s="576"/>
      <c r="ED137" s="576"/>
      <c r="EE137" s="576"/>
      <c r="EF137" s="576"/>
      <c r="EG137" s="576"/>
      <c r="EH137" s="576"/>
    </row>
    <row r="138" spans="1:138" s="14" customFormat="1" x14ac:dyDescent="0.25">
      <c r="A138" s="8">
        <v>134</v>
      </c>
      <c r="B138" s="4" t="s">
        <v>46</v>
      </c>
      <c r="C138" s="4"/>
      <c r="D138" s="4" t="s">
        <v>53</v>
      </c>
      <c r="E138" s="4" t="s">
        <v>75</v>
      </c>
      <c r="F138" s="19" t="s">
        <v>8</v>
      </c>
      <c r="G138" s="19" t="s">
        <v>837</v>
      </c>
      <c r="H138" s="556" t="s">
        <v>837</v>
      </c>
      <c r="I138" s="556">
        <v>10002</v>
      </c>
      <c r="J138" s="556" t="s">
        <v>837</v>
      </c>
      <c r="K138" s="556">
        <v>10004</v>
      </c>
      <c r="L138" s="556" t="s">
        <v>837</v>
      </c>
      <c r="M138" s="556" t="s">
        <v>837</v>
      </c>
      <c r="N138" s="556">
        <v>10002</v>
      </c>
      <c r="O138" s="556" t="s">
        <v>837</v>
      </c>
      <c r="P138" s="556">
        <v>10004</v>
      </c>
      <c r="Q138" s="556" t="s">
        <v>837</v>
      </c>
      <c r="R138" s="556" t="s">
        <v>837</v>
      </c>
      <c r="S138" s="556">
        <v>10002</v>
      </c>
      <c r="T138" s="556" t="s">
        <v>837</v>
      </c>
      <c r="U138" s="556">
        <v>10004</v>
      </c>
      <c r="V138" s="556" t="s">
        <v>837</v>
      </c>
      <c r="W138" s="556" t="s">
        <v>837</v>
      </c>
      <c r="X138" s="556" t="s">
        <v>837</v>
      </c>
      <c r="Y138" s="556" t="s">
        <v>837</v>
      </c>
      <c r="Z138" s="556" t="s">
        <v>837</v>
      </c>
      <c r="AA138" s="556" t="s">
        <v>837</v>
      </c>
      <c r="AB138" s="556" t="s">
        <v>837</v>
      </c>
      <c r="AC138" s="556">
        <v>10002</v>
      </c>
      <c r="AD138" s="556" t="s">
        <v>837</v>
      </c>
      <c r="AE138" s="556">
        <v>10004</v>
      </c>
      <c r="AF138" s="556" t="s">
        <v>837</v>
      </c>
      <c r="AG138" s="556" t="s">
        <v>837</v>
      </c>
      <c r="AH138" s="556" t="s">
        <v>837</v>
      </c>
      <c r="AI138" s="556" t="s">
        <v>837</v>
      </c>
      <c r="AJ138" s="556" t="s">
        <v>837</v>
      </c>
      <c r="AK138" s="556" t="s">
        <v>837</v>
      </c>
      <c r="AL138" s="556" t="s">
        <v>837</v>
      </c>
      <c r="AM138" s="556" t="s">
        <v>837</v>
      </c>
      <c r="AN138" s="556" t="s">
        <v>837</v>
      </c>
      <c r="AO138" s="556" t="s">
        <v>837</v>
      </c>
      <c r="AP138" s="556" t="s">
        <v>837</v>
      </c>
      <c r="AQ138" s="556" t="s">
        <v>837</v>
      </c>
      <c r="AR138" s="556" t="s">
        <v>837</v>
      </c>
      <c r="AS138" s="556" t="s">
        <v>837</v>
      </c>
      <c r="AT138" s="556" t="s">
        <v>837</v>
      </c>
      <c r="AU138" s="556" t="s">
        <v>837</v>
      </c>
      <c r="AV138" s="556" t="s">
        <v>837</v>
      </c>
      <c r="AW138" s="556" t="s">
        <v>837</v>
      </c>
      <c r="AX138" s="556" t="s">
        <v>837</v>
      </c>
      <c r="AY138" s="556" t="s">
        <v>837</v>
      </c>
      <c r="AZ138" s="556" t="s">
        <v>837</v>
      </c>
      <c r="BA138" s="556" t="s">
        <v>837</v>
      </c>
      <c r="BB138" s="556" t="s">
        <v>837</v>
      </c>
      <c r="BC138" s="556" t="s">
        <v>837</v>
      </c>
      <c r="BD138" s="556" t="s">
        <v>837</v>
      </c>
      <c r="BE138" s="556" t="s">
        <v>837</v>
      </c>
      <c r="BF138" s="612"/>
      <c r="BG138" s="612"/>
      <c r="BH138" s="612"/>
      <c r="BI138" s="576"/>
      <c r="BJ138" s="576"/>
      <c r="BK138" s="576"/>
      <c r="BL138" s="602"/>
      <c r="BM138" s="553" t="s">
        <v>837</v>
      </c>
      <c r="BN138" s="612" t="s">
        <v>837</v>
      </c>
      <c r="BO138" s="576"/>
      <c r="BP138" s="606"/>
      <c r="BQ138" s="576"/>
      <c r="BR138" s="570"/>
      <c r="BS138" s="547"/>
      <c r="BT138" s="549"/>
      <c r="BU138" s="549"/>
      <c r="BV138" s="549"/>
      <c r="BW138" s="549"/>
      <c r="BX138" s="549"/>
      <c r="BY138" s="549"/>
      <c r="BZ138" s="549"/>
      <c r="CA138" s="549"/>
      <c r="CB138" s="549"/>
      <c r="CC138" s="549"/>
      <c r="CD138" s="548"/>
      <c r="CE138" s="547"/>
      <c r="CF138" s="549"/>
      <c r="CG138" s="549"/>
      <c r="CH138" s="549"/>
      <c r="CI138" s="549"/>
      <c r="CJ138" s="549"/>
      <c r="CK138" s="549"/>
      <c r="CL138" s="549"/>
      <c r="CM138" s="549"/>
      <c r="CN138" s="548"/>
      <c r="CO138" s="640"/>
      <c r="CP138" s="640"/>
      <c r="CQ138" s="640"/>
      <c r="CR138" s="640"/>
      <c r="CS138" s="640"/>
      <c r="CT138" s="640"/>
      <c r="CU138" s="640"/>
      <c r="CV138" s="640"/>
      <c r="CW138" s="640"/>
      <c r="CX138" s="640"/>
      <c r="CY138" s="640"/>
      <c r="CZ138" s="640"/>
      <c r="DA138" s="640"/>
      <c r="DB138" s="640"/>
      <c r="DC138" s="640"/>
      <c r="DD138" s="640"/>
      <c r="DE138" s="640"/>
      <c r="DF138" s="640"/>
      <c r="DG138" s="640"/>
      <c r="DH138" s="640"/>
      <c r="DI138" s="641"/>
      <c r="DJ138" s="641"/>
      <c r="DK138" s="641"/>
      <c r="DL138" s="641"/>
      <c r="DM138" s="641"/>
      <c r="DN138" s="641"/>
      <c r="DO138" s="641"/>
      <c r="DP138" s="576"/>
      <c r="DQ138" s="576"/>
      <c r="DR138" s="576"/>
      <c r="DS138" s="576"/>
      <c r="DT138" s="576"/>
      <c r="DU138" s="576"/>
      <c r="DV138" s="576"/>
      <c r="DW138" s="576"/>
      <c r="DX138" s="576"/>
      <c r="DY138" s="576"/>
      <c r="DZ138" s="576"/>
      <c r="EA138" s="576"/>
      <c r="EB138" s="576"/>
      <c r="EC138" s="576"/>
      <c r="ED138" s="576"/>
      <c r="EE138" s="576"/>
      <c r="EF138" s="576"/>
      <c r="EG138" s="576"/>
      <c r="EH138" s="576"/>
    </row>
    <row r="139" spans="1:138" s="14" customFormat="1" x14ac:dyDescent="0.25">
      <c r="A139" s="8">
        <v>135</v>
      </c>
      <c r="B139" s="4" t="s">
        <v>64</v>
      </c>
      <c r="C139" s="4"/>
      <c r="D139" s="4" t="s">
        <v>53</v>
      </c>
      <c r="E139" s="4" t="s">
        <v>75</v>
      </c>
      <c r="F139" s="19" t="s">
        <v>8</v>
      </c>
      <c r="G139" s="19" t="s">
        <v>837</v>
      </c>
      <c r="H139" s="556" t="s">
        <v>837</v>
      </c>
      <c r="I139" s="556">
        <v>10002</v>
      </c>
      <c r="J139" s="556" t="s">
        <v>837</v>
      </c>
      <c r="K139" s="556">
        <v>10004</v>
      </c>
      <c r="L139" s="556" t="s">
        <v>837</v>
      </c>
      <c r="M139" s="556" t="s">
        <v>837</v>
      </c>
      <c r="N139" s="556">
        <v>10002</v>
      </c>
      <c r="O139" s="556" t="s">
        <v>837</v>
      </c>
      <c r="P139" s="556">
        <v>10004</v>
      </c>
      <c r="Q139" s="556" t="s">
        <v>837</v>
      </c>
      <c r="R139" s="556" t="s">
        <v>837</v>
      </c>
      <c r="S139" s="556">
        <v>10002</v>
      </c>
      <c r="T139" s="556" t="s">
        <v>837</v>
      </c>
      <c r="U139" s="556">
        <v>10004</v>
      </c>
      <c r="V139" s="556" t="s">
        <v>837</v>
      </c>
      <c r="W139" s="556" t="s">
        <v>837</v>
      </c>
      <c r="X139" s="556" t="s">
        <v>837</v>
      </c>
      <c r="Y139" s="556" t="s">
        <v>837</v>
      </c>
      <c r="Z139" s="556" t="s">
        <v>837</v>
      </c>
      <c r="AA139" s="556" t="s">
        <v>837</v>
      </c>
      <c r="AB139" s="556" t="s">
        <v>837</v>
      </c>
      <c r="AC139" s="556">
        <v>10002</v>
      </c>
      <c r="AD139" s="556" t="s">
        <v>837</v>
      </c>
      <c r="AE139" s="556">
        <v>10004</v>
      </c>
      <c r="AF139" s="556" t="s">
        <v>837</v>
      </c>
      <c r="AG139" s="556" t="s">
        <v>837</v>
      </c>
      <c r="AH139" s="556">
        <v>10002</v>
      </c>
      <c r="AI139" s="556" t="s">
        <v>837</v>
      </c>
      <c r="AJ139" s="556">
        <v>10004</v>
      </c>
      <c r="AK139" s="556" t="s">
        <v>837</v>
      </c>
      <c r="AL139" s="556" t="s">
        <v>837</v>
      </c>
      <c r="AM139" s="556">
        <v>10002</v>
      </c>
      <c r="AN139" s="556" t="s">
        <v>837</v>
      </c>
      <c r="AO139" s="556">
        <v>10004</v>
      </c>
      <c r="AP139" s="556" t="s">
        <v>837</v>
      </c>
      <c r="AQ139" s="556" t="s">
        <v>837</v>
      </c>
      <c r="AR139" s="556">
        <v>10002</v>
      </c>
      <c r="AS139" s="556" t="s">
        <v>837</v>
      </c>
      <c r="AT139" s="556">
        <v>10004</v>
      </c>
      <c r="AU139" s="556" t="s">
        <v>837</v>
      </c>
      <c r="AV139" s="556" t="s">
        <v>837</v>
      </c>
      <c r="AW139" s="556" t="s">
        <v>837</v>
      </c>
      <c r="AX139" s="556" t="s">
        <v>837</v>
      </c>
      <c r="AY139" s="556" t="s">
        <v>837</v>
      </c>
      <c r="AZ139" s="556" t="s">
        <v>837</v>
      </c>
      <c r="BA139" s="556" t="s">
        <v>837</v>
      </c>
      <c r="BB139" s="556">
        <v>10002</v>
      </c>
      <c r="BC139" s="556" t="s">
        <v>837</v>
      </c>
      <c r="BD139" s="556">
        <v>10004</v>
      </c>
      <c r="BE139" s="556" t="s">
        <v>837</v>
      </c>
      <c r="BF139" s="612"/>
      <c r="BG139" s="612"/>
      <c r="BH139" s="612"/>
      <c r="BI139" s="576"/>
      <c r="BJ139" s="576"/>
      <c r="BK139" s="576"/>
      <c r="BL139" s="602"/>
      <c r="BM139" s="553" t="s">
        <v>837</v>
      </c>
      <c r="BN139" s="612" t="s">
        <v>837</v>
      </c>
      <c r="BO139" s="576"/>
      <c r="BP139" s="606"/>
      <c r="BQ139" s="576"/>
      <c r="BR139" s="570"/>
      <c r="BS139" s="547"/>
      <c r="BT139" s="549"/>
      <c r="BU139" s="549"/>
      <c r="BV139" s="549"/>
      <c r="BW139" s="549"/>
      <c r="BX139" s="549"/>
      <c r="BY139" s="549"/>
      <c r="BZ139" s="549"/>
      <c r="CA139" s="549"/>
      <c r="CB139" s="549"/>
      <c r="CC139" s="549"/>
      <c r="CD139" s="548"/>
      <c r="CE139" s="547"/>
      <c r="CF139" s="549"/>
      <c r="CG139" s="549"/>
      <c r="CH139" s="549"/>
      <c r="CI139" s="549"/>
      <c r="CJ139" s="549"/>
      <c r="CK139" s="549"/>
      <c r="CL139" s="549"/>
      <c r="CM139" s="549"/>
      <c r="CN139" s="548"/>
      <c r="CO139" s="640"/>
      <c r="CP139" s="640"/>
      <c r="CQ139" s="640"/>
      <c r="CR139" s="640"/>
      <c r="CS139" s="640"/>
      <c r="CT139" s="640"/>
      <c r="CU139" s="640"/>
      <c r="CV139" s="640"/>
      <c r="CW139" s="640"/>
      <c r="CX139" s="640"/>
      <c r="CY139" s="640"/>
      <c r="CZ139" s="640"/>
      <c r="DA139" s="640"/>
      <c r="DB139" s="640"/>
      <c r="DC139" s="640"/>
      <c r="DD139" s="640"/>
      <c r="DE139" s="640"/>
      <c r="DF139" s="640"/>
      <c r="DG139" s="640"/>
      <c r="DH139" s="640"/>
      <c r="DI139" s="641"/>
      <c r="DJ139" s="641"/>
      <c r="DK139" s="641"/>
      <c r="DL139" s="641"/>
      <c r="DM139" s="641"/>
      <c r="DN139" s="641"/>
      <c r="DO139" s="641"/>
      <c r="DP139" s="576"/>
      <c r="DQ139" s="576"/>
      <c r="DR139" s="576"/>
      <c r="DS139" s="576"/>
      <c r="DT139" s="576"/>
      <c r="DU139" s="576"/>
      <c r="DV139" s="576"/>
      <c r="DW139" s="576"/>
      <c r="DX139" s="576"/>
      <c r="DY139" s="576"/>
      <c r="DZ139" s="576"/>
      <c r="EA139" s="576"/>
      <c r="EB139" s="576"/>
      <c r="EC139" s="576"/>
      <c r="ED139" s="576"/>
      <c r="EE139" s="576"/>
      <c r="EF139" s="576"/>
      <c r="EG139" s="576"/>
      <c r="EH139" s="576"/>
    </row>
    <row r="140" spans="1:138" s="14" customFormat="1" x14ac:dyDescent="0.25">
      <c r="A140" s="8">
        <v>136</v>
      </c>
      <c r="B140" s="19" t="s">
        <v>100</v>
      </c>
      <c r="C140" s="19"/>
      <c r="D140" s="4" t="s">
        <v>53</v>
      </c>
      <c r="E140" s="4" t="s">
        <v>75</v>
      </c>
      <c r="F140" s="19" t="s">
        <v>8</v>
      </c>
      <c r="G140" s="19" t="s">
        <v>837</v>
      </c>
      <c r="H140" s="556"/>
      <c r="I140" s="556" t="s">
        <v>837</v>
      </c>
      <c r="J140" s="556" t="s">
        <v>837</v>
      </c>
      <c r="K140" s="556" t="s">
        <v>837</v>
      </c>
      <c r="L140" s="556" t="s">
        <v>837</v>
      </c>
      <c r="M140" s="556" t="s">
        <v>837</v>
      </c>
      <c r="N140" s="556" t="s">
        <v>837</v>
      </c>
      <c r="O140" s="556" t="s">
        <v>837</v>
      </c>
      <c r="P140" s="556" t="s">
        <v>837</v>
      </c>
      <c r="Q140" s="556" t="s">
        <v>837</v>
      </c>
      <c r="R140" s="556" t="s">
        <v>837</v>
      </c>
      <c r="S140" s="556" t="s">
        <v>837</v>
      </c>
      <c r="T140" s="556" t="s">
        <v>837</v>
      </c>
      <c r="U140" s="556" t="s">
        <v>837</v>
      </c>
      <c r="V140" s="556" t="s">
        <v>837</v>
      </c>
      <c r="W140" s="556" t="s">
        <v>837</v>
      </c>
      <c r="X140" s="556" t="s">
        <v>837</v>
      </c>
      <c r="Y140" s="556" t="s">
        <v>837</v>
      </c>
      <c r="Z140" s="556" t="s">
        <v>837</v>
      </c>
      <c r="AA140" s="556" t="s">
        <v>837</v>
      </c>
      <c r="AB140" s="556" t="s">
        <v>837</v>
      </c>
      <c r="AC140" s="556" t="s">
        <v>837</v>
      </c>
      <c r="AD140" s="556" t="s">
        <v>837</v>
      </c>
      <c r="AE140" s="556" t="s">
        <v>837</v>
      </c>
      <c r="AF140" s="556" t="s">
        <v>837</v>
      </c>
      <c r="AG140" s="556" t="s">
        <v>837</v>
      </c>
      <c r="AH140" s="556" t="s">
        <v>837</v>
      </c>
      <c r="AI140" s="556" t="s">
        <v>837</v>
      </c>
      <c r="AJ140" s="556" t="s">
        <v>837</v>
      </c>
      <c r="AK140" s="556" t="s">
        <v>837</v>
      </c>
      <c r="AL140" s="556" t="s">
        <v>837</v>
      </c>
      <c r="AM140" s="556" t="s">
        <v>837</v>
      </c>
      <c r="AN140" s="556" t="s">
        <v>837</v>
      </c>
      <c r="AO140" s="556" t="s">
        <v>837</v>
      </c>
      <c r="AP140" s="556" t="s">
        <v>837</v>
      </c>
      <c r="AQ140" s="556" t="s">
        <v>837</v>
      </c>
      <c r="AR140" s="556" t="s">
        <v>837</v>
      </c>
      <c r="AS140" s="556" t="s">
        <v>837</v>
      </c>
      <c r="AT140" s="556" t="s">
        <v>837</v>
      </c>
      <c r="AU140" s="556" t="s">
        <v>837</v>
      </c>
      <c r="AV140" s="556" t="s">
        <v>837</v>
      </c>
      <c r="AW140" s="556" t="s">
        <v>837</v>
      </c>
      <c r="AX140" s="556" t="s">
        <v>837</v>
      </c>
      <c r="AY140" s="556" t="s">
        <v>837</v>
      </c>
      <c r="AZ140" s="556" t="s">
        <v>837</v>
      </c>
      <c r="BA140" s="556" t="s">
        <v>837</v>
      </c>
      <c r="BB140" s="556" t="s">
        <v>837</v>
      </c>
      <c r="BC140" s="556" t="s">
        <v>837</v>
      </c>
      <c r="BD140" s="556" t="s">
        <v>837</v>
      </c>
      <c r="BE140" s="556" t="s">
        <v>837</v>
      </c>
      <c r="BF140" s="614"/>
      <c r="BG140" s="614"/>
      <c r="BH140" s="614"/>
      <c r="BI140" s="576"/>
      <c r="BJ140" s="576"/>
      <c r="BK140" s="576"/>
      <c r="BL140" s="602"/>
      <c r="BM140" s="553" t="s">
        <v>837</v>
      </c>
      <c r="BN140" s="612" t="s">
        <v>837</v>
      </c>
      <c r="BO140" s="576"/>
      <c r="BP140" s="606"/>
      <c r="BQ140" s="576"/>
      <c r="BR140" s="570"/>
      <c r="BS140" s="547"/>
      <c r="BT140" s="549"/>
      <c r="BU140" s="549"/>
      <c r="BV140" s="549"/>
      <c r="BW140" s="549"/>
      <c r="BX140" s="549"/>
      <c r="BY140" s="549"/>
      <c r="BZ140" s="549"/>
      <c r="CA140" s="549"/>
      <c r="CB140" s="549"/>
      <c r="CC140" s="549"/>
      <c r="CD140" s="548"/>
      <c r="CE140" s="547"/>
      <c r="CF140" s="549"/>
      <c r="CG140" s="549"/>
      <c r="CH140" s="549"/>
      <c r="CI140" s="549"/>
      <c r="CJ140" s="549"/>
      <c r="CK140" s="549"/>
      <c r="CL140" s="549"/>
      <c r="CM140" s="549"/>
      <c r="CN140" s="548"/>
      <c r="CO140" s="640"/>
      <c r="CP140" s="640"/>
      <c r="CQ140" s="640"/>
      <c r="CR140" s="640"/>
      <c r="CS140" s="640"/>
      <c r="CT140" s="640"/>
      <c r="CU140" s="640"/>
      <c r="CV140" s="640"/>
      <c r="CW140" s="640"/>
      <c r="CX140" s="640"/>
      <c r="CY140" s="640"/>
      <c r="CZ140" s="640"/>
      <c r="DA140" s="640"/>
      <c r="DB140" s="640"/>
      <c r="DC140" s="640"/>
      <c r="DD140" s="640"/>
      <c r="DE140" s="640"/>
      <c r="DF140" s="640"/>
      <c r="DG140" s="640"/>
      <c r="DH140" s="640"/>
      <c r="DI140" s="641"/>
      <c r="DJ140" s="641"/>
      <c r="DK140" s="641"/>
      <c r="DL140" s="641"/>
      <c r="DM140" s="641"/>
      <c r="DN140" s="641"/>
      <c r="DO140" s="641"/>
      <c r="DP140" s="576"/>
      <c r="DQ140" s="576"/>
      <c r="DR140" s="576"/>
      <c r="DS140" s="576"/>
      <c r="DT140" s="576"/>
      <c r="DU140" s="576"/>
      <c r="DV140" s="576"/>
      <c r="DW140" s="576"/>
      <c r="DX140" s="576"/>
      <c r="DY140" s="576"/>
      <c r="DZ140" s="576"/>
      <c r="EA140" s="576"/>
      <c r="EB140" s="576"/>
      <c r="EC140" s="576"/>
      <c r="ED140" s="576"/>
      <c r="EE140" s="576"/>
      <c r="EF140" s="576"/>
      <c r="EG140" s="576"/>
      <c r="EH140" s="576"/>
    </row>
    <row r="141" spans="1:138" s="14" customFormat="1" x14ac:dyDescent="0.25">
      <c r="A141" s="8">
        <v>137</v>
      </c>
      <c r="B141" s="4" t="s">
        <v>47</v>
      </c>
      <c r="C141" s="4"/>
      <c r="D141" s="4" t="s">
        <v>53</v>
      </c>
      <c r="E141" s="4" t="s">
        <v>75</v>
      </c>
      <c r="F141" s="19" t="s">
        <v>8</v>
      </c>
      <c r="G141" s="19" t="s">
        <v>837</v>
      </c>
      <c r="H141" s="556" t="s">
        <v>837</v>
      </c>
      <c r="I141" s="556">
        <v>10002</v>
      </c>
      <c r="J141" s="556" t="s">
        <v>837</v>
      </c>
      <c r="K141" s="556">
        <v>10004</v>
      </c>
      <c r="L141" s="556" t="s">
        <v>837</v>
      </c>
      <c r="M141" s="556" t="s">
        <v>837</v>
      </c>
      <c r="N141" s="556">
        <v>10002</v>
      </c>
      <c r="O141" s="556" t="s">
        <v>837</v>
      </c>
      <c r="P141" s="556">
        <v>10004</v>
      </c>
      <c r="Q141" s="556" t="s">
        <v>837</v>
      </c>
      <c r="R141" s="556" t="s">
        <v>837</v>
      </c>
      <c r="S141" s="556">
        <v>10002</v>
      </c>
      <c r="T141" s="556" t="s">
        <v>837</v>
      </c>
      <c r="U141" s="556">
        <v>10004</v>
      </c>
      <c r="V141" s="556" t="s">
        <v>837</v>
      </c>
      <c r="W141" s="556" t="s">
        <v>837</v>
      </c>
      <c r="X141" s="556" t="s">
        <v>837</v>
      </c>
      <c r="Y141" s="556" t="s">
        <v>837</v>
      </c>
      <c r="Z141" s="556" t="s">
        <v>837</v>
      </c>
      <c r="AA141" s="556" t="s">
        <v>837</v>
      </c>
      <c r="AB141" s="556" t="s">
        <v>837</v>
      </c>
      <c r="AC141" s="556">
        <v>10002</v>
      </c>
      <c r="AD141" s="556" t="s">
        <v>837</v>
      </c>
      <c r="AE141" s="556">
        <v>10004</v>
      </c>
      <c r="AF141" s="556" t="s">
        <v>837</v>
      </c>
      <c r="AG141" s="556" t="s">
        <v>837</v>
      </c>
      <c r="AH141" s="556" t="s">
        <v>837</v>
      </c>
      <c r="AI141" s="556" t="s">
        <v>837</v>
      </c>
      <c r="AJ141" s="556" t="s">
        <v>837</v>
      </c>
      <c r="AK141" s="556" t="s">
        <v>837</v>
      </c>
      <c r="AL141" s="556" t="s">
        <v>837</v>
      </c>
      <c r="AM141" s="556" t="s">
        <v>837</v>
      </c>
      <c r="AN141" s="556" t="s">
        <v>837</v>
      </c>
      <c r="AO141" s="556" t="s">
        <v>837</v>
      </c>
      <c r="AP141" s="556" t="s">
        <v>837</v>
      </c>
      <c r="AQ141" s="556" t="s">
        <v>837</v>
      </c>
      <c r="AR141" s="556" t="s">
        <v>837</v>
      </c>
      <c r="AS141" s="556" t="s">
        <v>837</v>
      </c>
      <c r="AT141" s="556" t="s">
        <v>837</v>
      </c>
      <c r="AU141" s="556" t="s">
        <v>837</v>
      </c>
      <c r="AV141" s="556" t="s">
        <v>837</v>
      </c>
      <c r="AW141" s="556" t="s">
        <v>837</v>
      </c>
      <c r="AX141" s="556" t="s">
        <v>837</v>
      </c>
      <c r="AY141" s="556" t="s">
        <v>837</v>
      </c>
      <c r="AZ141" s="556" t="s">
        <v>837</v>
      </c>
      <c r="BA141" s="556" t="s">
        <v>837</v>
      </c>
      <c r="BB141" s="556" t="s">
        <v>837</v>
      </c>
      <c r="BC141" s="556" t="s">
        <v>837</v>
      </c>
      <c r="BD141" s="556" t="s">
        <v>837</v>
      </c>
      <c r="BE141" s="556" t="s">
        <v>837</v>
      </c>
      <c r="BF141" s="612"/>
      <c r="BG141" s="612"/>
      <c r="BH141" s="612"/>
      <c r="BI141" s="576"/>
      <c r="BJ141" s="576"/>
      <c r="BK141" s="576"/>
      <c r="BL141" s="602"/>
      <c r="BM141" s="553" t="str">
        <f>IF(DATA!BM141=-99,"",40001)</f>
        <v/>
      </c>
      <c r="BN141" s="612" t="str">
        <f>IF(DATA!BN141=-99,"",40001)</f>
        <v/>
      </c>
      <c r="BO141" s="576"/>
      <c r="BP141" s="606"/>
      <c r="BQ141" s="576"/>
      <c r="BR141" s="570"/>
      <c r="BS141" s="585"/>
      <c r="BT141" s="586"/>
      <c r="BU141" s="586"/>
      <c r="BV141" s="586"/>
      <c r="BW141" s="586"/>
      <c r="BX141" s="586"/>
      <c r="BY141" s="586"/>
      <c r="BZ141" s="586"/>
      <c r="CA141" s="586"/>
      <c r="CB141" s="586"/>
      <c r="CC141" s="586"/>
      <c r="CD141" s="740"/>
      <c r="CE141" s="585"/>
      <c r="CF141" s="586"/>
      <c r="CG141" s="586"/>
      <c r="CH141" s="586"/>
      <c r="CI141" s="586"/>
      <c r="CJ141" s="586"/>
      <c r="CK141" s="586"/>
      <c r="CL141" s="586"/>
      <c r="CM141" s="586"/>
      <c r="CN141" s="740"/>
      <c r="CO141" s="640"/>
      <c r="CP141" s="640"/>
      <c r="CQ141" s="640"/>
      <c r="CR141" s="640"/>
      <c r="CS141" s="640"/>
      <c r="CT141" s="640"/>
      <c r="CU141" s="640"/>
      <c r="CV141" s="640"/>
      <c r="CW141" s="640"/>
      <c r="CX141" s="640"/>
      <c r="CY141" s="640"/>
      <c r="CZ141" s="640"/>
      <c r="DA141" s="640"/>
      <c r="DB141" s="640"/>
      <c r="DC141" s="640"/>
      <c r="DD141" s="640"/>
      <c r="DE141" s="640"/>
      <c r="DF141" s="640"/>
      <c r="DG141" s="640"/>
      <c r="DH141" s="640"/>
      <c r="DI141" s="641"/>
      <c r="DJ141" s="641"/>
      <c r="DK141" s="641"/>
      <c r="DL141" s="641"/>
      <c r="DM141" s="641"/>
      <c r="DN141" s="641"/>
      <c r="DO141" s="641"/>
      <c r="DP141" s="576"/>
      <c r="DQ141" s="576"/>
      <c r="DR141" s="576"/>
      <c r="DS141" s="576"/>
      <c r="DT141" s="576"/>
      <c r="DU141" s="576"/>
      <c r="DV141" s="576"/>
      <c r="DW141" s="576"/>
      <c r="DX141" s="576"/>
      <c r="DY141" s="576"/>
      <c r="DZ141" s="576"/>
      <c r="EA141" s="576"/>
      <c r="EB141" s="576"/>
      <c r="EC141" s="576"/>
      <c r="ED141" s="576"/>
      <c r="EE141" s="576"/>
      <c r="EF141" s="576"/>
      <c r="EG141" s="576"/>
      <c r="EH141" s="576"/>
    </row>
    <row r="142" spans="1:138" x14ac:dyDescent="0.25"/>
    <row r="143" spans="1:138" x14ac:dyDescent="0.25"/>
    <row r="144" spans="1:138" x14ac:dyDescent="0.25">
      <c r="CO144" s="635"/>
      <c r="CP144" s="635"/>
      <c r="CQ144" s="635"/>
      <c r="CR144" s="635"/>
      <c r="CS144" s="635"/>
      <c r="CT144" s="635"/>
      <c r="CU144" s="635"/>
      <c r="CV144" s="635"/>
      <c r="CW144" s="635"/>
      <c r="CX144" s="635"/>
      <c r="CY144" s="635"/>
      <c r="CZ144" s="635"/>
      <c r="DA144" s="635"/>
      <c r="DB144" s="635"/>
      <c r="DC144" s="635"/>
      <c r="DD144" s="635"/>
      <c r="DE144" s="635"/>
      <c r="DF144" s="635"/>
      <c r="DG144" s="635"/>
      <c r="DH144" s="635"/>
    </row>
    <row r="145" spans="93:112" ht="15" hidden="1" customHeight="1" x14ac:dyDescent="0.25">
      <c r="CO145" s="635"/>
      <c r="CP145" s="635"/>
      <c r="CQ145" s="635"/>
      <c r="CR145" s="635"/>
      <c r="CS145" s="635"/>
      <c r="CT145" s="635"/>
      <c r="CU145" s="635"/>
      <c r="CV145" s="635"/>
      <c r="CW145" s="635"/>
      <c r="CX145" s="635"/>
      <c r="CY145" s="635"/>
      <c r="CZ145" s="635"/>
      <c r="DA145" s="635"/>
      <c r="DB145" s="635"/>
      <c r="DC145" s="635"/>
      <c r="DD145" s="635"/>
      <c r="DE145" s="635"/>
      <c r="DF145" s="635"/>
      <c r="DG145" s="635"/>
      <c r="DH145" s="635"/>
    </row>
    <row r="146" spans="93:112" ht="15" hidden="1" customHeight="1" x14ac:dyDescent="0.25">
      <c r="CO146" s="635"/>
      <c r="CP146" s="635"/>
      <c r="CQ146" s="635"/>
      <c r="CR146" s="635"/>
      <c r="CS146" s="635"/>
      <c r="CT146" s="635"/>
      <c r="CU146" s="635"/>
      <c r="CV146" s="635"/>
      <c r="CW146" s="635"/>
      <c r="CX146" s="635"/>
      <c r="CY146" s="635"/>
      <c r="CZ146" s="635"/>
      <c r="DA146" s="635"/>
      <c r="DB146" s="635"/>
      <c r="DC146" s="635"/>
      <c r="DD146" s="635"/>
      <c r="DE146" s="635"/>
      <c r="DF146" s="635"/>
      <c r="DG146" s="635"/>
      <c r="DH146" s="635"/>
    </row>
    <row r="147" spans="93:112" ht="15" hidden="1" customHeight="1" x14ac:dyDescent="0.25">
      <c r="CO147" s="635"/>
      <c r="CP147" s="635"/>
      <c r="CQ147" s="635"/>
      <c r="CR147" s="635"/>
      <c r="CS147" s="635"/>
      <c r="CT147" s="635"/>
      <c r="CU147" s="635"/>
      <c r="CV147" s="635"/>
      <c r="CW147" s="635"/>
      <c r="CX147" s="635"/>
      <c r="CY147" s="635"/>
      <c r="CZ147" s="635"/>
      <c r="DA147" s="635"/>
      <c r="DB147" s="635"/>
      <c r="DC147" s="635"/>
      <c r="DD147" s="635"/>
      <c r="DE147" s="635"/>
      <c r="DF147" s="635"/>
      <c r="DG147" s="635"/>
      <c r="DH147" s="635"/>
    </row>
    <row r="148" spans="93:112" ht="15" hidden="1" customHeight="1" x14ac:dyDescent="0.25">
      <c r="CO148" s="635"/>
      <c r="CP148" s="635"/>
      <c r="CQ148" s="635"/>
      <c r="CR148" s="635"/>
      <c r="CS148" s="635"/>
      <c r="CT148" s="635"/>
      <c r="CU148" s="635"/>
      <c r="CV148" s="635"/>
      <c r="CW148" s="635"/>
      <c r="CX148" s="635"/>
      <c r="CY148" s="635"/>
      <c r="CZ148" s="635"/>
      <c r="DA148" s="635"/>
      <c r="DB148" s="635"/>
      <c r="DC148" s="635"/>
      <c r="DD148" s="635"/>
      <c r="DE148" s="635"/>
      <c r="DF148" s="635"/>
      <c r="DG148" s="635"/>
      <c r="DH148" s="635"/>
    </row>
    <row r="149" spans="93:112" ht="15" hidden="1" customHeight="1" x14ac:dyDescent="0.25">
      <c r="CO149" s="635"/>
      <c r="CP149" s="635"/>
      <c r="CQ149" s="635"/>
      <c r="CR149" s="635"/>
      <c r="CS149" s="635"/>
      <c r="CT149" s="635"/>
      <c r="CU149" s="635"/>
      <c r="CV149" s="635"/>
      <c r="CW149" s="635"/>
      <c r="CX149" s="635"/>
      <c r="CY149" s="635"/>
      <c r="CZ149" s="635"/>
      <c r="DA149" s="635"/>
      <c r="DB149" s="635"/>
      <c r="DC149" s="635"/>
      <c r="DD149" s="635"/>
      <c r="DE149" s="635"/>
      <c r="DF149" s="635"/>
      <c r="DG149" s="635"/>
      <c r="DH149" s="635"/>
    </row>
    <row r="150" spans="93:112" ht="15" hidden="1" customHeight="1" x14ac:dyDescent="0.25">
      <c r="CO150" s="635"/>
      <c r="CP150" s="635"/>
      <c r="CQ150" s="635"/>
      <c r="CR150" s="635"/>
      <c r="CS150" s="635"/>
      <c r="CT150" s="635"/>
      <c r="CU150" s="635"/>
      <c r="CV150" s="635"/>
      <c r="CW150" s="635"/>
      <c r="CX150" s="635"/>
      <c r="CY150" s="635"/>
      <c r="CZ150" s="635"/>
      <c r="DA150" s="635"/>
      <c r="DB150" s="635"/>
      <c r="DC150" s="635"/>
      <c r="DD150" s="635"/>
      <c r="DE150" s="635"/>
      <c r="DF150" s="635"/>
      <c r="DG150" s="635"/>
      <c r="DH150" s="635"/>
    </row>
    <row r="151" spans="93:112" ht="15" hidden="1" customHeight="1" x14ac:dyDescent="0.25">
      <c r="CO151" s="635"/>
      <c r="CP151" s="635"/>
      <c r="CQ151" s="635"/>
      <c r="CR151" s="635"/>
      <c r="CS151" s="635"/>
      <c r="CT151" s="635"/>
      <c r="CU151" s="635"/>
      <c r="CV151" s="635"/>
      <c r="CW151" s="635"/>
      <c r="CX151" s="635"/>
      <c r="CY151" s="635"/>
      <c r="CZ151" s="635"/>
      <c r="DA151" s="635"/>
      <c r="DB151" s="635"/>
      <c r="DC151" s="635"/>
      <c r="DD151" s="635"/>
      <c r="DE151" s="635"/>
      <c r="DF151" s="635"/>
      <c r="DG151" s="635"/>
      <c r="DH151" s="635"/>
    </row>
    <row r="152" spans="93:112" ht="15" hidden="1" customHeight="1" x14ac:dyDescent="0.25">
      <c r="CO152" s="635"/>
      <c r="CP152" s="635"/>
      <c r="CQ152" s="635"/>
      <c r="CR152" s="635"/>
      <c r="CS152" s="635"/>
      <c r="CT152" s="635"/>
      <c r="CU152" s="635"/>
      <c r="CV152" s="635"/>
      <c r="CW152" s="635"/>
      <c r="CX152" s="635"/>
      <c r="CY152" s="635"/>
      <c r="CZ152" s="635"/>
      <c r="DA152" s="635"/>
      <c r="DB152" s="635"/>
      <c r="DC152" s="635"/>
      <c r="DD152" s="635"/>
      <c r="DE152" s="635"/>
      <c r="DF152" s="635"/>
      <c r="DG152" s="635"/>
      <c r="DH152" s="635"/>
    </row>
    <row r="153" spans="93:112" ht="15" hidden="1" customHeight="1" x14ac:dyDescent="0.25">
      <c r="CO153" s="635"/>
      <c r="CP153" s="635"/>
      <c r="CQ153" s="635"/>
      <c r="CR153" s="635"/>
      <c r="CS153" s="635"/>
      <c r="CT153" s="635"/>
      <c r="CU153" s="635"/>
      <c r="CV153" s="635"/>
      <c r="CW153" s="635"/>
      <c r="CX153" s="635"/>
      <c r="CY153" s="635"/>
      <c r="CZ153" s="635"/>
      <c r="DA153" s="635"/>
      <c r="DB153" s="635"/>
      <c r="DC153" s="635"/>
      <c r="DD153" s="635"/>
      <c r="DE153" s="635"/>
      <c r="DF153" s="635"/>
      <c r="DG153" s="635"/>
      <c r="DH153" s="635"/>
    </row>
  </sheetData>
  <sheetProtection algorithmName="SHA-512" hashValue="nS1TilnohzKEOAZd8z9d+npK6UX4dC2Xekx1nPZWjPdHyZUS49sxTavC7/5oWvEi+8d1k6ECzk2lMUB4ufNMSA==" saltValue="QQJKuIQhui4KgbJ/tgZFZQ==" spinCount="100000" sheet="1" objects="1" scenarios="1" autoFilter="0"/>
  <autoFilter ref="A4:EH141">
    <sortState ref="A5:CS141">
      <sortCondition ref="A4:A141"/>
    </sortState>
  </autoFilter>
  <customSheetViews>
    <customSheetView guid="{60F78483-39BF-4220-A916-CF2EC8650828}" scale="120" showAutoFilter="1" hiddenRows="1" hiddenColumns="1" topLeftCell="L1">
      <pane ySplit="6" topLeftCell="A7" activePane="bottomLeft" state="frozen"/>
      <selection pane="bottomLeft" activeCell="P18" sqref="P18"/>
      <pageMargins left="0.7" right="0.7" top="0.75" bottom="0.75" header="0.3" footer="0.3"/>
      <pageSetup orientation="portrait" r:id="rId1"/>
      <autoFilter ref="A6:X140"/>
    </customSheetView>
    <customSheetView guid="{A81EEAD5-0F54-487C-916C-C0011EA5EA13}" scale="120" showAutoFilter="1" hiddenRows="1" hiddenColumns="1" topLeftCell="L1">
      <pane ySplit="6" topLeftCell="A7" activePane="bottomLeft" state="frozen"/>
      <selection pane="bottomLeft" activeCell="P18" sqref="P18"/>
      <pageMargins left="0.7" right="0.7" top="0.75" bottom="0.75" header="0.3" footer="0.3"/>
      <pageSetup orientation="portrait" r:id="rId2"/>
      <autoFilter ref="A6:X140"/>
    </customSheetView>
    <customSheetView guid="{4A33A914-5DEA-45EA-961C-669673132E6E}" scale="120" showAutoFilter="1" hiddenRows="1" hiddenColumns="1" topLeftCell="B1">
      <pane ySplit="6" topLeftCell="A7" activePane="bottomLeft" state="frozen"/>
      <selection pane="bottomLeft" activeCell="D15" sqref="D15"/>
      <pageMargins left="0.7" right="0.7" top="0.75" bottom="0.75" header="0.3" footer="0.3"/>
      <pageSetup orientation="portrait" r:id="rId3"/>
      <autoFilter ref="A6:W140"/>
    </customSheetView>
  </customSheetViews>
  <mergeCells count="27">
    <mergeCell ref="BS1:CD1"/>
    <mergeCell ref="CO3:CP3"/>
    <mergeCell ref="CQ3:CR3"/>
    <mergeCell ref="CS3:CT3"/>
    <mergeCell ref="CV3:CW3"/>
    <mergeCell ref="CE1:CN1"/>
    <mergeCell ref="CO2:CU2"/>
    <mergeCell ref="CO1:DB1"/>
    <mergeCell ref="CX3:CY3"/>
    <mergeCell ref="DC2:DF2"/>
    <mergeCell ref="DG2:DH2"/>
    <mergeCell ref="DC3:DD3"/>
    <mergeCell ref="DE3:DF3"/>
    <mergeCell ref="CZ3:DA3"/>
    <mergeCell ref="CV2:DB2"/>
    <mergeCell ref="DS1:EH1"/>
    <mergeCell ref="DI2:DR2"/>
    <mergeCell ref="DT2:DX2"/>
    <mergeCell ref="DY2:EC2"/>
    <mergeCell ref="ED2:EH2"/>
    <mergeCell ref="DI1:DR1"/>
    <mergeCell ref="B1:F1"/>
    <mergeCell ref="H1:BE1"/>
    <mergeCell ref="BK2:BR2"/>
    <mergeCell ref="BI1:BJ1"/>
    <mergeCell ref="BK1:BR1"/>
    <mergeCell ref="BF1:BH1"/>
  </mergeCells>
  <pageMargins left="0.7" right="0.7" top="0.75" bottom="0.75" header="0.3" footer="0.3"/>
  <pageSetup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128"/>
  <sheetViews>
    <sheetView zoomScaleNormal="100" workbookViewId="0">
      <pane ySplit="1" topLeftCell="A2" activePane="bottomLeft" state="frozen"/>
      <selection activeCell="E9" sqref="E9"/>
      <selection pane="bottomLeft" activeCell="E9" sqref="E9"/>
    </sheetView>
  </sheetViews>
  <sheetFormatPr defaultColWidth="0" defaultRowHeight="15" zeroHeight="1" x14ac:dyDescent="0.25"/>
  <cols>
    <col min="1" max="1" width="9.140625" customWidth="1"/>
    <col min="2" max="2" width="9.140625" style="143" customWidth="1"/>
    <col min="3" max="3" width="22.85546875" customWidth="1"/>
    <col min="4" max="4" width="14.7109375" customWidth="1"/>
    <col min="5" max="5" width="65.42578125" customWidth="1"/>
    <col min="6" max="6" width="65.140625" customWidth="1"/>
    <col min="7" max="7" width="13.85546875" bestFit="1" customWidth="1"/>
    <col min="8" max="8" width="9.140625" customWidth="1"/>
    <col min="9" max="16384" width="9.140625" hidden="1"/>
  </cols>
  <sheetData>
    <row r="1" spans="1:7" ht="15.75" customHeight="1" x14ac:dyDescent="0.25">
      <c r="A1" s="538" t="s">
        <v>112</v>
      </c>
      <c r="B1" s="538" t="s">
        <v>361</v>
      </c>
      <c r="C1" s="538" t="s">
        <v>102</v>
      </c>
      <c r="D1" s="538" t="s">
        <v>111</v>
      </c>
      <c r="E1" s="538" t="s">
        <v>103</v>
      </c>
      <c r="F1" s="538" t="s">
        <v>110</v>
      </c>
      <c r="G1" s="538" t="s">
        <v>109</v>
      </c>
    </row>
    <row r="2" spans="1:7" s="143" customFormat="1" ht="15.75" customHeight="1" thickBot="1" x14ac:dyDescent="0.35">
      <c r="A2" s="199" t="s">
        <v>623</v>
      </c>
      <c r="B2" s="199"/>
      <c r="C2" s="199"/>
      <c r="D2" s="199"/>
      <c r="E2" s="199"/>
      <c r="F2" s="199"/>
      <c r="G2" s="199"/>
    </row>
    <row r="3" spans="1:7" s="9" customFormat="1" ht="15.75" customHeight="1" thickTop="1" x14ac:dyDescent="0.25">
      <c r="A3" s="9">
        <v>1</v>
      </c>
      <c r="C3" s="9" t="s">
        <v>3</v>
      </c>
      <c r="D3" s="10" t="s">
        <v>668</v>
      </c>
      <c r="E3" s="10" t="s">
        <v>666</v>
      </c>
      <c r="F3" s="76" t="s">
        <v>667</v>
      </c>
      <c r="G3" s="231">
        <v>41786</v>
      </c>
    </row>
    <row r="4" spans="1:7" s="9" customFormat="1" ht="15.75" customHeight="1" thickBot="1" x14ac:dyDescent="0.35">
      <c r="A4" s="199" t="s">
        <v>624</v>
      </c>
      <c r="B4" s="199"/>
      <c r="C4" s="199"/>
      <c r="D4" s="199"/>
      <c r="E4" s="199"/>
      <c r="F4" s="199"/>
      <c r="G4" s="199"/>
    </row>
    <row r="5" spans="1:7" s="143" customFormat="1" ht="15.75" customHeight="1" thickTop="1" x14ac:dyDescent="0.25">
      <c r="A5" s="66">
        <v>10001</v>
      </c>
      <c r="C5" s="143" t="s">
        <v>529</v>
      </c>
      <c r="D5" s="143">
        <v>2000</v>
      </c>
      <c r="E5" s="143" t="s">
        <v>914</v>
      </c>
      <c r="F5" s="76" t="s">
        <v>821</v>
      </c>
      <c r="G5" s="22">
        <v>41789</v>
      </c>
    </row>
    <row r="6" spans="1:7" s="143" customFormat="1" ht="15.75" customHeight="1" x14ac:dyDescent="0.25">
      <c r="A6" s="66">
        <v>10002</v>
      </c>
      <c r="C6" s="143" t="s">
        <v>529</v>
      </c>
      <c r="D6" s="143">
        <v>2003</v>
      </c>
      <c r="E6" s="143" t="s">
        <v>530</v>
      </c>
      <c r="F6" s="76" t="s">
        <v>528</v>
      </c>
      <c r="G6" s="22">
        <v>41723</v>
      </c>
    </row>
    <row r="7" spans="1:7" s="143" customFormat="1" ht="15.75" customHeight="1" x14ac:dyDescent="0.25">
      <c r="A7" s="66">
        <v>10003</v>
      </c>
      <c r="C7" s="143" t="s">
        <v>529</v>
      </c>
      <c r="D7" s="143">
        <v>2005</v>
      </c>
      <c r="E7" s="143" t="s">
        <v>820</v>
      </c>
      <c r="F7" s="76" t="s">
        <v>821</v>
      </c>
      <c r="G7" s="22">
        <v>41789</v>
      </c>
    </row>
    <row r="8" spans="1:7" s="143" customFormat="1" ht="15.75" customHeight="1" x14ac:dyDescent="0.25">
      <c r="A8" s="66">
        <v>10004</v>
      </c>
      <c r="C8" s="143" t="s">
        <v>529</v>
      </c>
      <c r="D8" s="143">
        <v>2009</v>
      </c>
      <c r="E8" s="143" t="s">
        <v>527</v>
      </c>
      <c r="F8" s="76" t="s">
        <v>528</v>
      </c>
      <c r="G8" s="22">
        <v>41723</v>
      </c>
    </row>
    <row r="9" spans="1:7" s="143" customFormat="1" ht="15.75" customHeight="1" x14ac:dyDescent="0.25">
      <c r="A9" s="66">
        <v>10005</v>
      </c>
      <c r="C9" s="143" t="s">
        <v>915</v>
      </c>
      <c r="D9" s="143">
        <v>2012</v>
      </c>
      <c r="E9" s="143" t="s">
        <v>545</v>
      </c>
      <c r="F9" s="76" t="s">
        <v>531</v>
      </c>
      <c r="G9" s="22">
        <v>41723</v>
      </c>
    </row>
    <row r="10" spans="1:7" s="143" customFormat="1" ht="15.75" customHeight="1" thickBot="1" x14ac:dyDescent="0.35">
      <c r="A10" s="199" t="s">
        <v>117</v>
      </c>
      <c r="B10" s="199"/>
      <c r="C10" s="199"/>
      <c r="D10" s="199"/>
      <c r="E10" s="199"/>
      <c r="F10" s="199"/>
      <c r="G10" s="202"/>
    </row>
    <row r="11" spans="1:7" ht="15.75" thickTop="1" x14ac:dyDescent="0.25">
      <c r="A11">
        <v>20001</v>
      </c>
      <c r="C11" t="s">
        <v>180</v>
      </c>
      <c r="D11" s="104">
        <v>2013</v>
      </c>
      <c r="E11" s="66" t="s">
        <v>1060</v>
      </c>
      <c r="F11" s="197" t="s">
        <v>1061</v>
      </c>
      <c r="G11" s="22">
        <v>42142</v>
      </c>
    </row>
    <row r="12" spans="1:7" s="633" customFormat="1" x14ac:dyDescent="0.25">
      <c r="A12" s="633">
        <v>20002</v>
      </c>
      <c r="C12" s="633" t="s">
        <v>180</v>
      </c>
      <c r="D12" s="104">
        <v>2011</v>
      </c>
      <c r="E12" s="66" t="s">
        <v>1059</v>
      </c>
      <c r="F12" s="197" t="s">
        <v>1058</v>
      </c>
      <c r="G12" s="22">
        <v>42142</v>
      </c>
    </row>
    <row r="13" spans="1:7" s="633" customFormat="1" x14ac:dyDescent="0.25">
      <c r="A13" s="633">
        <v>20003</v>
      </c>
      <c r="C13" s="633" t="s">
        <v>1051</v>
      </c>
      <c r="D13" s="104">
        <v>2011</v>
      </c>
      <c r="E13" s="66" t="s">
        <v>1056</v>
      </c>
      <c r="F13" t="s">
        <v>1052</v>
      </c>
      <c r="G13" s="22">
        <v>42003</v>
      </c>
    </row>
    <row r="14" spans="1:7" s="143" customFormat="1" ht="18" thickBot="1" x14ac:dyDescent="0.35">
      <c r="A14" s="199" t="s">
        <v>61</v>
      </c>
      <c r="B14" s="199"/>
      <c r="C14" s="200"/>
      <c r="D14" s="203"/>
      <c r="E14" s="199"/>
      <c r="F14" s="199"/>
      <c r="G14" s="202"/>
    </row>
    <row r="15" spans="1:7" ht="15.75" thickTop="1" x14ac:dyDescent="0.25">
      <c r="A15">
        <v>30000</v>
      </c>
      <c r="C15" s="2" t="s">
        <v>80</v>
      </c>
      <c r="D15" s="66">
        <v>2014</v>
      </c>
      <c r="E15" s="66" t="s">
        <v>823</v>
      </c>
      <c r="F15" s="76" t="s">
        <v>824</v>
      </c>
      <c r="G15" s="22">
        <v>41801</v>
      </c>
    </row>
    <row r="16" spans="1:7" s="143" customFormat="1" ht="18" thickBot="1" x14ac:dyDescent="0.35">
      <c r="A16" s="199" t="s">
        <v>1053</v>
      </c>
      <c r="B16" s="199"/>
      <c r="C16" s="200"/>
      <c r="D16" s="201"/>
      <c r="E16" s="200"/>
      <c r="F16" s="199"/>
      <c r="G16" s="202"/>
    </row>
    <row r="17" spans="1:7" s="143" customFormat="1" ht="15.75" thickTop="1" x14ac:dyDescent="0.25">
      <c r="A17" s="66">
        <v>40001</v>
      </c>
      <c r="B17" s="66"/>
      <c r="C17" s="66" t="s">
        <v>180</v>
      </c>
      <c r="D17" s="512">
        <v>2014</v>
      </c>
      <c r="E17" s="2" t="s">
        <v>836</v>
      </c>
      <c r="F17" s="143" t="s">
        <v>1119</v>
      </c>
      <c r="G17" s="22">
        <v>41800</v>
      </c>
    </row>
    <row r="18" spans="1:7" x14ac:dyDescent="0.25">
      <c r="A18">
        <v>40101</v>
      </c>
      <c r="C18" s="143" t="s">
        <v>208</v>
      </c>
      <c r="D18" s="104">
        <v>2013</v>
      </c>
      <c r="E18" s="2" t="s">
        <v>636</v>
      </c>
      <c r="F18" s="76" t="s">
        <v>535</v>
      </c>
      <c r="G18" s="22">
        <v>41739</v>
      </c>
    </row>
    <row r="19" spans="1:7" x14ac:dyDescent="0.25">
      <c r="A19">
        <v>40201</v>
      </c>
      <c r="C19" t="s">
        <v>113</v>
      </c>
      <c r="D19" s="104">
        <v>2014</v>
      </c>
      <c r="E19" s="143" t="s">
        <v>227</v>
      </c>
      <c r="F19" s="76" t="s">
        <v>228</v>
      </c>
      <c r="G19" s="22">
        <v>41709</v>
      </c>
    </row>
    <row r="20" spans="1:7" x14ac:dyDescent="0.25">
      <c r="A20" s="143">
        <v>40301</v>
      </c>
      <c r="C20" s="143" t="s">
        <v>665</v>
      </c>
      <c r="D20" s="104">
        <v>2010</v>
      </c>
      <c r="E20" s="143" t="s">
        <v>232</v>
      </c>
      <c r="F20" s="76" t="s">
        <v>231</v>
      </c>
      <c r="G20" s="22">
        <v>41786</v>
      </c>
    </row>
    <row r="21" spans="1:7" s="143" customFormat="1" x14ac:dyDescent="0.25">
      <c r="A21" s="143">
        <v>40401</v>
      </c>
      <c r="C21" s="143" t="s">
        <v>234</v>
      </c>
      <c r="D21" s="143">
        <v>2014</v>
      </c>
      <c r="E21" s="143" t="s">
        <v>537</v>
      </c>
      <c r="F21" s="76" t="s">
        <v>233</v>
      </c>
      <c r="G21" s="22">
        <v>41740</v>
      </c>
    </row>
    <row r="22" spans="1:7" s="143" customFormat="1" x14ac:dyDescent="0.25">
      <c r="A22" s="143">
        <v>40501</v>
      </c>
      <c r="C22" s="143" t="s">
        <v>538</v>
      </c>
      <c r="D22" s="143">
        <v>2011</v>
      </c>
      <c r="E22" s="143" t="s">
        <v>539</v>
      </c>
      <c r="F22" s="76" t="s">
        <v>540</v>
      </c>
      <c r="G22" s="22">
        <v>41740</v>
      </c>
    </row>
    <row r="23" spans="1:7" x14ac:dyDescent="0.25">
      <c r="A23" s="143">
        <v>40601</v>
      </c>
      <c r="C23" s="143" t="s">
        <v>180</v>
      </c>
      <c r="D23" s="143">
        <v>2014</v>
      </c>
      <c r="E23" s="143" t="s">
        <v>542</v>
      </c>
      <c r="F23" s="76" t="s">
        <v>541</v>
      </c>
      <c r="G23" s="22">
        <v>41740</v>
      </c>
    </row>
    <row r="24" spans="1:7" x14ac:dyDescent="0.25">
      <c r="A24">
        <v>40801</v>
      </c>
      <c r="C24" s="143" t="s">
        <v>208</v>
      </c>
      <c r="D24" s="143">
        <v>2013</v>
      </c>
      <c r="E24" t="s">
        <v>211</v>
      </c>
      <c r="F24" s="76" t="s">
        <v>212</v>
      </c>
      <c r="G24" s="22">
        <v>41740</v>
      </c>
    </row>
    <row r="25" spans="1:7" x14ac:dyDescent="0.25">
      <c r="A25">
        <v>40901</v>
      </c>
      <c r="C25" s="143" t="s">
        <v>80</v>
      </c>
      <c r="D25" s="104">
        <v>2006</v>
      </c>
      <c r="E25" s="143" t="s">
        <v>355</v>
      </c>
      <c r="F25" s="76" t="s">
        <v>356</v>
      </c>
      <c r="G25" s="22">
        <v>41710</v>
      </c>
    </row>
    <row r="26" spans="1:7" x14ac:dyDescent="0.25">
      <c r="A26">
        <v>41001</v>
      </c>
      <c r="C26" s="2" t="s">
        <v>180</v>
      </c>
      <c r="D26" s="104">
        <v>2011</v>
      </c>
      <c r="E26" t="s">
        <v>402</v>
      </c>
      <c r="F26" s="76" t="s">
        <v>403</v>
      </c>
      <c r="G26" s="22">
        <v>41710</v>
      </c>
    </row>
    <row r="27" spans="1:7" s="143" customFormat="1" x14ac:dyDescent="0.25">
      <c r="A27" s="143">
        <v>41002</v>
      </c>
      <c r="C27" s="66" t="s">
        <v>180</v>
      </c>
      <c r="D27" s="143">
        <v>2014</v>
      </c>
      <c r="E27" s="2" t="s">
        <v>626</v>
      </c>
      <c r="F27" s="76" t="s">
        <v>627</v>
      </c>
      <c r="G27" s="22">
        <v>41766</v>
      </c>
    </row>
    <row r="28" spans="1:7" s="143" customFormat="1" x14ac:dyDescent="0.25">
      <c r="A28" s="143">
        <v>41101</v>
      </c>
      <c r="C28" s="143" t="s">
        <v>80</v>
      </c>
      <c r="D28" s="143">
        <v>2013</v>
      </c>
      <c r="E28" s="143" t="s">
        <v>543</v>
      </c>
      <c r="F28" s="76" t="s">
        <v>544</v>
      </c>
      <c r="G28" s="22">
        <v>41740</v>
      </c>
    </row>
    <row r="29" spans="1:7" s="143" customFormat="1" x14ac:dyDescent="0.25">
      <c r="A29" s="143">
        <v>41301</v>
      </c>
      <c r="C29" s="143" t="s">
        <v>113</v>
      </c>
      <c r="D29" s="143">
        <v>2013</v>
      </c>
      <c r="E29" s="143" t="s">
        <v>114</v>
      </c>
      <c r="F29" s="76" t="s">
        <v>115</v>
      </c>
      <c r="G29" s="22">
        <v>41668</v>
      </c>
    </row>
    <row r="30" spans="1:7" x14ac:dyDescent="0.25">
      <c r="A30">
        <v>41402</v>
      </c>
      <c r="C30" s="143" t="s">
        <v>822</v>
      </c>
      <c r="D30" s="143">
        <v>2012</v>
      </c>
      <c r="E30" s="143" t="s">
        <v>551</v>
      </c>
      <c r="F30" s="76" t="s">
        <v>550</v>
      </c>
      <c r="G30" s="22">
        <v>41743</v>
      </c>
    </row>
    <row r="31" spans="1:7" x14ac:dyDescent="0.25">
      <c r="A31" s="143">
        <v>41501</v>
      </c>
      <c r="C31" s="143" t="s">
        <v>547</v>
      </c>
      <c r="D31" s="143">
        <v>2013</v>
      </c>
      <c r="E31" s="143" t="s">
        <v>549</v>
      </c>
      <c r="F31" s="76" t="s">
        <v>116</v>
      </c>
      <c r="G31" s="22">
        <v>41680</v>
      </c>
    </row>
    <row r="32" spans="1:7" s="143" customFormat="1" x14ac:dyDescent="0.25">
      <c r="A32" s="143">
        <v>41601</v>
      </c>
      <c r="C32" s="143" t="s">
        <v>144</v>
      </c>
      <c r="D32" s="143">
        <v>2014</v>
      </c>
      <c r="E32" s="143" t="s">
        <v>548</v>
      </c>
      <c r="F32" s="143" t="s">
        <v>188</v>
      </c>
      <c r="G32" s="22">
        <v>41743</v>
      </c>
    </row>
    <row r="33" spans="1:7" x14ac:dyDescent="0.25">
      <c r="A33" s="143">
        <v>41701</v>
      </c>
      <c r="C33" s="143" t="s">
        <v>113</v>
      </c>
      <c r="D33" s="104">
        <v>2012</v>
      </c>
      <c r="E33" s="143" t="s">
        <v>229</v>
      </c>
      <c r="F33" s="76" t="s">
        <v>230</v>
      </c>
      <c r="G33" s="22">
        <v>41709</v>
      </c>
    </row>
    <row r="34" spans="1:7" x14ac:dyDescent="0.25">
      <c r="A34">
        <v>42001</v>
      </c>
      <c r="C34" s="143" t="s">
        <v>208</v>
      </c>
      <c r="D34" s="104">
        <v>2012</v>
      </c>
      <c r="E34" t="s">
        <v>209</v>
      </c>
      <c r="F34" s="76" t="s">
        <v>210</v>
      </c>
      <c r="G34" s="22">
        <v>41680</v>
      </c>
    </row>
    <row r="35" spans="1:7" s="143" customFormat="1" ht="18" thickBot="1" x14ac:dyDescent="0.35">
      <c r="A35" s="199" t="s">
        <v>621</v>
      </c>
      <c r="B35" s="199"/>
      <c r="C35" s="199"/>
      <c r="D35" s="201"/>
      <c r="E35" s="199"/>
      <c r="F35" s="199"/>
      <c r="G35" s="202"/>
    </row>
    <row r="36" spans="1:7" s="143" customFormat="1" ht="15.75" thickTop="1" x14ac:dyDescent="0.25">
      <c r="A36" s="191">
        <v>50000</v>
      </c>
      <c r="B36" s="191" t="s">
        <v>635</v>
      </c>
      <c r="D36" s="104"/>
      <c r="F36" s="76"/>
      <c r="G36" s="22"/>
    </row>
    <row r="37" spans="1:7" ht="14.25" customHeight="1" x14ac:dyDescent="0.25">
      <c r="A37">
        <v>50001</v>
      </c>
      <c r="C37" t="s">
        <v>477</v>
      </c>
      <c r="D37" s="65" t="s">
        <v>188</v>
      </c>
      <c r="E37" s="2" t="s">
        <v>532</v>
      </c>
      <c r="F37" s="76" t="s">
        <v>480</v>
      </c>
      <c r="G37" s="22">
        <v>41683</v>
      </c>
    </row>
    <row r="38" spans="1:7" x14ac:dyDescent="0.25">
      <c r="A38">
        <v>50002</v>
      </c>
      <c r="C38" t="s">
        <v>476</v>
      </c>
      <c r="D38" s="65" t="s">
        <v>188</v>
      </c>
      <c r="E38" s="2" t="s">
        <v>533</v>
      </c>
      <c r="F38" s="76" t="s">
        <v>479</v>
      </c>
      <c r="G38" s="22">
        <v>41684</v>
      </c>
    </row>
    <row r="39" spans="1:7" x14ac:dyDescent="0.25">
      <c r="A39">
        <v>50003</v>
      </c>
      <c r="C39" t="s">
        <v>475</v>
      </c>
      <c r="D39" s="65" t="s">
        <v>188</v>
      </c>
      <c r="E39" s="2" t="s">
        <v>534</v>
      </c>
      <c r="F39" s="76" t="s">
        <v>478</v>
      </c>
      <c r="G39" s="22">
        <v>41684</v>
      </c>
    </row>
    <row r="40" spans="1:7" s="143" customFormat="1" ht="18" thickBot="1" x14ac:dyDescent="0.35">
      <c r="A40" s="199" t="s">
        <v>620</v>
      </c>
      <c r="B40" s="199"/>
      <c r="C40" s="199"/>
      <c r="D40" s="199"/>
      <c r="E40" s="200"/>
      <c r="F40" s="199"/>
      <c r="G40" s="202"/>
    </row>
    <row r="41" spans="1:7" s="143" customFormat="1" ht="15.75" thickTop="1" x14ac:dyDescent="0.25">
      <c r="A41" s="191">
        <v>60100</v>
      </c>
      <c r="B41" s="210" t="s">
        <v>694</v>
      </c>
      <c r="E41" s="2"/>
      <c r="G41" s="22"/>
    </row>
    <row r="42" spans="1:7" x14ac:dyDescent="0.25">
      <c r="A42">
        <v>60101</v>
      </c>
      <c r="B42" s="213"/>
      <c r="C42" t="s">
        <v>113</v>
      </c>
      <c r="D42">
        <v>2014</v>
      </c>
      <c r="E42" t="s">
        <v>482</v>
      </c>
      <c r="F42" s="76" t="s">
        <v>481</v>
      </c>
      <c r="G42" s="22">
        <v>41722</v>
      </c>
    </row>
    <row r="43" spans="1:7" x14ac:dyDescent="0.25">
      <c r="A43">
        <v>60102</v>
      </c>
      <c r="B43" s="213"/>
      <c r="C43" s="2" t="s">
        <v>180</v>
      </c>
      <c r="D43" s="65">
        <v>41275</v>
      </c>
      <c r="E43" s="143" t="s">
        <v>495</v>
      </c>
      <c r="F43" s="76" t="s">
        <v>493</v>
      </c>
      <c r="G43" s="22">
        <v>41722</v>
      </c>
    </row>
    <row r="44" spans="1:7" x14ac:dyDescent="0.25">
      <c r="A44">
        <v>60103</v>
      </c>
      <c r="B44" s="213"/>
      <c r="C44" s="2" t="s">
        <v>180</v>
      </c>
      <c r="D44" s="22">
        <v>41346</v>
      </c>
      <c r="E44" t="s">
        <v>190</v>
      </c>
      <c r="F44" s="76" t="s">
        <v>494</v>
      </c>
      <c r="G44" s="22">
        <v>41722</v>
      </c>
    </row>
    <row r="45" spans="1:7" x14ac:dyDescent="0.25">
      <c r="A45">
        <v>60104</v>
      </c>
      <c r="B45" s="213"/>
      <c r="C45" s="2" t="s">
        <v>525</v>
      </c>
      <c r="D45" s="65">
        <v>41671</v>
      </c>
      <c r="E45" s="143" t="s">
        <v>523</v>
      </c>
      <c r="F45" s="76" t="s">
        <v>524</v>
      </c>
      <c r="G45" s="22">
        <v>41722</v>
      </c>
    </row>
    <row r="46" spans="1:7" s="143" customFormat="1" x14ac:dyDescent="0.25">
      <c r="A46" s="191">
        <v>60200</v>
      </c>
      <c r="B46" s="210" t="s">
        <v>62</v>
      </c>
      <c r="E46" s="2"/>
      <c r="F46" s="76"/>
      <c r="G46" s="22"/>
    </row>
    <row r="47" spans="1:7" x14ac:dyDescent="0.25">
      <c r="A47">
        <v>60201</v>
      </c>
      <c r="B47" s="213"/>
      <c r="C47" s="143" t="s">
        <v>113</v>
      </c>
      <c r="D47" s="22">
        <v>41682</v>
      </c>
      <c r="E47" t="s">
        <v>484</v>
      </c>
      <c r="F47" s="76" t="s">
        <v>485</v>
      </c>
      <c r="G47" s="22">
        <v>41722</v>
      </c>
    </row>
    <row r="48" spans="1:7" s="143" customFormat="1" x14ac:dyDescent="0.25">
      <c r="A48" s="191">
        <v>60300</v>
      </c>
      <c r="B48" s="211" t="s">
        <v>704</v>
      </c>
      <c r="E48" s="2"/>
      <c r="F48" s="76"/>
      <c r="G48" s="22"/>
    </row>
    <row r="49" spans="1:7" x14ac:dyDescent="0.25">
      <c r="A49">
        <v>60301</v>
      </c>
      <c r="B49" s="213"/>
      <c r="C49" s="143" t="s">
        <v>113</v>
      </c>
      <c r="D49" s="22">
        <v>41681</v>
      </c>
      <c r="E49" s="143" t="s">
        <v>487</v>
      </c>
      <c r="F49" s="76" t="s">
        <v>486</v>
      </c>
      <c r="G49" s="22">
        <v>41722</v>
      </c>
    </row>
    <row r="50" spans="1:7" x14ac:dyDescent="0.25">
      <c r="A50">
        <v>60302</v>
      </c>
      <c r="B50" s="213"/>
      <c r="C50" s="2" t="s">
        <v>180</v>
      </c>
      <c r="D50" s="22">
        <v>41306</v>
      </c>
      <c r="E50" t="s">
        <v>497</v>
      </c>
      <c r="F50" s="76" t="s">
        <v>496</v>
      </c>
      <c r="G50" s="22">
        <v>41722</v>
      </c>
    </row>
    <row r="51" spans="1:7" s="143" customFormat="1" x14ac:dyDescent="0.25">
      <c r="A51" s="143">
        <v>60104</v>
      </c>
      <c r="B51" s="213"/>
      <c r="C51" s="2" t="s">
        <v>525</v>
      </c>
      <c r="D51" s="65">
        <v>41671</v>
      </c>
      <c r="E51" s="143" t="s">
        <v>523</v>
      </c>
      <c r="F51" s="76" t="s">
        <v>524</v>
      </c>
      <c r="G51" s="22">
        <v>41722</v>
      </c>
    </row>
    <row r="52" spans="1:7" s="143" customFormat="1" x14ac:dyDescent="0.25">
      <c r="A52" s="191">
        <v>60400</v>
      </c>
      <c r="B52" s="212" t="s">
        <v>86</v>
      </c>
      <c r="E52" s="2"/>
      <c r="F52" s="76"/>
      <c r="G52" s="22"/>
    </row>
    <row r="53" spans="1:7" s="143" customFormat="1" x14ac:dyDescent="0.25">
      <c r="A53" s="143">
        <v>60401</v>
      </c>
      <c r="B53" s="213"/>
      <c r="C53" s="143" t="s">
        <v>113</v>
      </c>
      <c r="D53" s="143">
        <v>2014</v>
      </c>
      <c r="E53" s="143" t="s">
        <v>483</v>
      </c>
      <c r="F53" s="76" t="s">
        <v>526</v>
      </c>
      <c r="G53" s="22">
        <v>41722</v>
      </c>
    </row>
    <row r="54" spans="1:7" x14ac:dyDescent="0.25">
      <c r="A54">
        <v>60402</v>
      </c>
      <c r="B54" s="213"/>
      <c r="C54" s="2" t="s">
        <v>180</v>
      </c>
      <c r="D54">
        <v>2011</v>
      </c>
      <c r="E54" t="s">
        <v>500</v>
      </c>
      <c r="F54" s="76" t="s">
        <v>498</v>
      </c>
      <c r="G54" s="22">
        <v>41722</v>
      </c>
    </row>
    <row r="55" spans="1:7" x14ac:dyDescent="0.25">
      <c r="A55">
        <v>60403</v>
      </c>
      <c r="B55" s="213"/>
      <c r="C55" s="2" t="s">
        <v>180</v>
      </c>
      <c r="D55" s="22">
        <v>41425</v>
      </c>
      <c r="E55" s="143" t="s">
        <v>501</v>
      </c>
      <c r="F55" s="76" t="s">
        <v>499</v>
      </c>
      <c r="G55" s="22">
        <v>41722</v>
      </c>
    </row>
    <row r="56" spans="1:7" s="143" customFormat="1" x14ac:dyDescent="0.25">
      <c r="A56" s="143">
        <v>60104</v>
      </c>
      <c r="B56" s="213"/>
      <c r="C56" s="2" t="s">
        <v>525</v>
      </c>
      <c r="D56" s="65">
        <v>41671</v>
      </c>
      <c r="E56" s="143" t="s">
        <v>523</v>
      </c>
      <c r="F56" s="76" t="s">
        <v>524</v>
      </c>
      <c r="G56" s="22">
        <v>41722</v>
      </c>
    </row>
    <row r="57" spans="1:7" s="143" customFormat="1" x14ac:dyDescent="0.25">
      <c r="A57" s="191">
        <v>60500</v>
      </c>
      <c r="B57" s="210" t="s">
        <v>85</v>
      </c>
      <c r="E57" s="2"/>
      <c r="F57" s="76"/>
      <c r="G57" s="22"/>
    </row>
    <row r="58" spans="1:7" s="143" customFormat="1" x14ac:dyDescent="0.25">
      <c r="A58" s="143">
        <v>60401</v>
      </c>
      <c r="B58" s="213"/>
      <c r="C58" s="143" t="s">
        <v>113</v>
      </c>
      <c r="D58" s="143">
        <v>2014</v>
      </c>
      <c r="E58" s="143" t="s">
        <v>483</v>
      </c>
      <c r="F58" s="76" t="s">
        <v>526</v>
      </c>
      <c r="G58" s="22">
        <v>41722</v>
      </c>
    </row>
    <row r="59" spans="1:7" s="143" customFormat="1" x14ac:dyDescent="0.25">
      <c r="A59" s="143">
        <v>60402</v>
      </c>
      <c r="B59" s="213"/>
      <c r="C59" s="2" t="s">
        <v>180</v>
      </c>
      <c r="D59" s="143">
        <v>2011</v>
      </c>
      <c r="E59" s="143" t="s">
        <v>500</v>
      </c>
      <c r="F59" s="76" t="s">
        <v>498</v>
      </c>
      <c r="G59" s="22">
        <v>41722</v>
      </c>
    </row>
    <row r="60" spans="1:7" s="143" customFormat="1" x14ac:dyDescent="0.25">
      <c r="A60" s="143">
        <v>60403</v>
      </c>
      <c r="B60" s="213"/>
      <c r="C60" s="2" t="s">
        <v>180</v>
      </c>
      <c r="D60" s="22">
        <v>41425</v>
      </c>
      <c r="E60" s="143" t="s">
        <v>501</v>
      </c>
      <c r="F60" s="76" t="s">
        <v>499</v>
      </c>
      <c r="G60" s="22">
        <v>41722</v>
      </c>
    </row>
    <row r="61" spans="1:7" s="143" customFormat="1" x14ac:dyDescent="0.25">
      <c r="A61" s="143">
        <v>60104</v>
      </c>
      <c r="B61" s="213"/>
      <c r="C61" s="2" t="s">
        <v>525</v>
      </c>
      <c r="D61" s="65">
        <v>41671</v>
      </c>
      <c r="E61" s="143" t="s">
        <v>523</v>
      </c>
      <c r="F61" s="76" t="s">
        <v>524</v>
      </c>
      <c r="G61" s="22">
        <v>41722</v>
      </c>
    </row>
    <row r="62" spans="1:7" s="143" customFormat="1" x14ac:dyDescent="0.25">
      <c r="A62" s="191">
        <v>60600</v>
      </c>
      <c r="B62" s="210" t="s">
        <v>695</v>
      </c>
      <c r="E62" s="2"/>
      <c r="F62" s="76"/>
      <c r="G62" s="22"/>
    </row>
    <row r="63" spans="1:7" x14ac:dyDescent="0.25">
      <c r="A63">
        <v>60601</v>
      </c>
      <c r="B63" s="213"/>
      <c r="C63" s="143" t="s">
        <v>113</v>
      </c>
      <c r="D63" s="143">
        <v>2014</v>
      </c>
      <c r="E63" s="143" t="s">
        <v>488</v>
      </c>
      <c r="F63" s="76" t="s">
        <v>526</v>
      </c>
      <c r="G63" s="22">
        <v>41722</v>
      </c>
    </row>
    <row r="64" spans="1:7" x14ac:dyDescent="0.25">
      <c r="A64">
        <v>60602</v>
      </c>
      <c r="B64" s="213"/>
      <c r="C64" s="2" t="s">
        <v>180</v>
      </c>
      <c r="D64" s="22">
        <v>41627</v>
      </c>
      <c r="E64" t="s">
        <v>503</v>
      </c>
      <c r="F64" s="76" t="s">
        <v>502</v>
      </c>
      <c r="G64" s="22">
        <v>41722</v>
      </c>
    </row>
    <row r="65" spans="1:7" s="143" customFormat="1" x14ac:dyDescent="0.25">
      <c r="A65" s="143">
        <v>60104</v>
      </c>
      <c r="B65" s="213"/>
      <c r="C65" s="2" t="s">
        <v>525</v>
      </c>
      <c r="D65" s="65">
        <v>41671</v>
      </c>
      <c r="E65" s="143" t="s">
        <v>523</v>
      </c>
      <c r="F65" s="76" t="s">
        <v>524</v>
      </c>
      <c r="G65" s="22">
        <v>41722</v>
      </c>
    </row>
    <row r="66" spans="1:7" s="143" customFormat="1" x14ac:dyDescent="0.25">
      <c r="A66" s="191">
        <v>60700</v>
      </c>
      <c r="B66" s="210" t="s">
        <v>696</v>
      </c>
      <c r="E66" s="2"/>
      <c r="F66" s="76"/>
      <c r="G66" s="22"/>
    </row>
    <row r="67" spans="1:7" s="143" customFormat="1" x14ac:dyDescent="0.25">
      <c r="A67" s="143">
        <v>60601</v>
      </c>
      <c r="B67" s="213"/>
      <c r="C67" s="143" t="s">
        <v>113</v>
      </c>
      <c r="D67" s="143">
        <v>2014</v>
      </c>
      <c r="E67" s="143" t="s">
        <v>488</v>
      </c>
      <c r="F67" s="76" t="s">
        <v>526</v>
      </c>
      <c r="G67" s="22">
        <v>41722</v>
      </c>
    </row>
    <row r="68" spans="1:7" s="143" customFormat="1" x14ac:dyDescent="0.25">
      <c r="A68" s="143">
        <v>60602</v>
      </c>
      <c r="B68" s="213"/>
      <c r="C68" s="2" t="s">
        <v>180</v>
      </c>
      <c r="D68" s="22">
        <v>41627</v>
      </c>
      <c r="E68" s="143" t="s">
        <v>503</v>
      </c>
      <c r="F68" s="76" t="s">
        <v>502</v>
      </c>
      <c r="G68" s="22">
        <v>41722</v>
      </c>
    </row>
    <row r="69" spans="1:7" s="143" customFormat="1" x14ac:dyDescent="0.25">
      <c r="A69" s="143">
        <v>60104</v>
      </c>
      <c r="B69" s="213"/>
      <c r="C69" s="2" t="s">
        <v>525</v>
      </c>
      <c r="D69" s="65">
        <v>41671</v>
      </c>
      <c r="E69" s="143" t="s">
        <v>523</v>
      </c>
      <c r="F69" s="76" t="s">
        <v>524</v>
      </c>
      <c r="G69" s="22">
        <v>41722</v>
      </c>
    </row>
    <row r="70" spans="1:7" s="143" customFormat="1" x14ac:dyDescent="0.25">
      <c r="A70" s="191">
        <v>60800</v>
      </c>
      <c r="B70" s="210" t="s">
        <v>701</v>
      </c>
      <c r="E70" s="2"/>
      <c r="F70" s="76"/>
      <c r="G70" s="22"/>
    </row>
    <row r="71" spans="1:7" x14ac:dyDescent="0.25">
      <c r="A71">
        <v>60801</v>
      </c>
      <c r="B71" s="213"/>
      <c r="C71" s="143" t="s">
        <v>113</v>
      </c>
      <c r="D71" s="22">
        <v>41442</v>
      </c>
      <c r="E71" t="s">
        <v>490</v>
      </c>
      <c r="F71" s="76" t="s">
        <v>489</v>
      </c>
      <c r="G71" s="22">
        <v>41722</v>
      </c>
    </row>
    <row r="72" spans="1:7" s="143" customFormat="1" x14ac:dyDescent="0.25">
      <c r="A72" s="191">
        <v>60900</v>
      </c>
      <c r="B72" s="210" t="s">
        <v>1075</v>
      </c>
      <c r="E72" s="2"/>
      <c r="F72" s="76"/>
      <c r="G72" s="22"/>
    </row>
    <row r="73" spans="1:7" x14ac:dyDescent="0.25">
      <c r="A73">
        <v>60901</v>
      </c>
      <c r="B73" s="213"/>
      <c r="C73" s="2" t="s">
        <v>180</v>
      </c>
      <c r="D73" s="22">
        <v>41122</v>
      </c>
      <c r="E73" t="s">
        <v>546</v>
      </c>
      <c r="F73" s="76" t="s">
        <v>504</v>
      </c>
      <c r="G73" s="22">
        <v>41722</v>
      </c>
    </row>
    <row r="74" spans="1:7" s="143" customFormat="1" x14ac:dyDescent="0.25">
      <c r="A74" s="143">
        <v>60104</v>
      </c>
      <c r="B74" s="213"/>
      <c r="C74" s="2" t="s">
        <v>525</v>
      </c>
      <c r="D74" s="65">
        <v>41671</v>
      </c>
      <c r="E74" s="143" t="s">
        <v>523</v>
      </c>
      <c r="F74" s="76" t="s">
        <v>524</v>
      </c>
      <c r="G74" s="22">
        <v>41722</v>
      </c>
    </row>
    <row r="75" spans="1:7" s="143" customFormat="1" x14ac:dyDescent="0.25">
      <c r="A75" s="191">
        <v>61000</v>
      </c>
      <c r="B75" s="211" t="s">
        <v>700</v>
      </c>
      <c r="E75" s="2"/>
      <c r="F75" s="76"/>
      <c r="G75" s="22"/>
    </row>
    <row r="76" spans="1:7" x14ac:dyDescent="0.25">
      <c r="A76">
        <v>61001</v>
      </c>
      <c r="B76" s="213"/>
      <c r="C76" s="2" t="s">
        <v>180</v>
      </c>
      <c r="D76" s="22">
        <v>41544</v>
      </c>
      <c r="E76" t="s">
        <v>506</v>
      </c>
      <c r="F76" s="76" t="s">
        <v>505</v>
      </c>
      <c r="G76" s="22">
        <v>41722</v>
      </c>
    </row>
    <row r="77" spans="1:7" s="143" customFormat="1" x14ac:dyDescent="0.25">
      <c r="A77" s="191">
        <v>61100</v>
      </c>
      <c r="B77" s="210" t="s">
        <v>705</v>
      </c>
      <c r="E77" s="2"/>
      <c r="F77" s="76"/>
      <c r="G77" s="22"/>
    </row>
    <row r="78" spans="1:7" s="143" customFormat="1" x14ac:dyDescent="0.25">
      <c r="A78" s="143">
        <v>60104</v>
      </c>
      <c r="B78" s="213"/>
      <c r="C78" s="2" t="s">
        <v>525</v>
      </c>
      <c r="D78" s="65">
        <v>41671</v>
      </c>
      <c r="E78" s="143" t="s">
        <v>523</v>
      </c>
      <c r="F78" s="76" t="s">
        <v>524</v>
      </c>
      <c r="G78" s="22">
        <v>41722</v>
      </c>
    </row>
    <row r="79" spans="1:7" s="143" customFormat="1" x14ac:dyDescent="0.25">
      <c r="A79" s="191">
        <v>61200</v>
      </c>
      <c r="B79" s="210" t="s">
        <v>89</v>
      </c>
      <c r="E79" s="2"/>
      <c r="F79" s="76"/>
      <c r="G79" s="22"/>
    </row>
    <row r="80" spans="1:7" s="143" customFormat="1" x14ac:dyDescent="0.25">
      <c r="A80" s="143">
        <v>60901</v>
      </c>
      <c r="B80" s="213"/>
      <c r="C80" s="2" t="s">
        <v>180</v>
      </c>
      <c r="D80" s="22">
        <v>41544</v>
      </c>
      <c r="E80" s="143" t="s">
        <v>546</v>
      </c>
      <c r="F80" s="76" t="s">
        <v>504</v>
      </c>
      <c r="G80" s="22">
        <v>41722</v>
      </c>
    </row>
    <row r="81" spans="1:7" s="143" customFormat="1" x14ac:dyDescent="0.25">
      <c r="A81" s="143">
        <v>60104</v>
      </c>
      <c r="B81" s="213"/>
      <c r="C81" s="2" t="s">
        <v>525</v>
      </c>
      <c r="D81" s="65">
        <v>41671</v>
      </c>
      <c r="E81" s="143" t="s">
        <v>523</v>
      </c>
      <c r="F81" s="76" t="s">
        <v>524</v>
      </c>
      <c r="G81" s="22">
        <v>41722</v>
      </c>
    </row>
    <row r="82" spans="1:7" s="143" customFormat="1" x14ac:dyDescent="0.25">
      <c r="A82" s="191">
        <v>61300</v>
      </c>
      <c r="B82" s="210" t="s">
        <v>702</v>
      </c>
      <c r="E82" s="2"/>
      <c r="F82" s="76"/>
      <c r="G82" s="22"/>
    </row>
    <row r="83" spans="1:7" x14ac:dyDescent="0.25">
      <c r="A83">
        <v>61301</v>
      </c>
      <c r="B83" s="213"/>
      <c r="C83" s="2" t="s">
        <v>180</v>
      </c>
      <c r="D83" s="22">
        <v>41194</v>
      </c>
      <c r="E83" t="s">
        <v>507</v>
      </c>
      <c r="F83" s="76" t="s">
        <v>508</v>
      </c>
      <c r="G83" s="22">
        <v>41722</v>
      </c>
    </row>
    <row r="84" spans="1:7" x14ac:dyDescent="0.25">
      <c r="A84">
        <v>61301</v>
      </c>
      <c r="B84" s="213"/>
      <c r="C84" s="2" t="s">
        <v>180</v>
      </c>
      <c r="D84" s="22">
        <v>41194</v>
      </c>
      <c r="E84" t="s">
        <v>507</v>
      </c>
      <c r="F84" s="76" t="s">
        <v>508</v>
      </c>
      <c r="G84" s="22">
        <v>41722</v>
      </c>
    </row>
    <row r="85" spans="1:7" x14ac:dyDescent="0.25">
      <c r="A85">
        <v>61302</v>
      </c>
      <c r="B85" s="213"/>
      <c r="C85" s="2" t="s">
        <v>180</v>
      </c>
      <c r="D85" s="22">
        <v>41733</v>
      </c>
      <c r="E85" t="s">
        <v>510</v>
      </c>
      <c r="F85" s="76" t="s">
        <v>509</v>
      </c>
      <c r="G85" s="22">
        <v>41722</v>
      </c>
    </row>
    <row r="86" spans="1:7" s="143" customFormat="1" x14ac:dyDescent="0.25">
      <c r="A86" s="191">
        <v>61400</v>
      </c>
      <c r="B86" s="214" t="s">
        <v>88</v>
      </c>
      <c r="E86" s="2"/>
      <c r="F86" s="76"/>
      <c r="G86" s="22"/>
    </row>
    <row r="87" spans="1:7" x14ac:dyDescent="0.25">
      <c r="A87">
        <v>61401</v>
      </c>
      <c r="B87" s="213"/>
      <c r="C87" s="2" t="s">
        <v>180</v>
      </c>
      <c r="D87" s="22">
        <v>41661</v>
      </c>
      <c r="E87" t="s">
        <v>511</v>
      </c>
      <c r="F87" s="76" t="s">
        <v>513</v>
      </c>
      <c r="G87" s="22">
        <v>41722</v>
      </c>
    </row>
    <row r="88" spans="1:7" x14ac:dyDescent="0.25">
      <c r="A88">
        <v>61402</v>
      </c>
      <c r="B88" s="213"/>
      <c r="C88" s="2" t="s">
        <v>180</v>
      </c>
      <c r="D88" s="22">
        <v>41610</v>
      </c>
      <c r="E88" t="s">
        <v>514</v>
      </c>
      <c r="F88" s="76" t="s">
        <v>512</v>
      </c>
      <c r="G88" s="22">
        <v>41722</v>
      </c>
    </row>
    <row r="89" spans="1:7" s="143" customFormat="1" x14ac:dyDescent="0.25">
      <c r="A89" s="143">
        <v>60104</v>
      </c>
      <c r="B89" s="213"/>
      <c r="C89" s="2" t="s">
        <v>525</v>
      </c>
      <c r="D89" s="65">
        <v>41671</v>
      </c>
      <c r="E89" s="143" t="s">
        <v>523</v>
      </c>
      <c r="F89" s="76" t="s">
        <v>524</v>
      </c>
      <c r="G89" s="22">
        <v>41722</v>
      </c>
    </row>
    <row r="90" spans="1:7" s="143" customFormat="1" x14ac:dyDescent="0.25">
      <c r="A90" s="191">
        <v>61500</v>
      </c>
      <c r="B90" s="214" t="s">
        <v>11</v>
      </c>
      <c r="E90" s="2"/>
      <c r="F90" s="76"/>
      <c r="G90" s="22"/>
    </row>
    <row r="91" spans="1:7" x14ac:dyDescent="0.25">
      <c r="A91">
        <v>61501</v>
      </c>
      <c r="B91" s="213"/>
      <c r="C91" s="2" t="s">
        <v>180</v>
      </c>
      <c r="D91" s="65">
        <v>41579</v>
      </c>
      <c r="E91" t="s">
        <v>515</v>
      </c>
      <c r="F91" s="76" t="s">
        <v>516</v>
      </c>
      <c r="G91" s="22">
        <v>41722</v>
      </c>
    </row>
    <row r="92" spans="1:7" s="143" customFormat="1" x14ac:dyDescent="0.25">
      <c r="A92" s="191">
        <v>61600</v>
      </c>
      <c r="B92" s="215" t="s">
        <v>9</v>
      </c>
      <c r="E92" s="2"/>
      <c r="F92" s="76"/>
      <c r="G92" s="22"/>
    </row>
    <row r="93" spans="1:7" s="143" customFormat="1" x14ac:dyDescent="0.25">
      <c r="A93" s="511">
        <v>61601</v>
      </c>
      <c r="B93" s="215"/>
      <c r="C93" s="143" t="s">
        <v>180</v>
      </c>
      <c r="D93" s="22">
        <v>41320</v>
      </c>
      <c r="E93" s="2" t="s">
        <v>670</v>
      </c>
      <c r="F93" s="76" t="s">
        <v>669</v>
      </c>
      <c r="G93" s="22">
        <v>41786</v>
      </c>
    </row>
    <row r="94" spans="1:7" s="143" customFormat="1" x14ac:dyDescent="0.25">
      <c r="A94" s="143">
        <v>60104</v>
      </c>
      <c r="B94" s="213"/>
      <c r="C94" s="2" t="s">
        <v>525</v>
      </c>
      <c r="D94" s="65">
        <v>41671</v>
      </c>
      <c r="E94" s="143" t="s">
        <v>523</v>
      </c>
      <c r="F94" s="76" t="s">
        <v>524</v>
      </c>
      <c r="G94" s="22">
        <v>41722</v>
      </c>
    </row>
    <row r="95" spans="1:7" s="143" customFormat="1" x14ac:dyDescent="0.25">
      <c r="A95" s="191">
        <v>61700</v>
      </c>
      <c r="B95" s="214" t="s">
        <v>10</v>
      </c>
      <c r="E95" s="2"/>
      <c r="F95" s="76"/>
      <c r="G95" s="22"/>
    </row>
    <row r="96" spans="1:7" x14ac:dyDescent="0.25">
      <c r="A96">
        <v>61701</v>
      </c>
      <c r="B96" s="213"/>
      <c r="C96" s="143" t="s">
        <v>113</v>
      </c>
      <c r="D96" s="22">
        <v>41572</v>
      </c>
      <c r="E96" t="s">
        <v>536</v>
      </c>
      <c r="F96" s="76" t="s">
        <v>675</v>
      </c>
      <c r="G96" s="22">
        <v>41722</v>
      </c>
    </row>
    <row r="97" spans="1:8" s="143" customFormat="1" x14ac:dyDescent="0.25">
      <c r="A97" s="191">
        <v>61800</v>
      </c>
      <c r="B97" s="214" t="s">
        <v>699</v>
      </c>
      <c r="E97" s="2"/>
      <c r="F97" s="76"/>
      <c r="G97" s="22"/>
    </row>
    <row r="98" spans="1:8" s="143" customFormat="1" x14ac:dyDescent="0.25">
      <c r="A98" s="143">
        <v>61001</v>
      </c>
      <c r="B98" s="213"/>
      <c r="C98" s="2" t="s">
        <v>180</v>
      </c>
      <c r="D98" s="22">
        <v>41544</v>
      </c>
      <c r="E98" s="143" t="s">
        <v>506</v>
      </c>
      <c r="F98" s="76" t="s">
        <v>505</v>
      </c>
      <c r="G98" s="22">
        <v>41722</v>
      </c>
    </row>
    <row r="99" spans="1:8" s="143" customFormat="1" x14ac:dyDescent="0.25">
      <c r="A99" s="191">
        <v>61900</v>
      </c>
      <c r="B99" s="214" t="s">
        <v>703</v>
      </c>
      <c r="E99" s="2"/>
      <c r="F99" s="76"/>
      <c r="G99" s="22"/>
    </row>
    <row r="100" spans="1:8" x14ac:dyDescent="0.25">
      <c r="A100">
        <v>61901</v>
      </c>
      <c r="B100" s="213"/>
      <c r="C100" s="2" t="s">
        <v>180</v>
      </c>
      <c r="D100" s="65">
        <v>41275</v>
      </c>
      <c r="E100" t="s">
        <v>518</v>
      </c>
      <c r="F100" s="76" t="s">
        <v>517</v>
      </c>
      <c r="G100" s="22">
        <v>41722</v>
      </c>
    </row>
    <row r="101" spans="1:8" x14ac:dyDescent="0.25">
      <c r="A101">
        <v>61902</v>
      </c>
      <c r="B101" s="213"/>
      <c r="C101" s="2" t="s">
        <v>180</v>
      </c>
      <c r="D101" s="22">
        <v>41694</v>
      </c>
      <c r="E101" t="s">
        <v>520</v>
      </c>
      <c r="F101" s="76" t="s">
        <v>519</v>
      </c>
      <c r="G101" s="22">
        <v>41722</v>
      </c>
    </row>
    <row r="102" spans="1:8" s="143" customFormat="1" x14ac:dyDescent="0.25">
      <c r="A102" s="191">
        <v>62000</v>
      </c>
      <c r="B102" s="216" t="s">
        <v>72</v>
      </c>
      <c r="E102" s="2"/>
      <c r="F102" s="76"/>
      <c r="G102" s="22"/>
    </row>
    <row r="103" spans="1:8" x14ac:dyDescent="0.25">
      <c r="A103">
        <v>62001</v>
      </c>
      <c r="B103" s="213"/>
      <c r="C103" s="143" t="s">
        <v>113</v>
      </c>
      <c r="D103" s="22">
        <v>41582</v>
      </c>
      <c r="E103" t="s">
        <v>492</v>
      </c>
      <c r="F103" s="76" t="s">
        <v>491</v>
      </c>
      <c r="G103" s="22">
        <v>41722</v>
      </c>
    </row>
    <row r="104" spans="1:8" x14ac:dyDescent="0.25">
      <c r="A104">
        <v>62002</v>
      </c>
      <c r="B104" s="213"/>
      <c r="C104" s="2" t="s">
        <v>180</v>
      </c>
      <c r="D104" s="22">
        <v>41193</v>
      </c>
      <c r="E104" s="143" t="s">
        <v>522</v>
      </c>
      <c r="F104" s="76" t="s">
        <v>521</v>
      </c>
      <c r="G104" s="22">
        <v>41722</v>
      </c>
    </row>
    <row r="105" spans="1:8" s="143" customFormat="1" x14ac:dyDescent="0.25">
      <c r="A105" s="143">
        <v>62003</v>
      </c>
      <c r="B105" s="213"/>
      <c r="C105" s="2" t="s">
        <v>180</v>
      </c>
      <c r="D105" s="22">
        <v>41731</v>
      </c>
      <c r="E105" s="143" t="s">
        <v>673</v>
      </c>
      <c r="F105" s="76" t="s">
        <v>672</v>
      </c>
      <c r="G105" s="22">
        <v>41793</v>
      </c>
    </row>
    <row r="106" spans="1:8" s="143" customFormat="1" x14ac:dyDescent="0.25">
      <c r="A106" s="143">
        <v>60104</v>
      </c>
      <c r="B106" s="213"/>
      <c r="C106" s="2" t="s">
        <v>525</v>
      </c>
      <c r="D106" s="65">
        <v>41671</v>
      </c>
      <c r="E106" s="143" t="s">
        <v>523</v>
      </c>
      <c r="F106" s="76" t="s">
        <v>524</v>
      </c>
      <c r="G106" s="22">
        <v>41722</v>
      </c>
    </row>
    <row r="107" spans="1:8" s="143" customFormat="1" x14ac:dyDescent="0.25">
      <c r="A107" s="191">
        <v>62100</v>
      </c>
      <c r="B107" s="217" t="s">
        <v>71</v>
      </c>
      <c r="E107" s="2"/>
      <c r="F107" s="76"/>
      <c r="G107" s="22"/>
    </row>
    <row r="108" spans="1:8" s="143" customFormat="1" x14ac:dyDescent="0.25">
      <c r="A108" s="143">
        <v>62001</v>
      </c>
      <c r="B108" s="213"/>
      <c r="C108" s="143" t="s">
        <v>113</v>
      </c>
      <c r="D108" s="22">
        <v>41582</v>
      </c>
      <c r="E108" s="143" t="s">
        <v>492</v>
      </c>
      <c r="F108" s="76" t="s">
        <v>491</v>
      </c>
      <c r="G108" s="22">
        <v>41722</v>
      </c>
    </row>
    <row r="109" spans="1:8" s="143" customFormat="1" x14ac:dyDescent="0.25">
      <c r="A109" s="143">
        <v>62002</v>
      </c>
      <c r="B109" s="213"/>
      <c r="C109" s="2" t="s">
        <v>180</v>
      </c>
      <c r="D109" s="22">
        <v>41193</v>
      </c>
      <c r="E109" s="143" t="s">
        <v>522</v>
      </c>
      <c r="F109" s="76" t="s">
        <v>521</v>
      </c>
      <c r="G109" s="22">
        <v>41722</v>
      </c>
    </row>
    <row r="110" spans="1:8" s="143" customFormat="1" x14ac:dyDescent="0.25">
      <c r="A110" s="143">
        <v>62003</v>
      </c>
      <c r="B110" s="213"/>
      <c r="C110" s="2" t="s">
        <v>180</v>
      </c>
      <c r="D110" s="22">
        <v>41731</v>
      </c>
      <c r="E110" s="143" t="s">
        <v>673</v>
      </c>
      <c r="F110" s="76" t="s">
        <v>672</v>
      </c>
      <c r="G110" s="22">
        <v>41793</v>
      </c>
    </row>
    <row r="111" spans="1:8" s="143" customFormat="1" x14ac:dyDescent="0.25">
      <c r="A111" s="143">
        <v>60104</v>
      </c>
      <c r="B111" s="213"/>
      <c r="C111" s="2" t="s">
        <v>525</v>
      </c>
      <c r="D111" s="65">
        <v>41671</v>
      </c>
      <c r="E111" s="143" t="s">
        <v>523</v>
      </c>
      <c r="F111" s="76" t="s">
        <v>524</v>
      </c>
      <c r="G111" s="22">
        <v>41722</v>
      </c>
    </row>
    <row r="112" spans="1:8" s="633" customFormat="1" ht="18" thickBot="1" x14ac:dyDescent="0.35">
      <c r="A112" s="199" t="s">
        <v>1118</v>
      </c>
      <c r="B112" s="199"/>
      <c r="C112" s="199"/>
      <c r="D112" s="199"/>
      <c r="E112" s="199"/>
      <c r="F112" s="199"/>
      <c r="G112" s="199"/>
      <c r="H112" s="199"/>
    </row>
    <row r="113" spans="1:8" s="633" customFormat="1" ht="15.75" thickTop="1" x14ac:dyDescent="0.25">
      <c r="A113" s="633">
        <v>70001</v>
      </c>
      <c r="B113" s="633" t="s">
        <v>939</v>
      </c>
      <c r="C113" s="633" t="s">
        <v>80</v>
      </c>
      <c r="D113" s="22">
        <v>39632</v>
      </c>
      <c r="E113" s="633" t="s">
        <v>971</v>
      </c>
      <c r="F113" s="76" t="s">
        <v>938</v>
      </c>
      <c r="G113" s="22">
        <v>41911</v>
      </c>
    </row>
    <row r="114" spans="1:8" s="633" customFormat="1" x14ac:dyDescent="0.25">
      <c r="A114" s="633">
        <v>70002</v>
      </c>
      <c r="B114" s="633" t="s">
        <v>941</v>
      </c>
      <c r="C114" s="633" t="s">
        <v>942</v>
      </c>
      <c r="D114" s="22">
        <v>38119</v>
      </c>
      <c r="E114" s="633" t="s">
        <v>972</v>
      </c>
      <c r="F114" s="76" t="s">
        <v>943</v>
      </c>
      <c r="G114" s="22">
        <v>41911</v>
      </c>
    </row>
    <row r="115" spans="1:8" s="633" customFormat="1" x14ac:dyDescent="0.25">
      <c r="A115" s="633">
        <v>70003</v>
      </c>
      <c r="B115" s="633" t="s">
        <v>941</v>
      </c>
      <c r="C115" s="633" t="s">
        <v>80</v>
      </c>
      <c r="D115" s="22">
        <v>41484</v>
      </c>
      <c r="E115" s="633" t="s">
        <v>944</v>
      </c>
      <c r="F115" s="76" t="s">
        <v>544</v>
      </c>
      <c r="G115" s="22">
        <v>41911</v>
      </c>
    </row>
    <row r="116" spans="1:8" s="633" customFormat="1" x14ac:dyDescent="0.25">
      <c r="A116" s="633">
        <v>70004</v>
      </c>
      <c r="B116" s="633" t="s">
        <v>941</v>
      </c>
      <c r="C116" s="633" t="s">
        <v>942</v>
      </c>
      <c r="D116" s="22">
        <v>38119</v>
      </c>
      <c r="E116" s="633" t="s">
        <v>973</v>
      </c>
      <c r="F116" s="76" t="s">
        <v>946</v>
      </c>
      <c r="G116" s="22">
        <v>41911</v>
      </c>
    </row>
    <row r="117" spans="1:8" s="633" customFormat="1" x14ac:dyDescent="0.25">
      <c r="A117" s="633">
        <v>70005</v>
      </c>
      <c r="B117" s="633" t="s">
        <v>947</v>
      </c>
      <c r="C117" s="633" t="s">
        <v>942</v>
      </c>
      <c r="D117" s="22">
        <v>38240</v>
      </c>
      <c r="E117" s="633" t="s">
        <v>974</v>
      </c>
      <c r="F117" s="76" t="s">
        <v>945</v>
      </c>
      <c r="G117" s="22">
        <v>41911</v>
      </c>
    </row>
    <row r="118" spans="1:8" s="633" customFormat="1" x14ac:dyDescent="0.25">
      <c r="A118" s="633">
        <v>70006</v>
      </c>
      <c r="B118" s="633" t="s">
        <v>949</v>
      </c>
      <c r="C118" s="633" t="s">
        <v>547</v>
      </c>
      <c r="D118" s="22">
        <v>41484</v>
      </c>
      <c r="E118" s="633" t="s">
        <v>975</v>
      </c>
      <c r="F118" s="76" t="s">
        <v>948</v>
      </c>
      <c r="G118" s="22">
        <v>41911</v>
      </c>
    </row>
    <row r="119" spans="1:8" s="633" customFormat="1" x14ac:dyDescent="0.25">
      <c r="A119" s="633">
        <v>70007</v>
      </c>
      <c r="B119" s="633" t="s">
        <v>950</v>
      </c>
      <c r="C119" s="633" t="s">
        <v>547</v>
      </c>
      <c r="D119" s="22">
        <v>41484</v>
      </c>
      <c r="E119" s="633" t="s">
        <v>976</v>
      </c>
      <c r="F119" s="76" t="s">
        <v>116</v>
      </c>
      <c r="G119" s="22">
        <v>41911</v>
      </c>
    </row>
    <row r="120" spans="1:8" s="633" customFormat="1" x14ac:dyDescent="0.25">
      <c r="A120" s="633">
        <v>70008</v>
      </c>
      <c r="B120" s="633" t="s">
        <v>951</v>
      </c>
      <c r="C120" s="633" t="s">
        <v>955</v>
      </c>
      <c r="D120" s="22">
        <v>41484</v>
      </c>
      <c r="E120" s="633" t="s">
        <v>953</v>
      </c>
      <c r="F120" s="76" t="s">
        <v>954</v>
      </c>
      <c r="G120" s="22">
        <v>41911</v>
      </c>
    </row>
    <row r="121" spans="1:8" x14ac:dyDescent="0.25">
      <c r="A121" s="633">
        <v>70009</v>
      </c>
      <c r="B121" s="633" t="s">
        <v>957</v>
      </c>
      <c r="C121" s="633" t="s">
        <v>958</v>
      </c>
      <c r="D121" s="22">
        <v>41484</v>
      </c>
      <c r="E121" s="633" t="s">
        <v>956</v>
      </c>
      <c r="F121" s="630" t="s">
        <v>952</v>
      </c>
      <c r="G121" s="22">
        <v>41911</v>
      </c>
    </row>
    <row r="122" spans="1:8" s="633" customFormat="1" ht="18" thickBot="1" x14ac:dyDescent="0.35">
      <c r="A122" s="199" t="s">
        <v>1117</v>
      </c>
      <c r="B122" s="199"/>
      <c r="C122" s="199"/>
      <c r="D122" s="199"/>
      <c r="E122" s="199"/>
      <c r="F122" s="199"/>
      <c r="G122" s="199"/>
      <c r="H122" s="199"/>
    </row>
    <row r="123" spans="1:8" ht="15.75" thickTop="1" x14ac:dyDescent="0.25">
      <c r="A123">
        <v>80000</v>
      </c>
      <c r="C123" t="s">
        <v>990</v>
      </c>
      <c r="D123" s="22">
        <v>41701</v>
      </c>
      <c r="E123" t="s">
        <v>989</v>
      </c>
      <c r="F123" s="76" t="s">
        <v>991</v>
      </c>
      <c r="G123" s="22">
        <v>41904</v>
      </c>
    </row>
    <row r="124" spans="1:8" x14ac:dyDescent="0.25"/>
    <row r="125" spans="1:8" x14ac:dyDescent="0.25"/>
    <row r="126" spans="1:8" x14ac:dyDescent="0.25"/>
    <row r="127" spans="1:8" x14ac:dyDescent="0.25"/>
    <row r="128" spans="1:8" x14ac:dyDescent="0.25"/>
  </sheetData>
  <sheetProtection algorithmName="SHA-512" hashValue="YXX8H6+gvAGPpTCeBXVc/yHiwmSMtni+FSl6O/nG19gZf8ismhnneF//yFHJp9edYt8PRwCWdJTYYbZElgaBfA==" saltValue="ygjc2KYbefQW+Q8UvLoSZQ==" spinCount="100000" sheet="1" objects="1" scenarios="1"/>
  <sortState ref="A13:G45">
    <sortCondition ref="A13:A45"/>
  </sortState>
  <customSheetViews>
    <customSheetView guid="{60F78483-39BF-4220-A916-CF2EC8650828}">
      <selection activeCell="B4" sqref="B4"/>
      <pageMargins left="0.7" right="0.7" top="0.75" bottom="0.75" header="0.3" footer="0.3"/>
    </customSheetView>
    <customSheetView guid="{A81EEAD5-0F54-487C-916C-C0011EA5EA13}">
      <selection activeCell="B4" sqref="B4"/>
      <pageMargins left="0.7" right="0.7" top="0.75" bottom="0.75" header="0.3" footer="0.3"/>
    </customSheetView>
    <customSheetView guid="{4A33A914-5DEA-45EA-961C-669673132E6E}">
      <selection activeCell="G9" sqref="G9"/>
      <pageMargins left="0.7" right="0.7" top="0.75" bottom="0.75" header="0.3" footer="0.3"/>
    </customSheetView>
  </customSheetViews>
  <hyperlinks>
    <hyperlink ref="F33" r:id="rId1"/>
    <hyperlink ref="F26" r:id="rId2"/>
    <hyperlink ref="F38" r:id="rId3"/>
    <hyperlink ref="F37" r:id="rId4"/>
    <hyperlink ref="F43" r:id="rId5"/>
    <hyperlink ref="F44" r:id="rId6"/>
    <hyperlink ref="F103" r:id="rId7"/>
    <hyperlink ref="F47" r:id="rId8"/>
    <hyperlink ref="F18" r:id="rId9"/>
    <hyperlink ref="F19" r:id="rId10" location="!documentDetail;D=EERE-2014-BT-STD-0005-0001"/>
    <hyperlink ref="F20" r:id="rId11"/>
    <hyperlink ref="F21" r:id="rId12"/>
    <hyperlink ref="F22" r:id="rId13"/>
    <hyperlink ref="F25" r:id="rId14"/>
    <hyperlink ref="F23" r:id="rId15"/>
    <hyperlink ref="F24" r:id="rId16"/>
    <hyperlink ref="F28" r:id="rId17"/>
    <hyperlink ref="F29" r:id="rId18"/>
    <hyperlink ref="F34" r:id="rId19"/>
    <hyperlink ref="F53" r:id="rId20"/>
    <hyperlink ref="F58" r:id="rId21"/>
    <hyperlink ref="F108" r:id="rId22"/>
    <hyperlink ref="F31" r:id="rId23"/>
    <hyperlink ref="F3" r:id="rId24"/>
    <hyperlink ref="F49" r:id="rId25"/>
    <hyperlink ref="F50" r:id="rId26"/>
    <hyperlink ref="F54" r:id="rId27"/>
    <hyperlink ref="F55" r:id="rId28"/>
    <hyperlink ref="F63" r:id="rId29"/>
    <hyperlink ref="F71" r:id="rId30"/>
    <hyperlink ref="F73" r:id="rId31"/>
    <hyperlink ref="F104" r:id="rId32"/>
    <hyperlink ref="F105" r:id="rId33"/>
    <hyperlink ref="F110" r:id="rId34"/>
    <hyperlink ref="F42" r:id="rId35"/>
    <hyperlink ref="F39" r:id="rId36"/>
    <hyperlink ref="F30" r:id="rId37"/>
    <hyperlink ref="F15" r:id="rId38"/>
    <hyperlink ref="F5" r:id="rId39"/>
    <hyperlink ref="F6" r:id="rId40"/>
    <hyperlink ref="F7" r:id="rId41"/>
    <hyperlink ref="F8" r:id="rId42"/>
    <hyperlink ref="F9" r:id="rId43"/>
    <hyperlink ref="F94" r:id="rId44"/>
    <hyperlink ref="F51" r:id="rId45"/>
    <hyperlink ref="F89" r:id="rId46"/>
    <hyperlink ref="F118" r:id="rId47"/>
    <hyperlink ref="F120" r:id="rId48"/>
    <hyperlink ref="F121" r:id="rId49"/>
    <hyperlink ref="F113" r:id="rId50"/>
    <hyperlink ref="F114" r:id="rId51"/>
    <hyperlink ref="F115" r:id="rId52"/>
    <hyperlink ref="F116" r:id="rId53"/>
    <hyperlink ref="F117" r:id="rId54"/>
    <hyperlink ref="F119" r:id="rId55"/>
    <hyperlink ref="F123" r:id="rId56"/>
    <hyperlink ref="F11" r:id="rId57"/>
    <hyperlink ref="F12" r:id="rId58"/>
  </hyperlinks>
  <pageMargins left="0.7" right="0.7" top="0.75" bottom="0.75" header="0.3" footer="0.3"/>
  <pageSetup orientation="portrait" r:id="rId5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B223"/>
  <sheetViews>
    <sheetView topLeftCell="B36" workbookViewId="0">
      <selection activeCell="W56" sqref="W56"/>
    </sheetView>
  </sheetViews>
  <sheetFormatPr defaultRowHeight="12.75" x14ac:dyDescent="0.2"/>
  <cols>
    <col min="1" max="2" width="9.140625" style="86"/>
    <col min="3" max="3" width="33.28515625" style="86" bestFit="1" customWidth="1"/>
    <col min="4" max="4" width="9.42578125" style="86" customWidth="1"/>
    <col min="5" max="5" width="26.42578125" style="86" customWidth="1"/>
    <col min="6" max="13" width="9.140625" style="86"/>
    <col min="14" max="14" width="10.140625" style="86" bestFit="1" customWidth="1"/>
    <col min="15" max="35" width="9.140625" style="86"/>
    <col min="36" max="36" width="5.5703125" style="86" customWidth="1"/>
    <col min="37" max="39" width="7" style="86" customWidth="1"/>
    <col min="40" max="49" width="7.7109375" style="86" customWidth="1"/>
    <col min="50" max="50" width="7.7109375" style="87" customWidth="1"/>
    <col min="51" max="53" width="7.7109375" style="86" customWidth="1"/>
    <col min="54" max="55" width="7.28515625" style="86" customWidth="1"/>
    <col min="56" max="65" width="7.7109375" style="86" customWidth="1"/>
    <col min="66" max="66" width="9.7109375" style="86" customWidth="1"/>
    <col min="67" max="67" width="9.140625" style="86"/>
    <col min="68" max="70" width="9.42578125" style="86" bestFit="1" customWidth="1"/>
    <col min="71" max="71" width="9.42578125" style="86" customWidth="1"/>
    <col min="72" max="73" width="9.140625" style="86"/>
    <col min="74" max="74" width="9.42578125" style="86" bestFit="1" customWidth="1"/>
    <col min="75" max="80" width="9.140625" style="86"/>
    <col min="81" max="81" width="12" style="86" bestFit="1" customWidth="1"/>
    <col min="82" max="87" width="9.140625" style="86"/>
    <col min="88" max="88" width="9.42578125" style="86" bestFit="1" customWidth="1"/>
    <col min="89" max="92" width="9.42578125" style="86" customWidth="1"/>
    <col min="93" max="94" width="9.42578125" style="86" bestFit="1" customWidth="1"/>
    <col min="95" max="16384" width="9.140625" style="86"/>
  </cols>
  <sheetData>
    <row r="1" spans="2:100" ht="15" x14ac:dyDescent="0.25">
      <c r="B1" s="86" t="s">
        <v>151</v>
      </c>
      <c r="M1"/>
      <c r="N1"/>
      <c r="O1"/>
      <c r="P1"/>
      <c r="Q1"/>
      <c r="R1"/>
      <c r="S1"/>
      <c r="AZ1" s="88" t="s">
        <v>349</v>
      </c>
    </row>
    <row r="2" spans="2:100" ht="15" x14ac:dyDescent="0.25">
      <c r="B2" s="88" t="s">
        <v>467</v>
      </c>
      <c r="C2" s="88" t="s">
        <v>150</v>
      </c>
      <c r="D2" s="88" t="s">
        <v>353</v>
      </c>
      <c r="E2" s="89" t="s">
        <v>186</v>
      </c>
      <c r="F2" s="88" t="s">
        <v>800</v>
      </c>
      <c r="G2" s="88" t="s">
        <v>351</v>
      </c>
      <c r="I2" s="88"/>
      <c r="J2" s="88"/>
      <c r="K2" s="88"/>
      <c r="M2"/>
      <c r="N2"/>
      <c r="O2"/>
      <c r="P2"/>
      <c r="Q2"/>
      <c r="R2"/>
      <c r="S2"/>
      <c r="T2"/>
      <c r="U2"/>
      <c r="V2" s="86" t="s">
        <v>423</v>
      </c>
    </row>
    <row r="3" spans="2:100" ht="15" x14ac:dyDescent="0.25">
      <c r="B3" s="90" t="s">
        <v>8</v>
      </c>
      <c r="C3" s="90" t="s">
        <v>137</v>
      </c>
      <c r="D3" s="90" t="s">
        <v>553</v>
      </c>
      <c r="E3" s="91" t="s">
        <v>695</v>
      </c>
      <c r="F3" s="86" t="s">
        <v>8</v>
      </c>
      <c r="G3" s="86" t="s">
        <v>78</v>
      </c>
      <c r="I3" s="91" t="s">
        <v>1075</v>
      </c>
      <c r="M3"/>
      <c r="N3"/>
      <c r="O3"/>
      <c r="P3"/>
      <c r="Q3"/>
      <c r="R3"/>
      <c r="S3"/>
      <c r="T3"/>
      <c r="U3"/>
      <c r="V3" s="90" t="str">
        <f ca="1">MID(CELL("filename",V2),SEARCH("[",CELL("filename",V2)),SEARCH("]",CELL("filename",V2))-SEARCH("[",CELL("filename",V2))+1)</f>
        <v>[Residential Solutions Workbook I v2.0 6-15-2015 FINAL.xlsx]</v>
      </c>
    </row>
    <row r="4" spans="2:100" ht="15" x14ac:dyDescent="0.25">
      <c r="B4" s="90" t="s">
        <v>6</v>
      </c>
      <c r="C4" s="90" t="s">
        <v>138</v>
      </c>
      <c r="D4" s="90" t="s">
        <v>144</v>
      </c>
      <c r="E4" s="91" t="s">
        <v>696</v>
      </c>
      <c r="F4" s="86" t="s">
        <v>8</v>
      </c>
      <c r="G4" s="86" t="s">
        <v>55</v>
      </c>
      <c r="M4"/>
      <c r="N4"/>
      <c r="O4"/>
      <c r="P4"/>
      <c r="Q4"/>
      <c r="R4"/>
      <c r="S4"/>
      <c r="T4"/>
      <c r="U4"/>
    </row>
    <row r="5" spans="2:100" ht="15" x14ac:dyDescent="0.25">
      <c r="C5" s="90" t="s">
        <v>139</v>
      </c>
      <c r="D5" s="90" t="s">
        <v>145</v>
      </c>
      <c r="E5" s="91" t="s">
        <v>694</v>
      </c>
      <c r="F5" s="86" t="s">
        <v>6</v>
      </c>
      <c r="G5" s="86" t="s">
        <v>59</v>
      </c>
      <c r="M5"/>
      <c r="N5"/>
      <c r="O5"/>
      <c r="P5"/>
      <c r="Q5"/>
      <c r="R5"/>
      <c r="S5"/>
    </row>
    <row r="6" spans="2:100" ht="15" x14ac:dyDescent="0.25">
      <c r="D6" s="90" t="s">
        <v>358</v>
      </c>
      <c r="E6" s="91" t="s">
        <v>89</v>
      </c>
      <c r="F6" s="86" t="s">
        <v>8</v>
      </c>
      <c r="G6" s="86" t="s">
        <v>52</v>
      </c>
      <c r="M6"/>
      <c r="N6"/>
      <c r="O6"/>
      <c r="P6"/>
      <c r="Q6"/>
      <c r="R6"/>
      <c r="S6"/>
      <c r="AN6" s="592" t="s">
        <v>344</v>
      </c>
      <c r="AO6" s="590"/>
      <c r="AP6" s="590"/>
      <c r="AQ6" s="590"/>
      <c r="AR6" s="590"/>
      <c r="AS6" s="590"/>
      <c r="AT6" s="590"/>
      <c r="AU6" s="590"/>
      <c r="AV6" s="590"/>
      <c r="AW6" s="590"/>
      <c r="AX6" s="591"/>
      <c r="AY6" s="590"/>
      <c r="AZ6" s="590"/>
      <c r="BA6" s="590"/>
      <c r="BB6" s="590"/>
      <c r="BC6" s="590"/>
      <c r="BD6" s="590"/>
      <c r="BE6" s="590"/>
      <c r="BF6" s="590"/>
      <c r="BG6" s="590"/>
      <c r="BH6" s="590"/>
      <c r="BI6" s="590"/>
      <c r="BJ6" s="590"/>
      <c r="BK6" s="590"/>
      <c r="BL6" s="590"/>
      <c r="BM6" s="590"/>
      <c r="BN6" s="590"/>
      <c r="BO6" s="590"/>
      <c r="BP6" s="590"/>
      <c r="BQ6" s="590"/>
      <c r="BR6" s="590"/>
      <c r="BS6" s="590"/>
      <c r="BT6" s="590"/>
      <c r="BU6" s="590"/>
      <c r="BV6" s="590"/>
      <c r="BW6" s="590"/>
      <c r="BX6" s="590"/>
      <c r="BY6" s="590"/>
      <c r="BZ6" s="590"/>
      <c r="CA6" s="590"/>
      <c r="CB6" s="590"/>
      <c r="CC6" s="590"/>
      <c r="CD6" s="590"/>
      <c r="CE6" s="590"/>
      <c r="CF6" s="590"/>
      <c r="CG6" s="590"/>
      <c r="CH6" s="590"/>
      <c r="CI6" s="590"/>
      <c r="CJ6" s="590"/>
      <c r="CK6" s="590"/>
      <c r="CL6" s="590"/>
      <c r="CM6" s="590"/>
      <c r="CN6" s="590"/>
      <c r="CO6" s="590"/>
      <c r="CP6" s="590"/>
      <c r="CQ6" s="590"/>
      <c r="CR6" s="590"/>
      <c r="CS6" s="590"/>
      <c r="CT6" s="590"/>
      <c r="CU6" s="590"/>
      <c r="CV6" s="590"/>
    </row>
    <row r="7" spans="2:100" ht="15" x14ac:dyDescent="0.25">
      <c r="D7" s="90" t="s">
        <v>146</v>
      </c>
      <c r="E7" s="91" t="s">
        <v>1075</v>
      </c>
      <c r="F7" s="86" t="s">
        <v>8</v>
      </c>
      <c r="G7" s="86" t="s">
        <v>60</v>
      </c>
      <c r="M7"/>
      <c r="N7"/>
      <c r="O7"/>
      <c r="P7"/>
      <c r="Q7"/>
      <c r="R7"/>
      <c r="S7"/>
    </row>
    <row r="8" spans="2:100" ht="15" x14ac:dyDescent="0.25">
      <c r="D8" s="93"/>
      <c r="E8" s="91" t="s">
        <v>699</v>
      </c>
      <c r="F8" s="86" t="s">
        <v>8</v>
      </c>
      <c r="G8" s="86" t="s">
        <v>77</v>
      </c>
      <c r="M8"/>
      <c r="N8"/>
      <c r="O8"/>
      <c r="P8"/>
      <c r="Q8"/>
      <c r="R8"/>
      <c r="S8"/>
    </row>
    <row r="9" spans="2:100" x14ac:dyDescent="0.2">
      <c r="D9" s="93"/>
      <c r="E9" s="86" t="s">
        <v>703</v>
      </c>
      <c r="F9" s="86" t="s">
        <v>8</v>
      </c>
      <c r="G9" s="86" t="s">
        <v>51</v>
      </c>
      <c r="L9" s="92"/>
      <c r="M9" s="92"/>
      <c r="N9" s="94"/>
    </row>
    <row r="10" spans="2:100" x14ac:dyDescent="0.2">
      <c r="D10" s="93"/>
      <c r="E10" s="91" t="s">
        <v>10</v>
      </c>
      <c r="F10" s="86" t="s">
        <v>8</v>
      </c>
      <c r="G10" s="86" t="s">
        <v>57</v>
      </c>
      <c r="L10" s="92"/>
      <c r="M10" s="92"/>
      <c r="N10" s="94"/>
    </row>
    <row r="11" spans="2:100" x14ac:dyDescent="0.2">
      <c r="D11" s="93"/>
      <c r="E11" s="91" t="s">
        <v>742</v>
      </c>
      <c r="F11" s="86" t="s">
        <v>8</v>
      </c>
      <c r="G11" s="86" t="s">
        <v>54</v>
      </c>
      <c r="L11" s="92"/>
      <c r="M11" s="92"/>
      <c r="N11" s="94"/>
    </row>
    <row r="12" spans="2:100" x14ac:dyDescent="0.2">
      <c r="D12" s="93"/>
      <c r="E12" s="95" t="s">
        <v>72</v>
      </c>
      <c r="F12" s="86" t="s">
        <v>8</v>
      </c>
      <c r="G12" s="86" t="s">
        <v>58</v>
      </c>
      <c r="L12" s="92"/>
      <c r="M12" s="92"/>
      <c r="N12" s="94"/>
    </row>
    <row r="13" spans="2:100" x14ac:dyDescent="0.2">
      <c r="D13" s="93"/>
      <c r="E13" s="96" t="s">
        <v>71</v>
      </c>
      <c r="F13" s="86" t="s">
        <v>6</v>
      </c>
      <c r="G13" s="86" t="s">
        <v>53</v>
      </c>
      <c r="L13" s="92"/>
      <c r="M13" s="92"/>
      <c r="N13" s="94"/>
    </row>
    <row r="14" spans="2:100" x14ac:dyDescent="0.2">
      <c r="D14" s="93"/>
      <c r="E14" s="91" t="s">
        <v>701</v>
      </c>
      <c r="F14" s="86" t="s">
        <v>8</v>
      </c>
      <c r="G14" s="86" t="s">
        <v>1</v>
      </c>
      <c r="L14" s="92"/>
      <c r="M14" s="92"/>
      <c r="N14" s="94"/>
    </row>
    <row r="15" spans="2:100" x14ac:dyDescent="0.2">
      <c r="D15" s="93"/>
      <c r="E15" s="91" t="s">
        <v>11</v>
      </c>
      <c r="F15" s="86" t="s">
        <v>8</v>
      </c>
      <c r="L15" s="92"/>
      <c r="M15" s="92"/>
      <c r="N15" s="94"/>
    </row>
    <row r="16" spans="2:100" x14ac:dyDescent="0.2">
      <c r="D16" s="93"/>
      <c r="E16" s="96" t="s">
        <v>700</v>
      </c>
      <c r="F16" s="86" t="s">
        <v>8</v>
      </c>
      <c r="L16" s="92"/>
      <c r="M16" s="92"/>
      <c r="N16" s="94"/>
    </row>
    <row r="17" spans="2:56" x14ac:dyDescent="0.2">
      <c r="D17" s="93"/>
      <c r="E17" s="91" t="s">
        <v>62</v>
      </c>
      <c r="F17" s="86" t="s">
        <v>8</v>
      </c>
      <c r="L17" s="92"/>
      <c r="M17" s="92"/>
      <c r="N17" s="94"/>
    </row>
    <row r="18" spans="2:56" x14ac:dyDescent="0.2">
      <c r="D18" s="93"/>
      <c r="E18" s="97" t="s">
        <v>9</v>
      </c>
      <c r="F18" s="86" t="s">
        <v>8</v>
      </c>
      <c r="L18" s="92"/>
      <c r="M18" s="92"/>
      <c r="N18" s="94"/>
      <c r="AY18" s="93"/>
    </row>
    <row r="19" spans="2:56" x14ac:dyDescent="0.2">
      <c r="D19" s="93"/>
      <c r="E19" s="96" t="s">
        <v>704</v>
      </c>
      <c r="F19" s="96" t="s">
        <v>6</v>
      </c>
      <c r="L19" s="92"/>
      <c r="M19" s="92"/>
      <c r="N19" s="94"/>
      <c r="AY19" s="93"/>
    </row>
    <row r="20" spans="2:56" x14ac:dyDescent="0.2">
      <c r="D20" s="93"/>
      <c r="E20" s="91" t="s">
        <v>85</v>
      </c>
      <c r="F20" s="86" t="s">
        <v>8</v>
      </c>
      <c r="L20" s="92"/>
      <c r="M20" s="92"/>
      <c r="N20" s="94"/>
      <c r="AX20" s="91"/>
      <c r="AY20" s="93"/>
    </row>
    <row r="21" spans="2:56" x14ac:dyDescent="0.2">
      <c r="D21" s="93"/>
      <c r="E21" s="91" t="s">
        <v>702</v>
      </c>
      <c r="F21" s="86" t="s">
        <v>8</v>
      </c>
      <c r="L21" s="92"/>
      <c r="M21" s="92"/>
      <c r="N21" s="94"/>
      <c r="AX21" s="91"/>
      <c r="AY21" s="93"/>
    </row>
    <row r="22" spans="2:56" x14ac:dyDescent="0.2">
      <c r="D22" s="93"/>
      <c r="E22" s="97" t="s">
        <v>86</v>
      </c>
      <c r="F22" s="86" t="s">
        <v>8</v>
      </c>
      <c r="L22" s="92"/>
      <c r="M22" s="92"/>
      <c r="N22" s="94"/>
      <c r="AX22" s="91"/>
      <c r="AY22" s="93"/>
    </row>
    <row r="23" spans="2:56" x14ac:dyDescent="0.2">
      <c r="D23" s="93"/>
      <c r="E23" s="91" t="s">
        <v>88</v>
      </c>
      <c r="F23" s="86" t="s">
        <v>8</v>
      </c>
      <c r="L23" s="92"/>
      <c r="M23" s="92"/>
      <c r="N23" s="94"/>
      <c r="AX23" s="91"/>
      <c r="AY23" s="93"/>
    </row>
    <row r="24" spans="2:56" x14ac:dyDescent="0.2">
      <c r="F24" s="91"/>
      <c r="AS24" s="88"/>
      <c r="AT24" s="88"/>
      <c r="AU24" s="88"/>
      <c r="AW24" s="88" t="s">
        <v>345</v>
      </c>
      <c r="AX24" s="98" t="s">
        <v>236</v>
      </c>
      <c r="AY24" s="88" t="s">
        <v>347</v>
      </c>
      <c r="AZ24" s="88" t="s">
        <v>350</v>
      </c>
      <c r="BB24" s="86" t="s">
        <v>470</v>
      </c>
      <c r="BC24" s="86" t="s">
        <v>471</v>
      </c>
    </row>
    <row r="25" spans="2:56" x14ac:dyDescent="0.2">
      <c r="B25" s="1061" t="s">
        <v>149</v>
      </c>
      <c r="C25" s="1061"/>
      <c r="D25" s="1061"/>
      <c r="E25" s="1061"/>
      <c r="F25" s="1061"/>
      <c r="G25" s="1061"/>
      <c r="H25" s="1061"/>
      <c r="I25" s="1061"/>
      <c r="J25" s="1061"/>
      <c r="K25" s="1061"/>
      <c r="L25" s="1061"/>
      <c r="M25" s="1061"/>
      <c r="N25" s="1061"/>
      <c r="O25" s="1061"/>
      <c r="P25" s="1061"/>
      <c r="Q25" s="1061"/>
      <c r="R25" s="1061"/>
      <c r="S25" s="1061"/>
      <c r="T25" s="1061"/>
      <c r="U25" s="1061"/>
      <c r="V25" s="1061"/>
      <c r="W25" s="1061"/>
      <c r="X25" s="1061"/>
      <c r="Y25" s="1061"/>
      <c r="Z25" s="1061"/>
      <c r="AA25" s="1061"/>
      <c r="AB25" s="1061"/>
      <c r="AC25" s="1061"/>
      <c r="AD25" s="1061"/>
      <c r="AE25" s="1061"/>
      <c r="AF25" s="1061"/>
      <c r="AG25" s="1061"/>
      <c r="AH25" s="1061"/>
      <c r="AI25" s="169"/>
      <c r="AW25" s="86" t="s">
        <v>61</v>
      </c>
      <c r="AX25" s="91" t="s">
        <v>695</v>
      </c>
      <c r="AY25" s="99" t="b">
        <v>0</v>
      </c>
      <c r="AZ25" s="107" t="str">
        <f>IF(AY25=TRUE,AX25,"")</f>
        <v/>
      </c>
      <c r="BB25" s="86" t="s">
        <v>359</v>
      </c>
      <c r="BC25" s="86">
        <v>1</v>
      </c>
    </row>
    <row r="26" spans="2:56" ht="15" x14ac:dyDescent="0.25">
      <c r="B26" s="88" t="s">
        <v>346</v>
      </c>
      <c r="C26" s="88" t="s">
        <v>474</v>
      </c>
      <c r="D26" s="88"/>
      <c r="AW26" s="93" t="s">
        <v>1000</v>
      </c>
      <c r="AX26" s="19" t="s">
        <v>696</v>
      </c>
      <c r="AY26" s="99" t="b">
        <v>0</v>
      </c>
      <c r="AZ26" s="107" t="str">
        <f t="shared" ref="AZ26:AZ44" si="0">IF(AY26=TRUE,AX26,"")</f>
        <v/>
      </c>
      <c r="BB26" s="86" t="s">
        <v>586</v>
      </c>
      <c r="BC26" s="86">
        <v>2</v>
      </c>
      <c r="BD26" s="87"/>
    </row>
    <row r="27" spans="2:56" ht="12.75" customHeight="1" x14ac:dyDescent="0.2">
      <c r="B27" s="86" t="s">
        <v>600</v>
      </c>
      <c r="C27" s="90" t="s">
        <v>359</v>
      </c>
      <c r="D27" s="93"/>
      <c r="AW27" s="93" t="s">
        <v>1001</v>
      </c>
      <c r="AX27" s="91" t="s">
        <v>694</v>
      </c>
      <c r="AY27" s="99" t="b">
        <v>0</v>
      </c>
      <c r="AZ27" s="107" t="str">
        <f t="shared" si="0"/>
        <v/>
      </c>
      <c r="BC27" s="86">
        <v>3</v>
      </c>
      <c r="BD27" s="87"/>
    </row>
    <row r="28" spans="2:56" x14ac:dyDescent="0.2">
      <c r="B28" s="86" t="s">
        <v>142</v>
      </c>
      <c r="C28" s="90" t="s">
        <v>78</v>
      </c>
      <c r="D28" s="93"/>
      <c r="AW28" s="86" t="s">
        <v>1002</v>
      </c>
      <c r="AX28" s="91" t="s">
        <v>89</v>
      </c>
      <c r="AY28" s="99" t="b">
        <v>0</v>
      </c>
      <c r="AZ28" s="107" t="str">
        <f t="shared" si="0"/>
        <v/>
      </c>
      <c r="BC28" s="86">
        <v>4</v>
      </c>
      <c r="BD28" s="87"/>
    </row>
    <row r="29" spans="2:56" x14ac:dyDescent="0.2">
      <c r="B29" s="86" t="s">
        <v>143</v>
      </c>
      <c r="C29" s="90" t="s">
        <v>55</v>
      </c>
      <c r="D29" s="93"/>
      <c r="AW29" s="86" t="s">
        <v>401</v>
      </c>
      <c r="AX29" s="91" t="s">
        <v>1075</v>
      </c>
      <c r="AY29" s="99" t="b">
        <v>0</v>
      </c>
      <c r="AZ29" s="107" t="str">
        <f t="shared" si="0"/>
        <v/>
      </c>
      <c r="BC29" s="86">
        <v>5</v>
      </c>
      <c r="BD29" s="87"/>
    </row>
    <row r="30" spans="2:56" x14ac:dyDescent="0.2">
      <c r="B30" s="86" t="s">
        <v>1065</v>
      </c>
      <c r="C30" s="90" t="s">
        <v>59</v>
      </c>
      <c r="D30" s="93"/>
      <c r="AW30" s="86" t="s">
        <v>400</v>
      </c>
      <c r="AX30" s="91" t="s">
        <v>699</v>
      </c>
      <c r="AY30" s="99" t="b">
        <v>0</v>
      </c>
      <c r="AZ30" s="107" t="str">
        <f t="shared" si="0"/>
        <v/>
      </c>
      <c r="BD30" s="87"/>
    </row>
    <row r="31" spans="2:56" x14ac:dyDescent="0.2">
      <c r="B31" s="86" t="s">
        <v>1066</v>
      </c>
      <c r="C31" s="90" t="s">
        <v>52</v>
      </c>
      <c r="D31" s="93"/>
      <c r="AW31" s="86" t="s">
        <v>998</v>
      </c>
      <c r="AX31" s="91" t="s">
        <v>703</v>
      </c>
      <c r="AY31" s="99" t="b">
        <v>0</v>
      </c>
      <c r="AZ31" s="107" t="str">
        <f t="shared" si="0"/>
        <v/>
      </c>
      <c r="BD31" s="87"/>
    </row>
    <row r="32" spans="2:56" x14ac:dyDescent="0.2">
      <c r="B32" s="86" t="s">
        <v>148</v>
      </c>
      <c r="C32" s="90" t="s">
        <v>60</v>
      </c>
      <c r="D32" s="93"/>
      <c r="AW32" s="86" t="s">
        <v>999</v>
      </c>
      <c r="AX32" s="91" t="s">
        <v>10</v>
      </c>
      <c r="AY32" s="99" t="b">
        <v>0</v>
      </c>
      <c r="AZ32" s="107" t="str">
        <f t="shared" si="0"/>
        <v/>
      </c>
      <c r="BD32" s="87"/>
    </row>
    <row r="33" spans="2:57" x14ac:dyDescent="0.2">
      <c r="C33" s="90" t="s">
        <v>77</v>
      </c>
      <c r="D33" s="93"/>
      <c r="AW33" s="86" t="s">
        <v>1073</v>
      </c>
      <c r="AX33" s="91" t="s">
        <v>705</v>
      </c>
      <c r="AY33" s="99" t="b">
        <v>0</v>
      </c>
      <c r="AZ33" s="107" t="str">
        <f t="shared" si="0"/>
        <v/>
      </c>
      <c r="BD33" s="87"/>
    </row>
    <row r="34" spans="2:57" x14ac:dyDescent="0.2">
      <c r="C34" s="90" t="s">
        <v>51</v>
      </c>
      <c r="D34" s="93"/>
      <c r="AW34" s="86" t="s">
        <v>1074</v>
      </c>
      <c r="AX34" s="95" t="s">
        <v>72</v>
      </c>
      <c r="AY34" s="99" t="b">
        <v>0</v>
      </c>
      <c r="AZ34" s="107" t="str">
        <f t="shared" si="0"/>
        <v/>
      </c>
      <c r="BD34" s="87"/>
    </row>
    <row r="35" spans="2:57" ht="15" x14ac:dyDescent="0.25">
      <c r="C35" s="90" t="s">
        <v>57</v>
      </c>
      <c r="D35" s="93"/>
      <c r="AX35" s="19" t="s">
        <v>71</v>
      </c>
      <c r="AY35" s="99" t="b">
        <v>0</v>
      </c>
      <c r="AZ35" s="107" t="str">
        <f t="shared" si="0"/>
        <v/>
      </c>
      <c r="BD35" s="87"/>
      <c r="BE35" s="19"/>
    </row>
    <row r="36" spans="2:57" ht="15" x14ac:dyDescent="0.25">
      <c r="C36" s="90" t="s">
        <v>54</v>
      </c>
      <c r="D36" s="93"/>
      <c r="AX36" s="91" t="s">
        <v>701</v>
      </c>
      <c r="AY36" s="99" t="b">
        <v>0</v>
      </c>
      <c r="AZ36" s="107" t="str">
        <f t="shared" si="0"/>
        <v/>
      </c>
      <c r="BD36" s="87"/>
      <c r="BE36" s="19"/>
    </row>
    <row r="37" spans="2:57" x14ac:dyDescent="0.2">
      <c r="C37" s="90" t="s">
        <v>58</v>
      </c>
      <c r="D37" s="93"/>
      <c r="AX37" s="91" t="s">
        <v>11</v>
      </c>
      <c r="AY37" s="99" t="b">
        <v>0</v>
      </c>
      <c r="AZ37" s="107" t="str">
        <f t="shared" si="0"/>
        <v/>
      </c>
      <c r="BD37" s="87"/>
    </row>
    <row r="38" spans="2:57" x14ac:dyDescent="0.2">
      <c r="C38" s="90" t="s">
        <v>53</v>
      </c>
      <c r="D38" s="93"/>
      <c r="AX38" s="96" t="s">
        <v>700</v>
      </c>
      <c r="AY38" s="99" t="b">
        <v>0</v>
      </c>
      <c r="AZ38" s="107" t="str">
        <f t="shared" si="0"/>
        <v/>
      </c>
      <c r="BD38" s="87"/>
    </row>
    <row r="39" spans="2:57" x14ac:dyDescent="0.2">
      <c r="C39" s="90" t="s">
        <v>1</v>
      </c>
      <c r="D39" s="93"/>
      <c r="AX39" s="91" t="s">
        <v>62</v>
      </c>
      <c r="AY39" s="99" t="b">
        <v>0</v>
      </c>
      <c r="AZ39" s="107" t="str">
        <f t="shared" si="0"/>
        <v/>
      </c>
      <c r="BD39" s="87"/>
    </row>
    <row r="40" spans="2:57" x14ac:dyDescent="0.2">
      <c r="D40" s="93"/>
      <c r="AX40" s="97" t="s">
        <v>9</v>
      </c>
      <c r="AY40" s="99" t="b">
        <v>0</v>
      </c>
      <c r="AZ40" s="107" t="str">
        <f t="shared" si="0"/>
        <v/>
      </c>
      <c r="BD40" s="87"/>
    </row>
    <row r="41" spans="2:57" x14ac:dyDescent="0.2">
      <c r="D41" s="93"/>
      <c r="AX41" s="91" t="s">
        <v>85</v>
      </c>
      <c r="AY41" s="99" t="b">
        <v>0</v>
      </c>
      <c r="AZ41" s="107" t="str">
        <f t="shared" si="0"/>
        <v/>
      </c>
      <c r="BD41" s="87"/>
    </row>
    <row r="42" spans="2:57" ht="15" customHeight="1" x14ac:dyDescent="0.2">
      <c r="D42" s="93"/>
      <c r="AX42" s="91" t="s">
        <v>702</v>
      </c>
      <c r="AY42" s="99" t="b">
        <v>0</v>
      </c>
      <c r="AZ42" s="107"/>
      <c r="BD42" s="87"/>
    </row>
    <row r="43" spans="2:57" ht="15" customHeight="1" x14ac:dyDescent="0.2">
      <c r="D43" s="93"/>
      <c r="AX43" s="97" t="s">
        <v>86</v>
      </c>
      <c r="AY43" s="99" t="b">
        <v>0</v>
      </c>
      <c r="AZ43" s="107"/>
      <c r="BD43" s="87"/>
    </row>
    <row r="44" spans="2:57" x14ac:dyDescent="0.2">
      <c r="D44" s="93"/>
      <c r="AX44" s="91" t="s">
        <v>88</v>
      </c>
      <c r="AY44" s="99" t="b">
        <v>0</v>
      </c>
      <c r="AZ44" s="107" t="str">
        <f t="shared" si="0"/>
        <v/>
      </c>
      <c r="BD44" s="87"/>
    </row>
    <row r="45" spans="2:57" x14ac:dyDescent="0.2">
      <c r="AX45" s="86"/>
      <c r="BD45" s="87"/>
    </row>
    <row r="46" spans="2:57" x14ac:dyDescent="0.2">
      <c r="AX46" s="86"/>
      <c r="BC46" s="86" t="s">
        <v>472</v>
      </c>
      <c r="BD46" s="87"/>
      <c r="BE46" s="86" t="s">
        <v>552</v>
      </c>
    </row>
    <row r="47" spans="2:57" x14ac:dyDescent="0.2">
      <c r="B47" s="86" t="s">
        <v>130</v>
      </c>
      <c r="D47" s="88" t="s">
        <v>140</v>
      </c>
      <c r="E47" s="88" t="s">
        <v>141</v>
      </c>
      <c r="F47" s="88" t="s">
        <v>454</v>
      </c>
      <c r="G47" s="88" t="s">
        <v>585</v>
      </c>
      <c r="J47" s="88"/>
      <c r="K47" s="88"/>
      <c r="N47" s="88"/>
      <c r="AV47" s="88" t="s">
        <v>130</v>
      </c>
      <c r="AX47" s="88" t="s">
        <v>140</v>
      </c>
      <c r="AY47" s="88" t="s">
        <v>141</v>
      </c>
      <c r="AZ47" s="86" t="s">
        <v>473</v>
      </c>
      <c r="BC47" s="90">
        <v>1</v>
      </c>
      <c r="BD47" s="87"/>
      <c r="BE47" s="156">
        <v>21</v>
      </c>
    </row>
    <row r="48" spans="2:57" x14ac:dyDescent="0.2">
      <c r="C48" s="88" t="s">
        <v>131</v>
      </c>
      <c r="D48" s="90">
        <f>F48-1</f>
        <v>0</v>
      </c>
      <c r="E48" s="90" t="str">
        <f>INDEX(FuelFilter,F48)</f>
        <v>Electric</v>
      </c>
      <c r="F48" s="90">
        <v>1</v>
      </c>
      <c r="AW48" s="88" t="s">
        <v>131</v>
      </c>
      <c r="AX48" s="90">
        <f>AZ48-1</f>
        <v>0</v>
      </c>
      <c r="AY48" s="90" t="str">
        <f>INDEX(FuelFilter,AX48+1)</f>
        <v>Electric</v>
      </c>
      <c r="AZ48" s="90">
        <v>1</v>
      </c>
      <c r="BD48" s="87"/>
    </row>
    <row r="49" spans="1:106" x14ac:dyDescent="0.2">
      <c r="C49" s="88" t="s">
        <v>554</v>
      </c>
      <c r="D49" s="90">
        <f>F49-1</f>
        <v>0</v>
      </c>
      <c r="E49" s="90" t="str">
        <f>INDEX(HHFilterBy,D49+1)</f>
        <v>All</v>
      </c>
      <c r="F49" s="90">
        <v>1</v>
      </c>
      <c r="G49" s="90" t="e">
        <f>INDEX(EndUse,D49)</f>
        <v>#VALUE!</v>
      </c>
      <c r="J49" s="93"/>
      <c r="K49" s="93"/>
      <c r="AW49" s="88" t="s">
        <v>348</v>
      </c>
      <c r="AX49" s="90">
        <f>BC47-1</f>
        <v>0</v>
      </c>
      <c r="AY49" s="90" t="str">
        <f>INDEX(T1FilterByNew,AX49+1)</f>
        <v>All</v>
      </c>
      <c r="BD49" s="87"/>
      <c r="CP49" s="86" t="b">
        <f ca="1">AND(IFERROR(2012&gt;YEAR('Intermediate Data'!$CS56),FALSE),IFERROR(2012&gt;YEAR('Intermediate Data'!$CP56),FALSE))</f>
        <v>0</v>
      </c>
    </row>
    <row r="50" spans="1:106" x14ac:dyDescent="0.2">
      <c r="C50" s="88" t="s">
        <v>354</v>
      </c>
      <c r="D50" s="90">
        <f>F50-1</f>
        <v>0</v>
      </c>
      <c r="E50" s="90" t="str">
        <f>INDEX(Territory,D50+1)</f>
        <v>All IOUs</v>
      </c>
      <c r="F50" s="90">
        <v>1</v>
      </c>
      <c r="AW50" s="88" t="s">
        <v>354</v>
      </c>
      <c r="AX50" s="90">
        <f>AZ50-1</f>
        <v>0</v>
      </c>
      <c r="AY50" s="90" t="str">
        <f>INDEX(Territory,AZ50)</f>
        <v>All IOUs</v>
      </c>
      <c r="AZ50" s="86">
        <v>1</v>
      </c>
      <c r="BD50" s="87"/>
      <c r="CP50" s="86" t="b">
        <f ca="1">AND(NOT(IFERROR(2012&gt;YEAR('Intermediate Data'!$CS56),TRUE)),IFERROR(2012&gt;YEAR('Intermediate Data'!$CP56),FALSE))</f>
        <v>1</v>
      </c>
    </row>
    <row r="51" spans="1:106" ht="14.25" x14ac:dyDescent="0.3">
      <c r="C51" s="88" t="s">
        <v>147</v>
      </c>
      <c r="D51" s="90">
        <v>1</v>
      </c>
      <c r="E51" s="90" t="str">
        <f>INDEX(HHVSort,D51)</f>
        <v>Alphabetical</v>
      </c>
      <c r="AW51" s="88" t="s">
        <v>147</v>
      </c>
      <c r="AX51" s="90">
        <v>2</v>
      </c>
      <c r="AY51" s="90" t="str">
        <f>INDEX(T1Sort,AX51)</f>
        <v>UES Savings - Best on Market</v>
      </c>
      <c r="BD51" s="87"/>
      <c r="CP51" s="86" t="b">
        <f ca="1">AND(IFERROR(2012&gt;YEAR('Intermediate Data'!$CS56),FALSE),NOT(IFERROR(2012&gt;YEAR('Intermediate Data'!$CP56),FALSE)))</f>
        <v>0</v>
      </c>
      <c r="CQ51" s="172"/>
    </row>
    <row r="52" spans="1:106" ht="15" x14ac:dyDescent="0.25">
      <c r="C52"/>
      <c r="D52" s="143"/>
      <c r="E52"/>
      <c r="F52" s="143"/>
      <c r="G52"/>
      <c r="H52"/>
      <c r="I52" s="143"/>
      <c r="J52" s="143"/>
      <c r="K52" s="143"/>
      <c r="AX52" s="86"/>
      <c r="AZ52" s="87"/>
      <c r="BD52" s="87"/>
      <c r="CP52" s="119" t="b">
        <f ca="1">AND(OR(IFERROR(YEAR('Device View'!AV$9)=YEAR('Intermediate Data'!$BQ56),FALSE),IFERROR(YEAR('Device View'!AV$9)=YEAR('Intermediate Data'!$BR56),FALSE)),OR(IFERROR(YEAR('Device View'!AV$9)=YEAR('Intermediate Data'!$BO56),FALSE),IFERROR(YEAR('Device View'!AV$9)=YEAR('Intermediate Data'!$BP56),FALSE)))</f>
        <v>0</v>
      </c>
      <c r="CQ52" s="119"/>
    </row>
    <row r="53" spans="1:106" x14ac:dyDescent="0.2">
      <c r="AX53" s="86"/>
      <c r="AZ53" s="87"/>
      <c r="BD53" s="87"/>
      <c r="CP53" s="119" t="b">
        <f ca="1">OR(IFERROR(YEAR('Device View'!AV$9)=YEAR('Intermediate Data'!$BQ56),FALSE),IFERROR(YEAR('Device View'!AV$9)=YEAR('Intermediate Data'!$BR56),FALSE))</f>
        <v>0</v>
      </c>
      <c r="CQ53" s="119"/>
    </row>
    <row r="54" spans="1:106" x14ac:dyDescent="0.2">
      <c r="B54" s="86" t="str">
        <f>B27</f>
        <v>Alphabetical</v>
      </c>
      <c r="I54" s="90" t="str">
        <f>B28</f>
        <v>Penetration</v>
      </c>
      <c r="J54" s="90"/>
      <c r="K54" s="90"/>
      <c r="L54" s="90"/>
      <c r="M54" s="90"/>
      <c r="N54" s="90"/>
      <c r="P54" s="90" t="str">
        <f>B29</f>
        <v>Saturation</v>
      </c>
      <c r="Q54" s="90"/>
      <c r="R54" s="90"/>
      <c r="S54" s="90" t="str">
        <f>B30</f>
        <v>ESTAR CA vs National</v>
      </c>
      <c r="T54" s="90" t="str">
        <f>B31</f>
        <v>ESTAR US Market Share</v>
      </c>
      <c r="U54" s="90" t="str">
        <f>B32</f>
        <v>ESTAR UEC savings</v>
      </c>
      <c r="V54" s="90"/>
      <c r="AV54" s="88"/>
      <c r="AW54" s="86" t="str">
        <f>AW25</f>
        <v>Baseline UEC</v>
      </c>
      <c r="AX54" s="90" t="str">
        <f>AW26</f>
        <v>UES Savings - Best on Market</v>
      </c>
      <c r="AY54" s="93" t="str">
        <f>AW27</f>
        <v>UES Savings - Energy Star</v>
      </c>
      <c r="AZ54" s="86" t="str">
        <f>AW28</f>
        <v>UES Savings - Other</v>
      </c>
      <c r="BB54" s="90" t="str">
        <f>IF($AX$50=0,$AW$32,"")</f>
        <v>UES Navigant</v>
      </c>
      <c r="BC54" s="90" t="str">
        <f>IF($AX$50=1,$AW$32,"")</f>
        <v/>
      </c>
      <c r="BD54" s="90" t="str">
        <f>IF($AX$50=2,$AW$32,"")</f>
        <v/>
      </c>
      <c r="BE54" s="90" t="str">
        <f>IF($AX$50=3,$AW$32,"")</f>
        <v/>
      </c>
      <c r="BF54" s="90" t="str">
        <f>IF($AX$50=4,$AW$32,"")</f>
        <v/>
      </c>
      <c r="BG54" s="90"/>
      <c r="BH54" s="90" t="str">
        <f>IF($AX$50=0,$AW$31,"")</f>
        <v>Technical Potential</v>
      </c>
      <c r="BI54" s="90" t="str">
        <f>IF($AX$50=1,$AW$31,"")</f>
        <v/>
      </c>
      <c r="BJ54" s="90" t="str">
        <f>IF($AX$50=2,$AW$31,"")</f>
        <v/>
      </c>
      <c r="BK54" s="90" t="str">
        <f>IF($AX$50=3,$AW$31,"")</f>
        <v/>
      </c>
      <c r="BL54" s="90" t="str">
        <f>IF($AX$50=4,$AW$31,"")</f>
        <v/>
      </c>
      <c r="BM54" s="90" t="str">
        <f>AW29</f>
        <v>Energy Star Market Share</v>
      </c>
      <c r="BN54" s="90"/>
      <c r="BO54" s="90"/>
      <c r="BV54" s="90" t="str">
        <f>AW30</f>
        <v>C&amp;S Changes</v>
      </c>
      <c r="BW54" s="90" t="str">
        <f>AW33</f>
        <v>Title 20 Current UES</v>
      </c>
      <c r="BX54" s="90"/>
      <c r="BY54" s="90" t="str">
        <f>AW34</f>
        <v>Title 20 Future UES</v>
      </c>
      <c r="BZ54" s="90"/>
      <c r="CP54" s="119" t="b">
        <f ca="1">OR(IFERROR(YEAR('Device View'!AV$9)=YEAR('Intermediate Data'!$BO56),FALSE),IFERROR(YEAR('Device View'!AV$9)=YEAR('Intermediate Data'!$BP56),FALSE))</f>
        <v>0</v>
      </c>
      <c r="CQ54" s="119"/>
    </row>
    <row r="55" spans="1:106" ht="115.5" thickBot="1" x14ac:dyDescent="0.25">
      <c r="A55" s="86" t="s">
        <v>132</v>
      </c>
      <c r="B55" s="86" t="s">
        <v>634</v>
      </c>
      <c r="C55" s="86" t="s">
        <v>133</v>
      </c>
      <c r="D55" s="84" t="str">
        <f ca="1">OFFSET(DATA!$H4,0,('Intermediate Data'!$D$50*5))</f>
        <v>Statewide HH Penetration 2000</v>
      </c>
      <c r="E55" s="84" t="str">
        <f ca="1">OFFSET(DATA!$H4,0,('Intermediate Data'!$D$50*5)+1)</f>
        <v>Statewide HH Penetration 2003</v>
      </c>
      <c r="F55" s="84" t="str">
        <f ca="1">OFFSET(DATA!$H4,0,('Intermediate Data'!$D$50*5)+2)</f>
        <v>Statewide HH Penetration 2005</v>
      </c>
      <c r="G55" s="84" t="str">
        <f ca="1">OFFSET(DATA!$H4,0,('Intermediate Data'!$D$50*5)+3)</f>
        <v>Statewide HH Penetration 2009</v>
      </c>
      <c r="H55" s="84" t="str">
        <f ca="1">OFFSET(DATA!$H4,0,('Intermediate Data'!$D$50*5)+4)</f>
        <v>Statewide HH Penetration 2012</v>
      </c>
      <c r="I55" s="170" t="s">
        <v>590</v>
      </c>
      <c r="J55" s="170" t="s">
        <v>0</v>
      </c>
      <c r="K55" s="84" t="str">
        <f ca="1">OFFSET(DATA!$AG4,0,('Intermediate Data'!$D$50*5))</f>
        <v>Statewide HH Saturation 2000</v>
      </c>
      <c r="L55" s="84" t="str">
        <f ca="1">OFFSET(DATA!$AG4,0,('Intermediate Data'!$D$50*5)+1)</f>
        <v>Statewide HH Saturation 2003</v>
      </c>
      <c r="M55" s="84" t="str">
        <f ca="1">OFFSET(DATA!$AG4,0,('Intermediate Data'!$D$50*5)+2)</f>
        <v>Statewide HH Saturation 2005</v>
      </c>
      <c r="N55" s="84" t="str">
        <f ca="1">OFFSET(DATA!$AG4,0,('Intermediate Data'!$D$50*5)+3)</f>
        <v>Statewide HH Saturation 2009</v>
      </c>
      <c r="O55" s="84" t="str">
        <f ca="1">OFFSET(DATA!$AG4,0,('Intermediate Data'!$D$50*5)+4)</f>
        <v>Statewide HH Saturation 2012</v>
      </c>
      <c r="P55" s="170" t="s">
        <v>591</v>
      </c>
      <c r="Q55" s="170" t="s">
        <v>0</v>
      </c>
      <c r="R55" s="698" t="str">
        <f>DATA!BF4</f>
        <v>ENERGY STAR CA Market Share 2011 (New Sales)</v>
      </c>
      <c r="S55" s="84" t="s">
        <v>1067</v>
      </c>
      <c r="T55" s="84" t="str">
        <f>DATA!BH4</f>
        <v>ENERGY STAR National Market Share 2013 (New Sales)</v>
      </c>
      <c r="U55" s="84" t="str">
        <f>DATA!BM4</f>
        <v>ENERGY STAR</v>
      </c>
      <c r="V55" s="85" t="s">
        <v>147</v>
      </c>
      <c r="W55" s="86" t="s">
        <v>134</v>
      </c>
      <c r="X55" s="86" t="s">
        <v>135</v>
      </c>
      <c r="Y55" s="86" t="s">
        <v>136</v>
      </c>
      <c r="AA55" s="3" t="s">
        <v>133</v>
      </c>
      <c r="AB55" s="100" t="str">
        <f t="shared" ref="AB55:AO55" ca="1" si="1">D55</f>
        <v>Statewide HH Penetration 2000</v>
      </c>
      <c r="AC55" s="100" t="str">
        <f t="shared" ca="1" si="1"/>
        <v>Statewide HH Penetration 2003</v>
      </c>
      <c r="AD55" s="100" t="str">
        <f t="shared" ca="1" si="1"/>
        <v>Statewide HH Penetration 2005</v>
      </c>
      <c r="AE55" s="100" t="str">
        <f t="shared" ca="1" si="1"/>
        <v>Statewide HH Penetration 2009</v>
      </c>
      <c r="AF55" s="100" t="str">
        <f t="shared" ca="1" si="1"/>
        <v>Statewide HH Penetration 2012</v>
      </c>
      <c r="AG55" s="100" t="str">
        <f t="shared" si="1"/>
        <v>Most recent Penetration</v>
      </c>
      <c r="AH55" s="100" t="str">
        <f t="shared" si="1"/>
        <v>Source</v>
      </c>
      <c r="AI55" s="100" t="str">
        <f t="shared" ca="1" si="1"/>
        <v>Statewide HH Saturation 2000</v>
      </c>
      <c r="AJ55" s="100" t="str">
        <f t="shared" ca="1" si="1"/>
        <v>Statewide HH Saturation 2003</v>
      </c>
      <c r="AK55" s="100" t="str">
        <f t="shared" ca="1" si="1"/>
        <v>Statewide HH Saturation 2005</v>
      </c>
      <c r="AL55" s="100" t="str">
        <f t="shared" ca="1" si="1"/>
        <v>Statewide HH Saturation 2009</v>
      </c>
      <c r="AM55" s="100" t="str">
        <f t="shared" ca="1" si="1"/>
        <v>Statewide HH Saturation 2012</v>
      </c>
      <c r="AN55" s="100" t="str">
        <f t="shared" si="1"/>
        <v>Most recent saturation</v>
      </c>
      <c r="AO55" s="100" t="str">
        <f t="shared" si="1"/>
        <v>Source</v>
      </c>
      <c r="AP55" s="593" t="s">
        <v>1064</v>
      </c>
      <c r="AQ55" s="100" t="str">
        <f>T55</f>
        <v>ENERGY STAR National Market Share 2013 (New Sales)</v>
      </c>
      <c r="AR55" s="100" t="str">
        <f>U55</f>
        <v>ENERGY STAR</v>
      </c>
      <c r="AU55" s="86" t="s">
        <v>132</v>
      </c>
      <c r="AV55" s="86" t="s">
        <v>133</v>
      </c>
      <c r="AW55" s="86" t="s">
        <v>618</v>
      </c>
      <c r="AX55" s="86" t="s">
        <v>466</v>
      </c>
      <c r="AY55" s="86" t="s">
        <v>180</v>
      </c>
      <c r="AZ55" s="3" t="s">
        <v>1</v>
      </c>
      <c r="BA55" s="3" t="s">
        <v>592</v>
      </c>
      <c r="BB55" s="497" t="s">
        <v>986</v>
      </c>
      <c r="BC55" s="498" t="s">
        <v>966</v>
      </c>
      <c r="BD55" s="498" t="s">
        <v>967</v>
      </c>
      <c r="BE55" s="498" t="s">
        <v>968</v>
      </c>
      <c r="BF55" s="650" t="s">
        <v>969</v>
      </c>
      <c r="BG55" s="666" t="s">
        <v>987</v>
      </c>
      <c r="BH55" s="144" t="s">
        <v>985</v>
      </c>
      <c r="BI55" s="64" t="s">
        <v>981</v>
      </c>
      <c r="BJ55" s="64" t="s">
        <v>982</v>
      </c>
      <c r="BK55" s="64" t="s">
        <v>983</v>
      </c>
      <c r="BL55" s="64" t="s">
        <v>984</v>
      </c>
      <c r="BM55" s="3" t="s">
        <v>401</v>
      </c>
      <c r="BN55" s="3" t="s">
        <v>409</v>
      </c>
      <c r="BO55" s="144" t="s">
        <v>464</v>
      </c>
      <c r="BP55" s="3" t="s">
        <v>397</v>
      </c>
      <c r="BQ55" s="3" t="s">
        <v>410</v>
      </c>
      <c r="BR55" s="144" t="s">
        <v>465</v>
      </c>
      <c r="BS55" s="3" t="s">
        <v>398</v>
      </c>
      <c r="BT55" s="144" t="s">
        <v>597</v>
      </c>
      <c r="BU55" s="144" t="s">
        <v>994</v>
      </c>
      <c r="BV55" s="3" t="s">
        <v>404</v>
      </c>
      <c r="BW55" s="144" t="s">
        <v>1034</v>
      </c>
      <c r="BX55" s="144" t="s">
        <v>1035</v>
      </c>
      <c r="BY55" s="144" t="s">
        <v>1036</v>
      </c>
      <c r="BZ55" s="144" t="s">
        <v>1037</v>
      </c>
      <c r="CA55" s="86" t="s">
        <v>147</v>
      </c>
      <c r="CB55" s="86" t="s">
        <v>134</v>
      </c>
      <c r="CC55" s="86" t="s">
        <v>135</v>
      </c>
      <c r="CD55" s="86" t="s">
        <v>136</v>
      </c>
      <c r="CF55" s="86" t="s">
        <v>133</v>
      </c>
      <c r="CG55" s="86" t="s">
        <v>852</v>
      </c>
      <c r="CH55" s="86" t="s">
        <v>466</v>
      </c>
      <c r="CI55" s="86" t="s">
        <v>180</v>
      </c>
      <c r="CJ55" s="144" t="s">
        <v>1</v>
      </c>
      <c r="CK55" s="3" t="s">
        <v>619</v>
      </c>
      <c r="CL55" s="668" t="str">
        <f ca="1">OFFSET(BB55,0,AX50)</f>
        <v>UES All IOUs Savings</v>
      </c>
      <c r="CM55" s="593" t="s">
        <v>987</v>
      </c>
      <c r="CN55" s="668" t="str">
        <f ca="1">OFFSET(BH55,0,AX50)</f>
        <v>Technical Potential Savings All IOUs</v>
      </c>
      <c r="CO55" s="3" t="s">
        <v>401</v>
      </c>
      <c r="CP55" s="3" t="s">
        <v>409</v>
      </c>
      <c r="CQ55" s="144" t="s">
        <v>464</v>
      </c>
      <c r="CR55" s="3" t="s">
        <v>397</v>
      </c>
      <c r="CS55" s="3" t="s">
        <v>410</v>
      </c>
      <c r="CT55" s="144" t="s">
        <v>465</v>
      </c>
      <c r="CU55" s="3" t="s">
        <v>398</v>
      </c>
      <c r="CV55" s="144" t="s">
        <v>598</v>
      </c>
      <c r="CW55" s="144" t="s">
        <v>996</v>
      </c>
      <c r="CX55" s="593" t="s">
        <v>404</v>
      </c>
      <c r="CY55" s="144" t="s">
        <v>1034</v>
      </c>
      <c r="CZ55" s="144" t="s">
        <v>1035</v>
      </c>
      <c r="DA55" s="144" t="s">
        <v>1036</v>
      </c>
      <c r="DB55" s="144" t="s">
        <v>1037</v>
      </c>
    </row>
    <row r="56" spans="1:106" ht="14.25" customHeight="1" x14ac:dyDescent="0.2">
      <c r="A56" s="90">
        <f ca="1">IF(OFFSET(DATA!F5,0,$D$48)='Intermediate Data'!$E$48,IF(OR($E$49=$C$27,$E$48=$B$4),DATA!A5,IF($G$49=DATA!D5,DATA!A5,"")),"")</f>
        <v>1</v>
      </c>
      <c r="B56" s="90">
        <f ca="1">IF($A56="","",DATA!EH5)</f>
        <v>116</v>
      </c>
      <c r="C56" s="90" t="str">
        <f ca="1">IF($A56="","",DATA!B5)</f>
        <v>Clothes washer</v>
      </c>
      <c r="D56" s="90">
        <f ca="1">IF($A56="","",OFFSET(DATA!$H5,0,($D$50*5)))</f>
        <v>0.79300000000000004</v>
      </c>
      <c r="E56" s="90">
        <f ca="1">IF($A56="","",OFFSET(DATA!$H5,0,($D$50*5)+1))</f>
        <v>0.7706411905121594</v>
      </c>
      <c r="F56" s="90">
        <f ca="1">IF($A56="","",OFFSET(DATA!$H5,0,($D$50*5)+2))</f>
        <v>0.82099999999999995</v>
      </c>
      <c r="G56" s="90">
        <f ca="1">IF($A56="","",OFFSET(DATA!$H5,0,($D$50*5)+3))</f>
        <v>0.81276296876179988</v>
      </c>
      <c r="H56" s="90">
        <f ca="1">IF($A56="","",OFFSET(DATA!$H5,0,($D$50*5)+4))</f>
        <v>0.78900000000000003</v>
      </c>
      <c r="I56" s="90">
        <f ca="1">IF(A56="","",IF(SUM(D56:H56)&lt;-490,-99,IF(OR(H56=-99,H56=-98),IF(OR(G56=-99,G56=-98),E56,G56),H56)))</f>
        <v>0.78900000000000003</v>
      </c>
      <c r="J56" s="90" t="str">
        <f ca="1">IF(OR(I56="",I56=-99),"",IF(I56=H56,"CLASS","RASS"))</f>
        <v>CLASS</v>
      </c>
      <c r="K56" s="90">
        <f ca="1">IF($A56="","",OFFSET(DATA!$AG5,0,($D$50*5)))</f>
        <v>-99</v>
      </c>
      <c r="L56" s="90">
        <f ca="1">IF($A56="","",OFFSET(DATA!$AG5,0,($D$50*5)+1))</f>
        <v>-99</v>
      </c>
      <c r="M56" s="90">
        <f ca="1">IF($A56="","",OFFSET(DATA!$AG5,0,($D$50*5)+2))</f>
        <v>-99</v>
      </c>
      <c r="N56" s="90">
        <f ca="1">IF($A56="","",OFFSET(DATA!$AG5,0,($D$50*5)+3))</f>
        <v>-99</v>
      </c>
      <c r="O56" s="90">
        <f ca="1">IF($A56="","",OFFSET(DATA!$AG5,0,($D$50*5)+4))</f>
        <v>-99</v>
      </c>
      <c r="P56" s="90">
        <f ca="1">IF(I56="","",IF(SUM(K56:O56)&lt;-490,-99,IF(O56=-99,IF(N56=-99,L56,N56),O56)))</f>
        <v>-99</v>
      </c>
      <c r="Q56" s="90" t="str">
        <f ca="1">IF(OR(P56="",P56=-99),"",IF(P56=O56,"CLASS","RASS"))</f>
        <v/>
      </c>
      <c r="R56" s="699">
        <f ca="1">IF($A56="","",IF(DATA!BF5="",-99,DATA!BF5))</f>
        <v>0.76</v>
      </c>
      <c r="S56" s="90">
        <f ca="1">IF($A56="","",IF(DATA!BG5="",-99,DATA!BF5-DATA!BG5))</f>
        <v>0.15000000000000002</v>
      </c>
      <c r="T56" s="90">
        <f ca="1">IF($A56="","",DATA!BH5)</f>
        <v>0.66</v>
      </c>
      <c r="U56" s="90">
        <f ca="1">IF($A56="","",OFFSET(DATA!BM5,0,$D$48))</f>
        <v>310</v>
      </c>
      <c r="V56" s="90">
        <f ca="1">OFFSET(B56,0,MATCH($E$51,$B$54:$U$54,0)-1)</f>
        <v>116</v>
      </c>
      <c r="W56" s="99">
        <f ca="1">IF(C56="","",V56+(SUM(E56:O56,T56:U56)/10000000)+(ROW()/100000000000))</f>
        <v>115.99998196480041</v>
      </c>
      <c r="X56" s="112">
        <f ca="1">IFERROR(LARGE($W$56:$W$192,ROW()-ROW($X$55)),"")</f>
        <v>136.99997306750967</v>
      </c>
      <c r="Y56" s="90">
        <f ca="1">IF(X56="","",MATCH(X56,$W$56:$W$192,0))</f>
        <v>66</v>
      </c>
      <c r="AA56" s="90" t="str">
        <f ca="1">IF($Y56="","",IF(OFFSET(C$55,'Intermediate Data'!$Y56,0)=-98,"Unknown",IF(OFFSET(C$55,'Intermediate Data'!$Y56,0)=-99,"N/A",OFFSET(C$55,'Intermediate Data'!$Y56,0))))</f>
        <v>Air cleaner</v>
      </c>
      <c r="AB56" s="90" t="str">
        <f ca="1">IF($Y56="","",IF(OFFSET(D$55,'Intermediate Data'!$Y56,0)=-98,"N/A",IF(OFFSET(D$55,'Intermediate Data'!$Y56,0)=-99,"N/A",OFFSET(D$55,'Intermediate Data'!$Y56,0))))</f>
        <v>N/A</v>
      </c>
      <c r="AC56" s="90">
        <f ca="1">IF($Y56="","",IF(OFFSET(E$55,'Intermediate Data'!$Y56,0)=-98,"N/A",IF(OFFSET(E$55,'Intermediate Data'!$Y56,0)=-99,"N/A",OFFSET(E$55,'Intermediate Data'!$Y56,0))))</f>
        <v>5.4521266888862913E-2</v>
      </c>
      <c r="AD56" s="90" t="str">
        <f ca="1">IF($Y56="","",IF(OFFSET(F$55,'Intermediate Data'!$Y56,0)=-98,"N/A",IF(OFFSET(F$55,'Intermediate Data'!$Y56,0)=-99,"N/A",OFFSET(F$55,'Intermediate Data'!$Y56,0))))</f>
        <v>N/A</v>
      </c>
      <c r="AE56" s="90">
        <f ca="1">IF($Y56="","",IF(OFFSET(G$55,'Intermediate Data'!$Y56,0)=-98,"N/A",IF(OFFSET(G$55,'Intermediate Data'!$Y56,0)=-99,"N/A",OFFSET(G$55,'Intermediate Data'!$Y56,0))))</f>
        <v>7.1832805136575473E-2</v>
      </c>
      <c r="AF56" s="90" t="str">
        <f ca="1">IF($Y56="","",IF(OFFSET(H$55,'Intermediate Data'!$Y56,0)=-98,"N/A",IF(OFFSET(H$55,'Intermediate Data'!$Y56,0)=-99,"N/A",OFFSET(H$55,'Intermediate Data'!$Y56,0))))</f>
        <v>N/A</v>
      </c>
      <c r="AG56" s="90">
        <f ca="1">IF($Y56="","",IF(OFFSET(I$55,'Intermediate Data'!$Y56,0)=-98,"N/A",IF(OFFSET(I$55,'Intermediate Data'!$Y56,0)=-99,"N/A",OFFSET(I$55,'Intermediate Data'!$Y56,0))))</f>
        <v>7.1832805136575473E-2</v>
      </c>
      <c r="AH56" s="90" t="str">
        <f ca="1">IF($Y56="","",IF(OFFSET(J$55,'Intermediate Data'!$Y56,0)=-98,"N/A",IF(OFFSET(J$55,'Intermediate Data'!$Y56,0)=-99,"N/A",OFFSET(J$55,'Intermediate Data'!$Y56,0))))</f>
        <v>RASS</v>
      </c>
      <c r="AI56" s="90" t="str">
        <f ca="1">IF($Y56="","",IF(OFFSET(K$55,'Intermediate Data'!$Y56,0)=-98,"N/A",IF(OFFSET(K$55,'Intermediate Data'!$Y56,0)=-99,"N/A",OFFSET(K$55,'Intermediate Data'!$Y56,0))))</f>
        <v>N/A</v>
      </c>
      <c r="AJ56" s="90">
        <f ca="1">IF($Y56="","",IF(OFFSET(L$55,'Intermediate Data'!$Y56,0)=-98,"N/A",IF(OFFSET(L$55,'Intermediate Data'!$Y56,0)=-99,"N/A",OFFSET(L$55,'Intermediate Data'!$Y56,0))))</f>
        <v>6.6804335947603863E-2</v>
      </c>
      <c r="AK56" s="90" t="str">
        <f ca="1">IF($Y56="","",IF(OFFSET(M$55,'Intermediate Data'!$Y56,0)=-98,"N/A",IF(OFFSET(M$55,'Intermediate Data'!$Y56,0)=-99,"N/A",OFFSET(M$55,'Intermediate Data'!$Y56,0))))</f>
        <v>N/A</v>
      </c>
      <c r="AL56" s="90">
        <f ca="1">IF($Y56="","",IF(OFFSET(N$55,'Intermediate Data'!$Y56,0)=-98,"N/A",IF(OFFSET(N$55,'Intermediate Data'!$Y56,0)=-99,"N/A",OFFSET(N$55,'Intermediate Data'!$Y56,0))))</f>
        <v>8.8005503055022055E-2</v>
      </c>
      <c r="AM56" s="90" t="str">
        <f ca="1">IF($Y56="","",IF(OFFSET(O$55,'Intermediate Data'!$Y56,0)=-98,"N/A",IF(OFFSET(O$55,'Intermediate Data'!$Y56,0)=-99,"N/A",OFFSET(O$55,'Intermediate Data'!$Y56,0))))</f>
        <v>N/A</v>
      </c>
      <c r="AN56" s="90">
        <f ca="1">IF($Y56="","",IF(OFFSET(P$55,'Intermediate Data'!$Y56,0)=-98,"N/A",IF(OFFSET(P$55,'Intermediate Data'!$Y56,0)=-99,"N/A",OFFSET(P$55,'Intermediate Data'!$Y56,0))))</f>
        <v>8.8005503055022055E-2</v>
      </c>
      <c r="AO56" s="90" t="str">
        <f ca="1">IF($Y56="","",IF(OFFSET(Q$55,'Intermediate Data'!$Y56,0)=-98,"N/A",IF(OFFSET(Q$55,'Intermediate Data'!$Y56,0)=-99,"N/A",OFFSET(Q$55,'Intermediate Data'!$Y56,0))))</f>
        <v>RASS</v>
      </c>
      <c r="AP56" s="697" t="str">
        <f ca="1">IF($Y56="","",IF(OFFSET(S$55,'Intermediate Data'!$Y56,0)=-98,"",IF(OFFSET(S$55,'Intermediate Data'!$Y56,0)=-99,"",OFFSET(S$55,'Intermediate Data'!$Y56,0))))</f>
        <v/>
      </c>
      <c r="AQ56" s="90">
        <f ca="1">IF($Y56="","",IF(OFFSET(T$55,'Intermediate Data'!$Y56,0)=-98,"Not published",IF(OFFSET(T$55,'Intermediate Data'!$Y56,0)=-99,"",OFFSET(T$55,'Intermediate Data'!$Y56,0))))</f>
        <v>0.31</v>
      </c>
      <c r="AR56" s="90">
        <f ca="1">IF($Y56="","",IF(OFFSET(U$55,'Intermediate Data'!$Y56,0)=-98,"Unknown",IF(OFFSET(U$55,'Intermediate Data'!$Y56,0)=-99,"",OFFSET(U$55,'Intermediate Data'!$Y56,0))))</f>
        <v>225</v>
      </c>
      <c r="AU56" s="112">
        <f ca="1">IF(AND(OFFSET(DATA!$F5,0,$AX$48)='Intermediate Data'!$AY$48,DATA!$E5="Tier 1"),IF(OR($AX$49=0,$AX$48=1),DATA!A5,IF(AND($AX$49=1,INDEX('Intermediate Data'!$AY$25:$AY$44,MATCH(DATA!$B5,'Intermediate Data'!$AX$25:$AX$44,0))=TRUE),DATA!A5,"")),"")</f>
        <v>1</v>
      </c>
      <c r="AV56" s="112" t="str">
        <f ca="1">IF($AU56="","",DATA!B5)</f>
        <v>Clothes washer</v>
      </c>
      <c r="AW56" s="112">
        <f ca="1">IF(OR($AU56="",DATA!BI5=""),"",DATA!BI5)</f>
        <v>-98</v>
      </c>
      <c r="AX56" s="112">
        <f ca="1">IF(OR($AU56="",OFFSET(DATA!BK5,0,$AX$48)=""),"",OFFSET(DATA!BK5,0,$AX$48))</f>
        <v>475</v>
      </c>
      <c r="AY56" s="112">
        <f ca="1">IF(OR($AU56="",OFFSET(DATA!BM5,0,$AX$48)=""),"",OFFSET(DATA!BM5,0,$AX$48))</f>
        <v>310</v>
      </c>
      <c r="AZ56" s="112" t="str">
        <f ca="1">IF(OR($AU56="",OFFSET(DATA!BO5,0,'Intermediate Data'!$AX$48)=""),"",OFFSET(DATA!BO5,0,$AX$48))</f>
        <v/>
      </c>
      <c r="BA56" s="112" t="str">
        <f ca="1">IF(OR($AU56="",DATA!BQ5=""),"",DATA!BQ5)</f>
        <v/>
      </c>
      <c r="BB56" s="112">
        <f ca="1">IF($AU56="","",OFFSET(DATA!BS5,0,$AX$48))</f>
        <v>369.70118800515468</v>
      </c>
      <c r="BC56" s="112">
        <f ca="1">IF($AU56="","",OFFSET(DATA!BU5,0,$AX$48))</f>
        <v>378.5</v>
      </c>
      <c r="BD56" s="112">
        <f ca="1">IF($AU56="","",OFFSET(DATA!BW5,0,$AX$48))</f>
        <v>364.6</v>
      </c>
      <c r="BE56" s="112" t="str">
        <f ca="1">IF($AU56="","",OFFSET(DATA!BY5,0,$AX$48))</f>
        <v>N/A</v>
      </c>
      <c r="BF56" s="112">
        <f ca="1">IF($AU56="","",OFFSET(DATA!CA5,0,$AX$48))</f>
        <v>353.3</v>
      </c>
      <c r="BG56" s="112" t="str">
        <f ca="1">IF($AU56="","",DATA!CC5)</f>
        <v>ET</v>
      </c>
      <c r="BH56" s="112">
        <f ca="1">IF($AU56="","",OFFSET(DATA!CE5,0,$AX$48))</f>
        <v>124022052.892993</v>
      </c>
      <c r="BI56" s="112">
        <f ca="1">IF($AU56="","",OFFSET(DATA!CG5,0,$AX$48))</f>
        <v>81413738.965709195</v>
      </c>
      <c r="BJ56" s="112">
        <f ca="1">IF($AU56="","",OFFSET(DATA!CI5,0,$AX$48))</f>
        <v>30784429.0749765</v>
      </c>
      <c r="BK56" s="112" t="str">
        <f ca="1">IF($AU56="","",OFFSET(DATA!CK5,0,$AX$48))</f>
        <v>N/A</v>
      </c>
      <c r="BL56" s="112">
        <f ca="1">IF($AU56="","",OFFSET(DATA!CM5,0,$AX$48))</f>
        <v>11823884.852307299</v>
      </c>
      <c r="BM56" s="112">
        <f ca="1">IF($AU56="","",DATA!BH5)</f>
        <v>0.66</v>
      </c>
      <c r="BN56" s="112">
        <f ca="1">IF($AU56="","",DATA!DS5)</f>
        <v>40544</v>
      </c>
      <c r="BO56" s="112" t="str">
        <f ca="1">IF($AU56="","",DATA!DU5)</f>
        <v>Final</v>
      </c>
      <c r="BP56" s="112">
        <f ca="1">IF($AU56="","",DATA!DV5)</f>
        <v>42070</v>
      </c>
      <c r="BQ56" s="112">
        <f ca="1">IF($AU56="","",DATA!DX5)</f>
        <v>41306</v>
      </c>
      <c r="BR56" s="112" t="str">
        <f ca="1">IF($AU56="","",DATA!DZ5)</f>
        <v>Final</v>
      </c>
      <c r="BS56" s="171">
        <f ca="1">IF($AU56="","",DATA!EA5)</f>
        <v>42070</v>
      </c>
      <c r="BT56" s="171" t="str">
        <f ca="1">IF($AU56="","",DATA!EC5)</f>
        <v>Federal</v>
      </c>
      <c r="BU56" s="171" t="str">
        <f ca="1">IF($AU56="","",DATA!EF5)</f>
        <v>N/A</v>
      </c>
      <c r="BV56" s="113">
        <f ca="1">IF(MAX(BP56,BS56,BU56)=0,"",MAX(BP56,BS56,BU56))</f>
        <v>42070</v>
      </c>
      <c r="BW56" s="680" t="str">
        <f ca="1">IF($AU56="","",OFFSET(DATA!DC5,0,'Intermediate Data'!$AX$48))</f>
        <v>N/A</v>
      </c>
      <c r="BX56" s="681" t="str">
        <f ca="1">IF($AU56="","",DATA!DG5)</f>
        <v>N/A</v>
      </c>
      <c r="BY56" s="680" t="str">
        <f ca="1">IF($AU56="","",OFFSET(DATA!DE5,0,'Intermediate Data'!$AX$48))</f>
        <v>N/A</v>
      </c>
      <c r="BZ56" s="681" t="str">
        <f ca="1">IF($AU56="","",DATA!DH5)</f>
        <v>N/A</v>
      </c>
      <c r="CA56" s="90">
        <f ca="1">IFERROR(OFFSET(AV56,0,MATCH($AY$51,$AW$54:$BZ$54,0)),"")</f>
        <v>475</v>
      </c>
      <c r="CB56" s="99">
        <f ca="1">IFERROR(IF(AU56="","",CA56+ROW()/100000),ROW()/1000000)</f>
        <v>475.00056000000001</v>
      </c>
      <c r="CC56" s="90">
        <f ca="1">IFERROR(LARGE($CB$56:$CB$192,ROW()-ROW($CC$55)),"")</f>
        <v>2683.0007500000002</v>
      </c>
      <c r="CD56" s="90">
        <f ca="1">IF(CC56="","",MATCH(CC56,$CB$56:$CB$192,0))</f>
        <v>20</v>
      </c>
      <c r="CF56" s="90" t="str">
        <f ca="1">IF($CD56="","",IF(OFFSET(AV$55,'Intermediate Data'!$CD56,0)=-98,"Unknown",IF(OFFSET(AV$55,'Intermediate Data'!$CD56,0)=-99,"N/A",OFFSET(AV$55,'Intermediate Data'!$CD56,0))))</f>
        <v>Hot water heater - Electric</v>
      </c>
      <c r="CG56" s="90" t="str">
        <f ca="1">IF($CD56="","",IF(OFFSET(AW$55,'Intermediate Data'!$CD56,0)=-98,"",IF(OFFSET(AW$55,'Intermediate Data'!$CD56,0)=-99,"N/A",OFFSET(AW$55,'Intermediate Data'!$CD56,0))))</f>
        <v/>
      </c>
      <c r="CH56" s="90">
        <f ca="1">IF($CD56="","",IF(OFFSET(AX$55,'Intermediate Data'!$CD56,0)=-98,"Unknown",IF(OFFSET(AX$55,'Intermediate Data'!$CD56,0)=-99,"N/A",OFFSET(AX$55,'Intermediate Data'!$CD56,0))))</f>
        <v>2683</v>
      </c>
      <c r="CI56" s="125">
        <f ca="1">IF($CD56="","",IF(OFFSET(AY$55,'Intermediate Data'!$CD56,0)=-98,"Unknown",IF(OFFSET(AY$55,'Intermediate Data'!$CD56,0)=-99,"No spec",OFFSET(AY$55,'Intermediate Data'!$CD56,0))))</f>
        <v>2700</v>
      </c>
      <c r="CJ56" s="125" t="str">
        <f ca="1">IF($CD56="","",IF(OFFSET(AZ$55,'Intermediate Data'!$CD56,0)=-98,"Unknown",IF(OFFSET(AZ$55,'Intermediate Data'!$CD56,0)=-99,"N/A",OFFSET(AZ$55,'Intermediate Data'!$CD56,0))))</f>
        <v/>
      </c>
      <c r="CK56" s="90" t="str">
        <f ca="1">IF($CD56="","",IF(OFFSET(BA$55,'Intermediate Data'!$CD56,0)=-98,"Unknown",IF(OFFSET(BA$55,'Intermediate Data'!$CD56,0)=-99,"N/A",OFFSET(BA$55,'Intermediate Data'!$CD56,0))))</f>
        <v/>
      </c>
      <c r="CL56" s="90">
        <f ca="1">IF($CD56="","",IF(OFFSET(BB$55,'Intermediate Data'!$CD56,$AX$50)=-98,"Unknown",IF(OFFSET(BB$55,'Intermediate Data'!$CD56,$AX$50)="N/A","",OFFSET(BB$55,'Intermediate Data'!$CD56,$AX$50))))</f>
        <v>1139.4449239663506</v>
      </c>
      <c r="CM56" s="90" t="str">
        <f ca="1">IF($CD56="","",IF(OFFSET(BG$55,'Intermediate Data'!$CD56,0)="ET","ET",""))</f>
        <v/>
      </c>
      <c r="CN56" s="90">
        <f ca="1">IF($CD56="","",IF(OFFSET(BH$55,'Intermediate Data'!$CD56,$AX$50)=-98,"Unknown",IF(OFFSET(BH$55,'Intermediate Data'!$CD56,$AX$50)="N/A","",OFFSET(BH$55,'Intermediate Data'!$CD56,$AX$50))))</f>
        <v>157412636.60087502</v>
      </c>
      <c r="CO56" s="90">
        <f ca="1">IF($CD56="","",IF(OFFSET(BM$55,'Intermediate Data'!$CD56,0)=-98,"Not published",IF(OFFSET(BM$55,'Intermediate Data'!$CD56,0)=-99,"No spec",OFFSET(BM$55,'Intermediate Data'!$CD56,0))))</f>
        <v>0.01</v>
      </c>
      <c r="CP56" s="114">
        <f ca="1">IF($CD56="","",IF(OFFSET(BN$55,'Intermediate Data'!$CD56,0)=-98,"Unknown",IF(OFFSET(BN$55,'Intermediate Data'!$CD56,0)=-99,"N/A",OFFSET(BN$55,'Intermediate Data'!$CD56,0))))</f>
        <v>36908</v>
      </c>
      <c r="CQ56" s="114" t="str">
        <f ca="1">IF($CD56="","",IF(OFFSET(BO$55,'Intermediate Data'!$CD56,0)=-98,"Unknown",IF(OFFSET(BO$55,'Intermediate Data'!$CD56,0)=-99,"N/A",OFFSET(BO$55,'Intermediate Data'!$CD56,0))))</f>
        <v>Final</v>
      </c>
      <c r="CR56" s="114">
        <f ca="1">IF($CD56="","",IF(OFFSET(BP$55,'Intermediate Data'!$CD56,0)=-98,"Unknown",IF(OFFSET(BP$55,'Intermediate Data'!$CD56,0)=-99,"N/A",OFFSET(BP$55,'Intermediate Data'!$CD56,0))))</f>
        <v>42110</v>
      </c>
      <c r="CS56" s="114">
        <f ca="1">IF($CD56="","",IF(OFFSET(BQ$55,'Intermediate Data'!$CD56,0)=-98,"Unknown",IF(OFFSET(BQ$55,'Intermediate Data'!$CD56,0)=-99,"N/A",OFFSET(BQ$55,'Intermediate Data'!$CD56,0))))</f>
        <v>41456</v>
      </c>
      <c r="CT56" s="114" t="str">
        <f ca="1">IF($CD56="","",IF(OFFSET(BR$55,'Intermediate Data'!$CD56,0)=-98,"Unknown",IF(OFFSET(BR$55,'Intermediate Data'!$CD56,0)=-99,"N/A",OFFSET(BR$55,'Intermediate Data'!$CD56,0))))</f>
        <v>In Process</v>
      </c>
      <c r="CU56" s="114">
        <f ca="1">IF($CD56="","",IF(OFFSET(BS$55,'Intermediate Data'!$CD56,0)=-98,"Unknown",IF(OFFSET(BS$55,'Intermediate Data'!$CD56,0)=-99,"N/A",OFFSET(BS$55,'Intermediate Data'!$CD56,0))))</f>
        <v>42110</v>
      </c>
      <c r="CV56" s="114" t="str">
        <f ca="1">IF($CD56="","",IF(OFFSET(BT$55,'Intermediate Data'!$CD56,0)=-98,"Unknown",IF(OFFSET(BT$55,'Intermediate Data'!$CD56,0)=-99,"N/A",OFFSET(BT$55,'Intermediate Data'!$CD56,0))))</f>
        <v>Federal</v>
      </c>
      <c r="CW56" s="114" t="str">
        <f ca="1">IF($CD56="","",IF(OFFSET(BU$55,'Intermediate Data'!$CD56,0)=-98,"Unknown",IF(OFFSET(BU$55,'Intermediate Data'!$CD56,0)=-99,"N/A",OFFSET(BU$55,'Intermediate Data'!$CD56,0))))</f>
        <v>N/A</v>
      </c>
      <c r="CX56" s="114">
        <f ca="1">IF($CD56="","",IF(OFFSET(BV$55,'Intermediate Data'!$CD56,0)=-98,"Unknown",IF(OFFSET(BV$55,'Intermediate Data'!$CD56,0)=-99,"N/A",OFFSET(BV$55,'Intermediate Data'!$CD56,0))))</f>
        <v>42110</v>
      </c>
      <c r="CY56" s="682" t="str">
        <f ca="1">IF($CD56="","",IF(OFFSET(BW$55,'Intermediate Data'!$CD56,0)=-98,"Unknown",IF(OFFSET(BW$55,'Intermediate Data'!$CD56,0)="N/A","",OFFSET(BW$55,'Intermediate Data'!$CD56,0))))</f>
        <v/>
      </c>
      <c r="CZ56" s="682" t="str">
        <f ca="1">IF($CD56="","",IF(OFFSET(BX$55,'Intermediate Data'!$CD56,0)=-98,"Unknown",IF(OFFSET(BX$55,'Intermediate Data'!$CD56,0)="N/A","",OFFSET(BX$55,'Intermediate Data'!$CD56,0))))</f>
        <v/>
      </c>
      <c r="DA56" s="682" t="str">
        <f ca="1">IF($CD56="","",IF(OFFSET(BY$55,'Intermediate Data'!$CD56,0)=-98,"Unknown",IF(OFFSET(BY$55,'Intermediate Data'!$CD56,0)="N/A","",OFFSET(BY$55,'Intermediate Data'!$CD56,0))))</f>
        <v/>
      </c>
      <c r="DB56" s="682" t="str">
        <f ca="1">IF($CD56="","",IF(OFFSET(BZ$55,'Intermediate Data'!$CD56,0)=-98,"Unknown",IF(OFFSET(BZ$55,'Intermediate Data'!$CD56,0)="N/A","",OFFSET(BZ$55,'Intermediate Data'!$CD56,0))))</f>
        <v/>
      </c>
    </row>
    <row r="57" spans="1:106" x14ac:dyDescent="0.2">
      <c r="A57" s="90">
        <f ca="1">IF(OFFSET(DATA!F6,0,$D$48)='Intermediate Data'!$E$48,IF(OR($E$49=$C$27,$E$48=$B$4),DATA!A6,IF($G$49=DATA!D6,DATA!A6,"")),"")</f>
        <v>2</v>
      </c>
      <c r="B57" s="90">
        <f ca="1">IF($A57="","",DATA!EH6)</f>
        <v>59</v>
      </c>
      <c r="C57" s="90" t="str">
        <f ca="1">IF($A57="","",DATA!B6)</f>
        <v>Oven/Range - Electric</v>
      </c>
      <c r="D57" s="90">
        <f ca="1">IF($A57="","",OFFSET(DATA!$H6,0,($D$50*5)))</f>
        <v>-99</v>
      </c>
      <c r="E57" s="90">
        <f ca="1">IF($A57="","",OFFSET(DATA!$H6,0,($D$50*5)+1))</f>
        <v>0.35085418252428829</v>
      </c>
      <c r="F57" s="90">
        <f ca="1">IF($A57="","",OFFSET(DATA!$H6,0,($D$50*5)+2))</f>
        <v>-99</v>
      </c>
      <c r="G57" s="90">
        <f ca="1">IF($A57="","",OFFSET(DATA!$H6,0,($D$50*5)+3))</f>
        <v>0.38628919820289026</v>
      </c>
      <c r="H57" s="90">
        <f ca="1">IF($A57="","",OFFSET(DATA!$H6,0,($D$50*5)+4))</f>
        <v>0.40300000000000002</v>
      </c>
      <c r="I57" s="90">
        <f t="shared" ref="I57:I120" ca="1" si="2">IF(A57="","",IF(SUM(D57:H57)&lt;-490,-99,IF(OR(H57=-99,H57=-98),IF(OR(G57=-99,G57=-98),E57,G57),H57)))</f>
        <v>0.40300000000000002</v>
      </c>
      <c r="J57" s="90" t="str">
        <f t="shared" ref="J57:J120" ca="1" si="3">IF(OR(I57="",I57=-99),"",IF(I57=H57,"CLASS","RASS"))</f>
        <v>CLASS</v>
      </c>
      <c r="K57" s="90">
        <f ca="1">IF($A57="","",OFFSET(DATA!$AG6,0,($D$50*5)))</f>
        <v>-99</v>
      </c>
      <c r="L57" s="90">
        <f ca="1">IF($A57="","",OFFSET(DATA!$AG6,0,($D$50*5)+1))</f>
        <v>-99</v>
      </c>
      <c r="M57" s="90">
        <f ca="1">IF($A57="","",OFFSET(DATA!$AG6,0,($D$50*5)+2))</f>
        <v>-99</v>
      </c>
      <c r="N57" s="90">
        <f ca="1">IF($A57="","",OFFSET(DATA!$AG6,0,($D$50*5)+3))</f>
        <v>-99</v>
      </c>
      <c r="O57" s="90">
        <f ca="1">IF($A57="","",OFFSET(DATA!$AG6,0,($D$50*5)+4))</f>
        <v>-99</v>
      </c>
      <c r="P57" s="90">
        <f t="shared" ref="P57:P120" ca="1" si="4">IF(I57="","",IF(SUM(K57:O57)&lt;-490,-99,IF(O57=-99,IF(N57=-99,L57,N57),O57)))</f>
        <v>-99</v>
      </c>
      <c r="Q57" s="90" t="str">
        <f t="shared" ref="Q57:Q120" ca="1" si="5">IF(OR(P57="",P57=-99),"",IF(P57=O57,"CLASS","RASS"))</f>
        <v/>
      </c>
      <c r="R57" s="699">
        <f ca="1">IF($A57="","",IF(DATA!BF6="",-99,DATA!BF6))</f>
        <v>-99</v>
      </c>
      <c r="S57" s="90">
        <f ca="1">IF($A57="","",IF(DATA!BG6="",-99,DATA!BF6-DATA!BG6))</f>
        <v>-99</v>
      </c>
      <c r="T57" s="90">
        <f ca="1">IF($A57="","",DATA!BH6)</f>
        <v>-99</v>
      </c>
      <c r="U57" s="90">
        <f ca="1">IF($A57="","",OFFSET(DATA!BM6,0,$D$48))</f>
        <v>-99</v>
      </c>
      <c r="V57" s="90">
        <f t="shared" ref="V57:V87" ca="1" si="6">OFFSET(B57,0,MATCH($E$51,$B$54:$U$54,0)-1)</f>
        <v>59</v>
      </c>
      <c r="W57" s="99">
        <f t="shared" ref="W57:W120" ca="1" si="7">IF(C57="","",V57+(SUM(E57:O57,T57:U57)/10000000)+(ROW()/100000000000))</f>
        <v>58.999920954884338</v>
      </c>
      <c r="X57" s="112">
        <f t="shared" ref="X57:X120" ca="1" si="8">IFERROR(LARGE($W$56:$W$192,ROW()-ROW($X$55)),"")</f>
        <v>135.99993104066598</v>
      </c>
      <c r="Y57" s="90">
        <f t="shared" ref="Y57:Y120" ca="1" si="9">IF(X57="","",MATCH(X57,$W$56:$W$192,0))</f>
        <v>89</v>
      </c>
      <c r="AA57" s="90" t="str">
        <f ca="1">IF($Y57="","",IF(OFFSET(C$55,'Intermediate Data'!$Y57,0)=-98,"Unknown",IF(OFFSET(C$55,'Intermediate Data'!$Y57,0)=-99,"N/A",OFFSET(C$55,'Intermediate Data'!$Y57,0))))</f>
        <v>Answering machine</v>
      </c>
      <c r="AB57" s="90" t="str">
        <f ca="1">IF($Y57="","",IF(OFFSET(D$55,'Intermediate Data'!$Y57,0)=-98,"N/A",IF(OFFSET(D$55,'Intermediate Data'!$Y57,0)=-99,"N/A",OFFSET(D$55,'Intermediate Data'!$Y57,0))))</f>
        <v>N/A</v>
      </c>
      <c r="AC57" s="90">
        <f ca="1">IF($Y57="","",IF(OFFSET(E$55,'Intermediate Data'!$Y57,0)=-98,"N/A",IF(OFFSET(E$55,'Intermediate Data'!$Y57,0)=-99,"N/A",OFFSET(E$55,'Intermediate Data'!$Y57,0))))</f>
        <v>0.72864689377722924</v>
      </c>
      <c r="AD57" s="90" t="str">
        <f ca="1">IF($Y57="","",IF(OFFSET(F$55,'Intermediate Data'!$Y57,0)=-98,"N/A",IF(OFFSET(F$55,'Intermediate Data'!$Y57,0)=-99,"N/A",OFFSET(F$55,'Intermediate Data'!$Y57,0))))</f>
        <v>N/A</v>
      </c>
      <c r="AE57" s="90">
        <f ca="1">IF($Y57="","",IF(OFFSET(G$55,'Intermediate Data'!$Y57,0)=-98,"N/A",IF(OFFSET(G$55,'Intermediate Data'!$Y57,0)=-99,"N/A",OFFSET(G$55,'Intermediate Data'!$Y57,0))))</f>
        <v>0.6167469195524049</v>
      </c>
      <c r="AF57" s="90" t="str">
        <f ca="1">IF($Y57="","",IF(OFFSET(H$55,'Intermediate Data'!$Y57,0)=-98,"N/A",IF(OFFSET(H$55,'Intermediate Data'!$Y57,0)=-99,"N/A",OFFSET(H$55,'Intermediate Data'!$Y57,0))))</f>
        <v>N/A</v>
      </c>
      <c r="AG57" s="90">
        <f ca="1">IF($Y57="","",IF(OFFSET(I$55,'Intermediate Data'!$Y57,0)=-98,"N/A",IF(OFFSET(I$55,'Intermediate Data'!$Y57,0)=-99,"N/A",OFFSET(I$55,'Intermediate Data'!$Y57,0))))</f>
        <v>0.6167469195524049</v>
      </c>
      <c r="AH57" s="90" t="str">
        <f ca="1">IF($Y57="","",IF(OFFSET(J$55,'Intermediate Data'!$Y57,0)=-98,"N/A",IF(OFFSET(J$55,'Intermediate Data'!$Y57,0)=-99,"N/A",OFFSET(J$55,'Intermediate Data'!$Y57,0))))</f>
        <v>RASS</v>
      </c>
      <c r="AI57" s="90" t="str">
        <f ca="1">IF($Y57="","",IF(OFFSET(K$55,'Intermediate Data'!$Y57,0)=-98,"N/A",IF(OFFSET(K$55,'Intermediate Data'!$Y57,0)=-99,"N/A",OFFSET(K$55,'Intermediate Data'!$Y57,0))))</f>
        <v>N/A</v>
      </c>
      <c r="AJ57" s="90">
        <f ca="1">IF($Y57="","",IF(OFFSET(L$55,'Intermediate Data'!$Y57,0)=-98,"N/A",IF(OFFSET(L$55,'Intermediate Data'!$Y57,0)=-99,"N/A",OFFSET(L$55,'Intermediate Data'!$Y57,0))))</f>
        <v>0.78001844147529265</v>
      </c>
      <c r="AK57" s="90" t="str">
        <f ca="1">IF($Y57="","",IF(OFFSET(M$55,'Intermediate Data'!$Y57,0)=-98,"N/A",IF(OFFSET(M$55,'Intermediate Data'!$Y57,0)=-99,"N/A",OFFSET(M$55,'Intermediate Data'!$Y57,0))))</f>
        <v>N/A</v>
      </c>
      <c r="AL57" s="90">
        <f ca="1">IF($Y57="","",IF(OFFSET(N$55,'Intermediate Data'!$Y57,0)=-98,"N/A",IF(OFFSET(N$55,'Intermediate Data'!$Y57,0)=-99,"N/A",OFFSET(N$55,'Intermediate Data'!$Y57,0))))</f>
        <v>0.65010093525948076</v>
      </c>
      <c r="AM57" s="90" t="str">
        <f ca="1">IF($Y57="","",IF(OFFSET(O$55,'Intermediate Data'!$Y57,0)=-98,"N/A",IF(OFFSET(O$55,'Intermediate Data'!$Y57,0)=-99,"N/A",OFFSET(O$55,'Intermediate Data'!$Y57,0))))</f>
        <v>N/A</v>
      </c>
      <c r="AN57" s="90">
        <f ca="1">IF($Y57="","",IF(OFFSET(P$55,'Intermediate Data'!$Y57,0)=-98,"N/A",IF(OFFSET(P$55,'Intermediate Data'!$Y57,0)=-99,"N/A",OFFSET(P$55,'Intermediate Data'!$Y57,0))))</f>
        <v>0.65010093525948076</v>
      </c>
      <c r="AO57" s="90" t="str">
        <f ca="1">IF($Y57="","",IF(OFFSET(Q$55,'Intermediate Data'!$Y57,0)=-98,"N/A",IF(OFFSET(Q$55,'Intermediate Data'!$Y57,0)=-99,"N/A",OFFSET(Q$55,'Intermediate Data'!$Y57,0))))</f>
        <v>RASS</v>
      </c>
      <c r="AP57" s="697" t="str">
        <f ca="1">IF($Y57="","",IF(OFFSET(S$55,'Intermediate Data'!$Y57,0)=-98,"",IF(OFFSET(S$55,'Intermediate Data'!$Y57,0)=-99,"",OFFSET(S$55,'Intermediate Data'!$Y57,0))))</f>
        <v/>
      </c>
      <c r="AQ57" s="90" t="str">
        <f ca="1">IF($Y57="","",IF(OFFSET(T$55,'Intermediate Data'!$Y57,0)=-98,"Not published",IF(OFFSET(T$55,'Intermediate Data'!$Y57,0)=-99,"",OFFSET(T$55,'Intermediate Data'!$Y57,0))))</f>
        <v/>
      </c>
      <c r="AR57" s="90" t="str">
        <f ca="1">IF($Y57="","",IF(OFFSET(U$55,'Intermediate Data'!$Y57,0)=-98,"Unknown",IF(OFFSET(U$55,'Intermediate Data'!$Y57,0)=-99,"",OFFSET(U$55,'Intermediate Data'!$Y57,0))))</f>
        <v/>
      </c>
      <c r="AU57" s="112">
        <f ca="1">IF(AND(OFFSET(DATA!$F6,0,$AX$48)='Intermediate Data'!$AY$48,DATA!$E6="Tier 1"),IF(OR($AX$49=0,$AX$48=1),DATA!A6,IF(AND($AX$49=1,INDEX('Intermediate Data'!$AY$25:$AY$44,MATCH(DATA!$B6,'Intermediate Data'!$AX$25:$AX$44,0))=TRUE),DATA!A6,"")),"")</f>
        <v>2</v>
      </c>
      <c r="AV57" s="112" t="str">
        <f ca="1">IF($AU57="","",DATA!B6)</f>
        <v>Oven/Range - Electric</v>
      </c>
      <c r="AW57" s="112">
        <f ca="1">IF(OR($AU57="",DATA!BI6=""),"",DATA!BI6)</f>
        <v>-98</v>
      </c>
      <c r="AX57" s="112" t="str">
        <f ca="1">IF(OR($AU57="",OFFSET(DATA!BK6,0,$AX$48)=""),"",OFFSET(DATA!BK6,0,$AX$48))</f>
        <v/>
      </c>
      <c r="AY57" s="112">
        <f ca="1">IF(OR($AU57="",OFFSET(DATA!BM6,0,$AX$48)=""),"",OFFSET(DATA!BM6,0,$AX$48))</f>
        <v>-99</v>
      </c>
      <c r="AZ57" s="112">
        <f ca="1">IF(OR($AU57="",OFFSET(DATA!BO6,0,'Intermediate Data'!$AX$48)=""),"",OFFSET(DATA!BO6,0,$AX$48))</f>
        <v>126.50000000000003</v>
      </c>
      <c r="BA57" s="112" t="str">
        <f ca="1">IF(OR($AU57="",DATA!BQ6=""),"",DATA!BQ6)</f>
        <v xml:space="preserve">Efficient components. </v>
      </c>
      <c r="BB57" s="112" t="str">
        <f ca="1">IF($AU57="","",OFFSET(DATA!BS6,0,$AX$48))</f>
        <v>N/A</v>
      </c>
      <c r="BC57" s="112" t="str">
        <f ca="1">IF($AU57="","",OFFSET(DATA!BU6,0,$AX$48))</f>
        <v>N/A</v>
      </c>
      <c r="BD57" s="112" t="str">
        <f ca="1">IF($AU57="","",OFFSET(DATA!BW6,0,$AX$48))</f>
        <v>N/A</v>
      </c>
      <c r="BE57" s="112" t="str">
        <f ca="1">IF($AU57="","",OFFSET(DATA!BY6,0,$AX$48))</f>
        <v>N/A</v>
      </c>
      <c r="BF57" s="112" t="str">
        <f ca="1">IF($AU57="","",OFFSET(DATA!CA6,0,$AX$48))</f>
        <v>N/A</v>
      </c>
      <c r="BG57" s="112" t="str">
        <f ca="1">IF($AU57="","",DATA!CC6)</f>
        <v>N/A</v>
      </c>
      <c r="BH57" s="112" t="str">
        <f ca="1">IF($AU57="","",OFFSET(DATA!CE6,0,$AX$48))</f>
        <v>N/A</v>
      </c>
      <c r="BI57" s="112" t="str">
        <f ca="1">IF($AU57="","",OFFSET(DATA!CG6,0,$AX$48))</f>
        <v>N/A</v>
      </c>
      <c r="BJ57" s="112" t="str">
        <f ca="1">IF($AU57="","",OFFSET(DATA!CI6,0,$AX$48))</f>
        <v>N/A</v>
      </c>
      <c r="BK57" s="112" t="str">
        <f ca="1">IF($AU57="","",OFFSET(DATA!CK6,0,$AX$48))</f>
        <v>N/A</v>
      </c>
      <c r="BL57" s="112" t="str">
        <f ca="1">IF($AU57="","",OFFSET(DATA!CM6,0,$AX$48))</f>
        <v>N/A</v>
      </c>
      <c r="BM57" s="112">
        <f ca="1">IF($AU57="","",DATA!BH6)</f>
        <v>-99</v>
      </c>
      <c r="BN57" s="112" t="str">
        <f ca="1">IF($AU57="","",DATA!DS6)</f>
        <v>N/A</v>
      </c>
      <c r="BO57" s="112" t="str">
        <f ca="1">IF($AU57="","",DATA!DU6)</f>
        <v>In Process</v>
      </c>
      <c r="BP57" s="112">
        <f ca="1">IF($AU57="","",DATA!DV6)</f>
        <v>44197</v>
      </c>
      <c r="BQ57" s="112" t="str">
        <f ca="1">IF($AU57="","",DATA!DX6)</f>
        <v>N/A</v>
      </c>
      <c r="BR57" s="112" t="str">
        <f ca="1">IF($AU57="","",DATA!DZ6)</f>
        <v>N/A</v>
      </c>
      <c r="BS57" s="171" t="str">
        <f ca="1">IF($AU57="","",DATA!EA6)</f>
        <v>N/A</v>
      </c>
      <c r="BT57" s="171" t="str">
        <f ca="1">IF($AU57="","",DATA!EC6)</f>
        <v>N/A</v>
      </c>
      <c r="BU57" s="171" t="str">
        <f ca="1">IF($AU57="","",DATA!EF6)</f>
        <v>N/A</v>
      </c>
      <c r="BV57" s="113">
        <f t="shared" ref="BV57:BV120" ca="1" si="10">IF(MAX(BP57,BS57,BU57)=0,"",MAX(BP57,BS57,BU57))</f>
        <v>44197</v>
      </c>
      <c r="BW57" s="680" t="str">
        <f ca="1">IF(AU57="","",OFFSET(DATA!DC6,0,'Intermediate Data'!$AX$48))</f>
        <v>N/A</v>
      </c>
      <c r="BX57" s="681" t="str">
        <f ca="1">IF($AU57="","",DATA!DG6)</f>
        <v>N/A</v>
      </c>
      <c r="BY57" s="680" t="str">
        <f ca="1">IF($AU57="","",OFFSET(DATA!DE6,0,'Intermediate Data'!$AX$48))</f>
        <v>N/A</v>
      </c>
      <c r="BZ57" s="681" t="str">
        <f ca="1">IF($AU57="","",DATA!DH6)</f>
        <v>N/A</v>
      </c>
      <c r="CA57" s="90" t="str">
        <f t="shared" ref="CA57:CA120" ca="1" si="11">IFERROR(OFFSET(AV57,0,MATCH($AY$51,$AW$54:$BZ$54,0)),"")</f>
        <v/>
      </c>
      <c r="CB57" s="99">
        <f t="shared" ref="CB57:CB120" ca="1" si="12">IFERROR(IF(AU57="","",CA57+ROW()/100000),ROW()/1000000)</f>
        <v>5.7000000000000003E-5</v>
      </c>
      <c r="CC57" s="90">
        <f t="shared" ref="CC57:CC120" ca="1" si="13">IFERROR(LARGE($CB$56:$CB$192,ROW()-ROW($CC$55)),"")</f>
        <v>900.00066000000004</v>
      </c>
      <c r="CD57" s="90">
        <f t="shared" ref="CD57:CD120" ca="1" si="14">IF(CC57="","",MATCH(CC57,$CB$56:$CB$192,0))</f>
        <v>11</v>
      </c>
      <c r="CF57" s="90" t="str">
        <f ca="1">IF($CD57="","",IF(OFFSET(AV$55,'Intermediate Data'!$CD57,0)=-98,"Unknown",IF(OFFSET(AV$55,'Intermediate Data'!$CD57,0)=-99,"N/A",OFFSET(AV$55,'Intermediate Data'!$CD57,0))))</f>
        <v>Hot tub/Spa - Electric</v>
      </c>
      <c r="CG57" s="90" t="str">
        <f ca="1">IF($CD57="","",IF(OFFSET(AW$55,'Intermediate Data'!$CD57,0)=-98,"",IF(OFFSET(AW$55,'Intermediate Data'!$CD57,0)=-99,"N/A",OFFSET(AW$55,'Intermediate Data'!$CD57,0))))</f>
        <v/>
      </c>
      <c r="CH57" s="90">
        <f ca="1">IF($CD57="","",IF(OFFSET(AX$55,'Intermediate Data'!$CD57,0)=-98,"Unknown",IF(OFFSET(AX$55,'Intermediate Data'!$CD57,0)=-99,"N/A",OFFSET(AX$55,'Intermediate Data'!$CD57,0))))</f>
        <v>900</v>
      </c>
      <c r="CI57" s="125" t="str">
        <f ca="1">IF($CD57="","",IF(OFFSET(AY$55,'Intermediate Data'!$CD57,0)=-98,"Unknown",IF(OFFSET(AY$55,'Intermediate Data'!$CD57,0)=-99,"No spec",OFFSET(AY$55,'Intermediate Data'!$CD57,0))))</f>
        <v>No spec</v>
      </c>
      <c r="CJ57" s="125">
        <f ca="1">IF($CD57="","",IF(OFFSET(AZ$55,'Intermediate Data'!$CD57,0)=-98,"Unknown",IF(OFFSET(AZ$55,'Intermediate Data'!$CD57,0)=-99,"N/A",OFFSET(AZ$55,'Intermediate Data'!$CD57,0))))</f>
        <v>750</v>
      </c>
      <c r="CK57" s="90" t="str">
        <f ca="1">IF($CD57="","",IF(OFFSET(BA$55,'Intermediate Data'!$CD57,0)=-98,"Unknown",IF(OFFSET(BA$55,'Intermediate Data'!$CD57,0)=-99,"N/A",OFFSET(BA$55,'Intermediate Data'!$CD57,0))))</f>
        <v>Max Tech</v>
      </c>
      <c r="CL57" s="90" t="str">
        <f ca="1">IF($CD57="","",IF(OFFSET(BB$55,'Intermediate Data'!$CD57,$AX$50)=-98,"Unknown",IF(OFFSET(BB$55,'Intermediate Data'!$CD57,$AX$50)="N/A","",OFFSET(BB$55,'Intermediate Data'!$CD57,$AX$50))))</f>
        <v/>
      </c>
      <c r="CM57" s="90" t="str">
        <f ca="1">IF($CD57="","",IF(OFFSET(BG$55,'Intermediate Data'!$CD57,0)="ET","ET",""))</f>
        <v/>
      </c>
      <c r="CN57" s="90" t="str">
        <f ca="1">IF($CD57="","",IF(OFFSET(BH$55,'Intermediate Data'!$CD57,$AX$50)=-98,"Unknown",IF(OFFSET(BH$55,'Intermediate Data'!$CD57,$AX$50)="N/A","",OFFSET(BH$55,'Intermediate Data'!$CD57,$AX$50))))</f>
        <v/>
      </c>
      <c r="CO57" s="90" t="str">
        <f ca="1">IF($CD57="","",IF(OFFSET(BM$55,'Intermediate Data'!$CD57,0)=-98,"Not published",IF(OFFSET(BM$55,'Intermediate Data'!$CD57,0)=-99,"No spec",OFFSET(BM$55,'Intermediate Data'!$CD57,0))))</f>
        <v>No spec</v>
      </c>
      <c r="CP57" s="114" t="str">
        <f ca="1">IF($CD57="","",IF(OFFSET(BN$55,'Intermediate Data'!$CD57,0)=-98,"Unknown",IF(OFFSET(BN$55,'Intermediate Data'!$CD57,0)=-99,"N/A",OFFSET(BN$55,'Intermediate Data'!$CD57,0))))</f>
        <v>N/A</v>
      </c>
      <c r="CQ57" s="114" t="str">
        <f ca="1">IF($CD57="","",IF(OFFSET(BO$55,'Intermediate Data'!$CD57,0)=-98,"Unknown",IF(OFFSET(BO$55,'Intermediate Data'!$CD57,0)=-99,"N/A",OFFSET(BO$55,'Intermediate Data'!$CD57,0))))</f>
        <v>N/A</v>
      </c>
      <c r="CR57" s="114" t="str">
        <f ca="1">IF($CD57="","",IF(OFFSET(BP$55,'Intermediate Data'!$CD57,0)=-98,"Unknown",IF(OFFSET(BP$55,'Intermediate Data'!$CD57,0)=-99,"N/A",OFFSET(BP$55,'Intermediate Data'!$CD57,0))))</f>
        <v>N/A</v>
      </c>
      <c r="CS57" s="114" t="str">
        <f ca="1">IF($CD57="","",IF(OFFSET(BQ$55,'Intermediate Data'!$CD57,0)=-98,"Unknown",IF(OFFSET(BQ$55,'Intermediate Data'!$CD57,0)=-99,"N/A",OFFSET(BQ$55,'Intermediate Data'!$CD57,0))))</f>
        <v>N/A</v>
      </c>
      <c r="CT57" s="114" t="str">
        <f ca="1">IF($CD57="","",IF(OFFSET(BR$55,'Intermediate Data'!$CD57,0)=-98,"Unknown",IF(OFFSET(BR$55,'Intermediate Data'!$CD57,0)=-99,"N/A",OFFSET(BR$55,'Intermediate Data'!$CD57,0))))</f>
        <v>N/A</v>
      </c>
      <c r="CU57" s="114" t="str">
        <f ca="1">IF($CD57="","",IF(OFFSET(BS$55,'Intermediate Data'!$CD57,0)=-98,"Unknown",IF(OFFSET(BS$55,'Intermediate Data'!$CD57,0)=-99,"N/A",OFFSET(BS$55,'Intermediate Data'!$CD57,0))))</f>
        <v>N/A</v>
      </c>
      <c r="CV57" s="114">
        <f ca="1">IF($CD57="","",IF(OFFSET(BT$55,'Intermediate Data'!$CD57,0)=-98,"Unknown",IF(OFFSET(BT$55,'Intermediate Data'!$CD57,0)=-99,"N/A",OFFSET(BT$55,'Intermediate Data'!$CD57,0))))</f>
        <v>38718</v>
      </c>
      <c r="CW57" s="114">
        <f ca="1">IF($CD57="","",IF(OFFSET(BU$55,'Intermediate Data'!$CD57,0)=-98,"Unknown",IF(OFFSET(BU$55,'Intermediate Data'!$CD57,0)=-99,"N/A",OFFSET(BU$55,'Intermediate Data'!$CD57,0))))</f>
        <v>42370</v>
      </c>
      <c r="CX57" s="114">
        <f ca="1">IF($CD57="","",IF(OFFSET(BV$55,'Intermediate Data'!$CD57,0)=-98,"Unknown",IF(OFFSET(BV$55,'Intermediate Data'!$CD57,0)=-99,"N/A",OFFSET(BV$55,'Intermediate Data'!$CD57,0))))</f>
        <v>42370</v>
      </c>
      <c r="CY57" s="682">
        <f ca="1">IF($CD57="","",IF(OFFSET(BW$55,'Intermediate Data'!$CD57,0)=-98,"Unknown",IF(OFFSET(BW$55,'Intermediate Data'!$CD57,0)="N/A","",OFFSET(BW$55,'Intermediate Data'!$CD57,0))))</f>
        <v>375.8</v>
      </c>
      <c r="CZ57" s="682">
        <f ca="1">IF($CD57="","",IF(OFFSET(BX$55,'Intermediate Data'!$CD57,0)=-98,"Unknown",IF(OFFSET(BX$55,'Intermediate Data'!$CD57,0)="N/A","",OFFSET(BX$55,'Intermediate Data'!$CD57,0))))</f>
        <v>0.3</v>
      </c>
      <c r="DA57" s="682">
        <f ca="1">IF($CD57="","",IF(OFFSET(BY$55,'Intermediate Data'!$CD57,0)=-98,"Unknown",IF(OFFSET(BY$55,'Intermediate Data'!$CD57,0)="N/A","",OFFSET(BY$55,'Intermediate Data'!$CD57,0))))</f>
        <v>240</v>
      </c>
      <c r="DB57" s="682">
        <f ca="1">IF($CD57="","",IF(OFFSET(BZ$55,'Intermediate Data'!$CD57,0)=-98,"Unknown",IF(OFFSET(BZ$55,'Intermediate Data'!$CD57,0)="N/A","",OFFSET(BZ$55,'Intermediate Data'!$CD57,0))))</f>
        <v>0.15429999999999999</v>
      </c>
    </row>
    <row r="58" spans="1:106" x14ac:dyDescent="0.2">
      <c r="A58" s="90" t="str">
        <f ca="1">IF(OFFSET(DATA!F7,0,$D$48)='Intermediate Data'!$E$48,IF(OR($E$49=$C$27,$E$48=$B$4),DATA!A7,IF($G$49=DATA!D7,DATA!A7,"")),"")</f>
        <v/>
      </c>
      <c r="B58" s="90" t="str">
        <f ca="1">IF($A58="","",DATA!EH7)</f>
        <v/>
      </c>
      <c r="C58" s="90" t="str">
        <f ca="1">IF($A58="","",DATA!B7)</f>
        <v/>
      </c>
      <c r="D58" s="90" t="str">
        <f ca="1">IF($A58="","",OFFSET(DATA!$H7,0,($D$50*5)))</f>
        <v/>
      </c>
      <c r="E58" s="90" t="str">
        <f ca="1">IF($A58="","",OFFSET(DATA!$H7,0,($D$50*5)+1))</f>
        <v/>
      </c>
      <c r="F58" s="90" t="str">
        <f ca="1">IF($A58="","",OFFSET(DATA!$H7,0,($D$50*5)+2))</f>
        <v/>
      </c>
      <c r="G58" s="90" t="str">
        <f ca="1">IF($A58="","",OFFSET(DATA!$H7,0,($D$50*5)+3))</f>
        <v/>
      </c>
      <c r="H58" s="90" t="str">
        <f ca="1">IF($A58="","",OFFSET(DATA!$H7,0,($D$50*5)+4))</f>
        <v/>
      </c>
      <c r="I58" s="90" t="str">
        <f t="shared" ca="1" si="2"/>
        <v/>
      </c>
      <c r="J58" s="90" t="str">
        <f t="shared" ca="1" si="3"/>
        <v/>
      </c>
      <c r="K58" s="90" t="str">
        <f ca="1">IF($A58="","",OFFSET(DATA!$AG7,0,($D$50*5)))</f>
        <v/>
      </c>
      <c r="L58" s="90" t="str">
        <f ca="1">IF($A58="","",OFFSET(DATA!$AG7,0,($D$50*5)+1))</f>
        <v/>
      </c>
      <c r="M58" s="90" t="str">
        <f ca="1">IF($A58="","",OFFSET(DATA!$AG7,0,($D$50*5)+2))</f>
        <v/>
      </c>
      <c r="N58" s="90" t="str">
        <f ca="1">IF($A58="","",OFFSET(DATA!$AG7,0,($D$50*5)+3))</f>
        <v/>
      </c>
      <c r="O58" s="90" t="str">
        <f ca="1">IF($A58="","",OFFSET(DATA!$AG7,0,($D$50*5)+4))</f>
        <v/>
      </c>
      <c r="P58" s="90" t="str">
        <f t="shared" ca="1" si="4"/>
        <v/>
      </c>
      <c r="Q58" s="90" t="str">
        <f t="shared" ca="1" si="5"/>
        <v/>
      </c>
      <c r="R58" s="699" t="str">
        <f ca="1">IF($A58="","",IF(DATA!BF7="",-99,DATA!BF7))</f>
        <v/>
      </c>
      <c r="S58" s="90" t="str">
        <f ca="1">IF($A58="","",IF(DATA!BG7="",-99,DATA!BF7-DATA!BG7))</f>
        <v/>
      </c>
      <c r="T58" s="90" t="str">
        <f ca="1">IF($A58="","",DATA!BH7)</f>
        <v/>
      </c>
      <c r="U58" s="90" t="str">
        <f ca="1">IF($A58="","",OFFSET(DATA!BM7,0,$D$48))</f>
        <v/>
      </c>
      <c r="V58" s="90" t="str">
        <f t="shared" ca="1" si="6"/>
        <v/>
      </c>
      <c r="W58" s="99" t="str">
        <f t="shared" ca="1" si="7"/>
        <v/>
      </c>
      <c r="X58" s="112">
        <f t="shared" ca="1" si="8"/>
        <v>134.99993074375843</v>
      </c>
      <c r="Y58" s="90">
        <f t="shared" ca="1" si="9"/>
        <v>99</v>
      </c>
      <c r="AA58" s="90" t="str">
        <f ca="1">IF($Y58="","",IF(OFFSET(C$55,'Intermediate Data'!$Y58,0)=-98,"Unknown",IF(OFFSET(C$55,'Intermediate Data'!$Y58,0)=-99,"N/A",OFFSET(C$55,'Intermediate Data'!$Y58,0))))</f>
        <v>Aquarium - Lights, pumps</v>
      </c>
      <c r="AB58" s="90" t="str">
        <f ca="1">IF($Y58="","",IF(OFFSET(D$55,'Intermediate Data'!$Y58,0)=-98,"N/A",IF(OFFSET(D$55,'Intermediate Data'!$Y58,0)=-99,"N/A",OFFSET(D$55,'Intermediate Data'!$Y58,0))))</f>
        <v>N/A</v>
      </c>
      <c r="AC58" s="90">
        <f ca="1">IF($Y58="","",IF(OFFSET(E$55,'Intermediate Data'!$Y58,0)=-98,"N/A",IF(OFFSET(E$55,'Intermediate Data'!$Y58,0)=-99,"N/A",OFFSET(E$55,'Intermediate Data'!$Y58,0))))</f>
        <v>7.7531326020710695E-2</v>
      </c>
      <c r="AD58" s="90" t="str">
        <f ca="1">IF($Y58="","",IF(OFFSET(F$55,'Intermediate Data'!$Y58,0)=-98,"N/A",IF(OFFSET(F$55,'Intermediate Data'!$Y58,0)=-99,"N/A",OFFSET(F$55,'Intermediate Data'!$Y58,0))))</f>
        <v>N/A</v>
      </c>
      <c r="AE58" s="90">
        <f ca="1">IF($Y58="","",IF(OFFSET(G$55,'Intermediate Data'!$Y58,0)=-98,"N/A",IF(OFFSET(G$55,'Intermediate Data'!$Y58,0)=-99,"N/A",OFFSET(G$55,'Intermediate Data'!$Y58,0))))</f>
        <v>8.2283615650530564E-2</v>
      </c>
      <c r="AF58" s="90" t="str">
        <f ca="1">IF($Y58="","",IF(OFFSET(H$55,'Intermediate Data'!$Y58,0)=-98,"N/A",IF(OFFSET(H$55,'Intermediate Data'!$Y58,0)=-99,"N/A",OFFSET(H$55,'Intermediate Data'!$Y58,0))))</f>
        <v>N/A</v>
      </c>
      <c r="AG58" s="90">
        <f ca="1">IF($Y58="","",IF(OFFSET(I$55,'Intermediate Data'!$Y58,0)=-98,"N/A",IF(OFFSET(I$55,'Intermediate Data'!$Y58,0)=-99,"N/A",OFFSET(I$55,'Intermediate Data'!$Y58,0))))</f>
        <v>8.2283615650530564E-2</v>
      </c>
      <c r="AH58" s="90" t="str">
        <f ca="1">IF($Y58="","",IF(OFFSET(J$55,'Intermediate Data'!$Y58,0)=-98,"N/A",IF(OFFSET(J$55,'Intermediate Data'!$Y58,0)=-99,"N/A",OFFSET(J$55,'Intermediate Data'!$Y58,0))))</f>
        <v>RASS</v>
      </c>
      <c r="AI58" s="90" t="str">
        <f ca="1">IF($Y58="","",IF(OFFSET(K$55,'Intermediate Data'!$Y58,0)=-98,"N/A",IF(OFFSET(K$55,'Intermediate Data'!$Y58,0)=-99,"N/A",OFFSET(K$55,'Intermediate Data'!$Y58,0))))</f>
        <v>N/A</v>
      </c>
      <c r="AJ58" s="90">
        <f ca="1">IF($Y58="","",IF(OFFSET(L$55,'Intermediate Data'!$Y58,0)=-98,"N/A",IF(OFFSET(L$55,'Intermediate Data'!$Y58,0)=-99,"N/A",OFFSET(L$55,'Intermediate Data'!$Y58,0))))</f>
        <v>8.7880748217025892E-2</v>
      </c>
      <c r="AK58" s="90" t="str">
        <f ca="1">IF($Y58="","",IF(OFFSET(M$55,'Intermediate Data'!$Y58,0)=-98,"N/A",IF(OFFSET(M$55,'Intermediate Data'!$Y58,0)=-99,"N/A",OFFSET(M$55,'Intermediate Data'!$Y58,0))))</f>
        <v>N/A</v>
      </c>
      <c r="AL58" s="90">
        <f ca="1">IF($Y58="","",IF(OFFSET(N$55,'Intermediate Data'!$Y58,0)=-98,"N/A",IF(OFFSET(N$55,'Intermediate Data'!$Y58,0)=-99,"N/A",OFFSET(N$55,'Intermediate Data'!$Y58,0))))</f>
        <v>9.2205001129372993E-2</v>
      </c>
      <c r="AM58" s="90" t="str">
        <f ca="1">IF($Y58="","",IF(OFFSET(O$55,'Intermediate Data'!$Y58,0)=-98,"N/A",IF(OFFSET(O$55,'Intermediate Data'!$Y58,0)=-99,"N/A",OFFSET(O$55,'Intermediate Data'!$Y58,0))))</f>
        <v>N/A</v>
      </c>
      <c r="AN58" s="90">
        <f ca="1">IF($Y58="","",IF(OFFSET(P$55,'Intermediate Data'!$Y58,0)=-98,"N/A",IF(OFFSET(P$55,'Intermediate Data'!$Y58,0)=-99,"N/A",OFFSET(P$55,'Intermediate Data'!$Y58,0))))</f>
        <v>9.2205001129372993E-2</v>
      </c>
      <c r="AO58" s="90" t="str">
        <f ca="1">IF($Y58="","",IF(OFFSET(Q$55,'Intermediate Data'!$Y58,0)=-98,"N/A",IF(OFFSET(Q$55,'Intermediate Data'!$Y58,0)=-99,"N/A",OFFSET(Q$55,'Intermediate Data'!$Y58,0))))</f>
        <v>RASS</v>
      </c>
      <c r="AP58" s="697" t="str">
        <f ca="1">IF($Y58="","",IF(OFFSET(S$55,'Intermediate Data'!$Y58,0)=-98,"",IF(OFFSET(S$55,'Intermediate Data'!$Y58,0)=-99,"",OFFSET(S$55,'Intermediate Data'!$Y58,0))))</f>
        <v/>
      </c>
      <c r="AQ58" s="90" t="str">
        <f ca="1">IF($Y58="","",IF(OFFSET(T$55,'Intermediate Data'!$Y58,0)=-98,"Not published",IF(OFFSET(T$55,'Intermediate Data'!$Y58,0)=-99,"",OFFSET(T$55,'Intermediate Data'!$Y58,0))))</f>
        <v/>
      </c>
      <c r="AR58" s="90" t="str">
        <f ca="1">IF($Y58="","",IF(OFFSET(U$55,'Intermediate Data'!$Y58,0)=-98,"Unknown",IF(OFFSET(U$55,'Intermediate Data'!$Y58,0)=-99,"",OFFSET(U$55,'Intermediate Data'!$Y58,0))))</f>
        <v/>
      </c>
      <c r="AU58" s="112" t="str">
        <f ca="1">IF(AND(OFFSET(DATA!$F7,0,$AX$48)='Intermediate Data'!$AY$48,DATA!$E7="Tier 1"),IF(OR($AX$49=0,$AX$48=1),DATA!A7,IF(AND($AX$49=1,INDEX('Intermediate Data'!$AY$25:$AY$44,MATCH(DATA!$B7,'Intermediate Data'!$AX$25:$AX$44,0))=TRUE),DATA!A7,"")),"")</f>
        <v/>
      </c>
      <c r="AV58" s="112" t="str">
        <f ca="1">IF($AU58="","",DATA!B7)</f>
        <v/>
      </c>
      <c r="AW58" s="112" t="str">
        <f ca="1">IF(OR($AU58="",DATA!BI7=""),"",DATA!BI7)</f>
        <v/>
      </c>
      <c r="AX58" s="112" t="str">
        <f ca="1">IF(OR($AU58="",OFFSET(DATA!BK7,0,$AX$48)=""),"",OFFSET(DATA!BK7,0,$AX$48))</f>
        <v/>
      </c>
      <c r="AY58" s="112" t="str">
        <f ca="1">IF(OR($AU58="",OFFSET(DATA!BM7,0,$AX$48)=""),"",OFFSET(DATA!BM7,0,$AX$48))</f>
        <v/>
      </c>
      <c r="AZ58" s="112" t="str">
        <f ca="1">IF(OR($AU58="",OFFSET(DATA!BO7,0,'Intermediate Data'!$AX$48)=""),"",OFFSET(DATA!BO7,0,$AX$48))</f>
        <v/>
      </c>
      <c r="BA58" s="112" t="str">
        <f ca="1">IF(OR($AU58="",DATA!BQ7=""),"",DATA!BQ7)</f>
        <v/>
      </c>
      <c r="BB58" s="112" t="str">
        <f ca="1">IF($AU58="","",OFFSET(DATA!BS7,0,$AX$48))</f>
        <v/>
      </c>
      <c r="BC58" s="112" t="str">
        <f ca="1">IF($AU58="","",OFFSET(DATA!BU7,0,$AX$48))</f>
        <v/>
      </c>
      <c r="BD58" s="112" t="str">
        <f ca="1">IF($AU58="","",OFFSET(DATA!BW7,0,$AX$48))</f>
        <v/>
      </c>
      <c r="BE58" s="112" t="str">
        <f ca="1">IF($AU58="","",OFFSET(DATA!BY7,0,$AX$48))</f>
        <v/>
      </c>
      <c r="BF58" s="112" t="str">
        <f ca="1">IF($AU58="","",OFFSET(DATA!CA7,0,$AX$48))</f>
        <v/>
      </c>
      <c r="BG58" s="112" t="str">
        <f ca="1">IF($AU58="","",DATA!CC7)</f>
        <v/>
      </c>
      <c r="BH58" s="112" t="str">
        <f ca="1">IF($AU58="","",OFFSET(DATA!CE7,0,$AX$48))</f>
        <v/>
      </c>
      <c r="BI58" s="112" t="str">
        <f ca="1">IF($AU58="","",OFFSET(DATA!CG7,0,$AX$48))</f>
        <v/>
      </c>
      <c r="BJ58" s="112" t="str">
        <f ca="1">IF($AU58="","",OFFSET(DATA!CI7,0,$AX$48))</f>
        <v/>
      </c>
      <c r="BK58" s="112" t="str">
        <f ca="1">IF($AU58="","",OFFSET(DATA!CK7,0,$AX$48))</f>
        <v/>
      </c>
      <c r="BL58" s="112" t="str">
        <f ca="1">IF($AU58="","",OFFSET(DATA!CM7,0,$AX$48))</f>
        <v/>
      </c>
      <c r="BM58" s="112" t="str">
        <f ca="1">IF($AU58="","",DATA!BH7)</f>
        <v/>
      </c>
      <c r="BN58" s="112" t="str">
        <f ca="1">IF($AU58="","",DATA!DS7)</f>
        <v/>
      </c>
      <c r="BO58" s="112" t="str">
        <f ca="1">IF($AU58="","",DATA!DU7)</f>
        <v/>
      </c>
      <c r="BP58" s="112" t="str">
        <f ca="1">IF($AU58="","",DATA!DV7)</f>
        <v/>
      </c>
      <c r="BQ58" s="112" t="str">
        <f ca="1">IF($AU58="","",DATA!DX7)</f>
        <v/>
      </c>
      <c r="BR58" s="112" t="str">
        <f ca="1">IF($AU58="","",DATA!DZ7)</f>
        <v/>
      </c>
      <c r="BS58" s="171" t="str">
        <f ca="1">IF($AU58="","",DATA!EA7)</f>
        <v/>
      </c>
      <c r="BT58" s="171" t="str">
        <f ca="1">IF($AU58="","",DATA!EC7)</f>
        <v/>
      </c>
      <c r="BU58" s="171" t="str">
        <f ca="1">IF($AU58="","",DATA!EF7)</f>
        <v/>
      </c>
      <c r="BV58" s="113" t="str">
        <f t="shared" ca="1" si="10"/>
        <v/>
      </c>
      <c r="BW58" s="680" t="str">
        <f ca="1">IF(AU58="","",OFFSET(DATA!DC7,0,'Intermediate Data'!$AX$48))</f>
        <v/>
      </c>
      <c r="BX58" s="681" t="str">
        <f ca="1">IF($AU58="","",DATA!DG7)</f>
        <v/>
      </c>
      <c r="BY58" s="680" t="str">
        <f ca="1">IF($AU58="","",OFFSET(DATA!DE7,0,'Intermediate Data'!$AX$48))</f>
        <v/>
      </c>
      <c r="BZ58" s="681" t="str">
        <f ca="1">IF($AU58="","",DATA!DH7)</f>
        <v/>
      </c>
      <c r="CA58" s="90" t="str">
        <f t="shared" ca="1" si="11"/>
        <v/>
      </c>
      <c r="CB58" s="99" t="str">
        <f t="shared" ca="1" si="12"/>
        <v/>
      </c>
      <c r="CC58" s="90">
        <f t="shared" ca="1" si="13"/>
        <v>475.00056000000001</v>
      </c>
      <c r="CD58" s="90">
        <f t="shared" ca="1" si="14"/>
        <v>1</v>
      </c>
      <c r="CF58" s="90" t="str">
        <f ca="1">IF($CD58="","",IF(OFFSET(AV$55,'Intermediate Data'!$CD58,0)=-98,"Unknown",IF(OFFSET(AV$55,'Intermediate Data'!$CD58,0)=-99,"N/A",OFFSET(AV$55,'Intermediate Data'!$CD58,0))))</f>
        <v>Clothes washer</v>
      </c>
      <c r="CG58" s="90" t="str">
        <f ca="1">IF($CD58="","",IF(OFFSET(AW$55,'Intermediate Data'!$CD58,0)=-98,"",IF(OFFSET(AW$55,'Intermediate Data'!$CD58,0)=-99,"N/A",OFFSET(AW$55,'Intermediate Data'!$CD58,0))))</f>
        <v/>
      </c>
      <c r="CH58" s="90">
        <f ca="1">IF($CD58="","",IF(OFFSET(AX$55,'Intermediate Data'!$CD58,0)=-98,"Unknown",IF(OFFSET(AX$55,'Intermediate Data'!$CD58,0)=-99,"N/A",OFFSET(AX$55,'Intermediate Data'!$CD58,0))))</f>
        <v>475</v>
      </c>
      <c r="CI58" s="125">
        <f ca="1">IF($CD58="","",IF(OFFSET(AY$55,'Intermediate Data'!$CD58,0)=-98,"Unknown",IF(OFFSET(AY$55,'Intermediate Data'!$CD58,0)=-99,"No spec",OFFSET(AY$55,'Intermediate Data'!$CD58,0))))</f>
        <v>310</v>
      </c>
      <c r="CJ58" s="125" t="str">
        <f ca="1">IF($CD58="","",IF(OFFSET(AZ$55,'Intermediate Data'!$CD58,0)=-98,"Unknown",IF(OFFSET(AZ$55,'Intermediate Data'!$CD58,0)=-99,"N/A",OFFSET(AZ$55,'Intermediate Data'!$CD58,0))))</f>
        <v/>
      </c>
      <c r="CK58" s="90" t="str">
        <f ca="1">IF($CD58="","",IF(OFFSET(BA$55,'Intermediate Data'!$CD58,0)=-98,"Unknown",IF(OFFSET(BA$55,'Intermediate Data'!$CD58,0)=-99,"N/A",OFFSET(BA$55,'Intermediate Data'!$CD58,0))))</f>
        <v/>
      </c>
      <c r="CL58" s="90">
        <f ca="1">IF($CD58="","",IF(OFFSET(BB$55,'Intermediate Data'!$CD58,$AX$50)=-98,"Unknown",IF(OFFSET(BB$55,'Intermediate Data'!$CD58,$AX$50)="N/A","",OFFSET(BB$55,'Intermediate Data'!$CD58,$AX$50))))</f>
        <v>369.70118800515468</v>
      </c>
      <c r="CM58" s="90" t="str">
        <f ca="1">IF($CD58="","",IF(OFFSET(BG$55,'Intermediate Data'!$CD58,0)="ET","ET",""))</f>
        <v>ET</v>
      </c>
      <c r="CN58" s="90">
        <f ca="1">IF($CD58="","",IF(OFFSET(BH$55,'Intermediate Data'!$CD58,$AX$50)=-98,"Unknown",IF(OFFSET(BH$55,'Intermediate Data'!$CD58,$AX$50)="N/A","",OFFSET(BH$55,'Intermediate Data'!$CD58,$AX$50))))</f>
        <v>124022052.892993</v>
      </c>
      <c r="CO58" s="90">
        <f ca="1">IF($CD58="","",IF(OFFSET(BM$55,'Intermediate Data'!$CD58,0)=-98,"Not published",IF(OFFSET(BM$55,'Intermediate Data'!$CD58,0)=-99,"No spec",OFFSET(BM$55,'Intermediate Data'!$CD58,0))))</f>
        <v>0.66</v>
      </c>
      <c r="CP58" s="114">
        <f ca="1">IF($CD58="","",IF(OFFSET(BN$55,'Intermediate Data'!$CD58,0)=-98,"Unknown",IF(OFFSET(BN$55,'Intermediate Data'!$CD58,0)=-99,"N/A",OFFSET(BN$55,'Intermediate Data'!$CD58,0))))</f>
        <v>40544</v>
      </c>
      <c r="CQ58" s="114" t="str">
        <f ca="1">IF($CD58="","",IF(OFFSET(BO$55,'Intermediate Data'!$CD58,0)=-98,"Unknown",IF(OFFSET(BO$55,'Intermediate Data'!$CD58,0)=-99,"N/A",OFFSET(BO$55,'Intermediate Data'!$CD58,0))))</f>
        <v>Final</v>
      </c>
      <c r="CR58" s="114">
        <f ca="1">IF($CD58="","",IF(OFFSET(BP$55,'Intermediate Data'!$CD58,0)=-98,"Unknown",IF(OFFSET(BP$55,'Intermediate Data'!$CD58,0)=-99,"N/A",OFFSET(BP$55,'Intermediate Data'!$CD58,0))))</f>
        <v>42070</v>
      </c>
      <c r="CS58" s="114">
        <f ca="1">IF($CD58="","",IF(OFFSET(BQ$55,'Intermediate Data'!$CD58,0)=-98,"Unknown",IF(OFFSET(BQ$55,'Intermediate Data'!$CD58,0)=-99,"N/A",OFFSET(BQ$55,'Intermediate Data'!$CD58,0))))</f>
        <v>41306</v>
      </c>
      <c r="CT58" s="114" t="str">
        <f ca="1">IF($CD58="","",IF(OFFSET(BR$55,'Intermediate Data'!$CD58,0)=-98,"Unknown",IF(OFFSET(BR$55,'Intermediate Data'!$CD58,0)=-99,"N/A",OFFSET(BR$55,'Intermediate Data'!$CD58,0))))</f>
        <v>Final</v>
      </c>
      <c r="CU58" s="114">
        <f ca="1">IF($CD58="","",IF(OFFSET(BS$55,'Intermediate Data'!$CD58,0)=-98,"Unknown",IF(OFFSET(BS$55,'Intermediate Data'!$CD58,0)=-99,"N/A",OFFSET(BS$55,'Intermediate Data'!$CD58,0))))</f>
        <v>42070</v>
      </c>
      <c r="CV58" s="114" t="str">
        <f ca="1">IF($CD58="","",IF(OFFSET(BT$55,'Intermediate Data'!$CD58,0)=-98,"Unknown",IF(OFFSET(BT$55,'Intermediate Data'!$CD58,0)=-99,"N/A",OFFSET(BT$55,'Intermediate Data'!$CD58,0))))</f>
        <v>Federal</v>
      </c>
      <c r="CW58" s="114" t="str">
        <f ca="1">IF($CD58="","",IF(OFFSET(BU$55,'Intermediate Data'!$CD58,0)=-98,"Unknown",IF(OFFSET(BU$55,'Intermediate Data'!$CD58,0)=-99,"N/A",OFFSET(BU$55,'Intermediate Data'!$CD58,0))))</f>
        <v>N/A</v>
      </c>
      <c r="CX58" s="114">
        <f ca="1">IF($CD58="","",IF(OFFSET(BV$55,'Intermediate Data'!$CD58,0)=-98,"Unknown",IF(OFFSET(BV$55,'Intermediate Data'!$CD58,0)=-99,"N/A",OFFSET(BV$55,'Intermediate Data'!$CD58,0))))</f>
        <v>42070</v>
      </c>
      <c r="CY58" s="682" t="str">
        <f ca="1">IF($CD58="","",IF(OFFSET(BW$55,'Intermediate Data'!$CD58,0)=-98,"Unknown",IF(OFFSET(BW$55,'Intermediate Data'!$CD58,0)="N/A","",OFFSET(BW$55,'Intermediate Data'!$CD58,0))))</f>
        <v/>
      </c>
      <c r="CZ58" s="682" t="str">
        <f ca="1">IF($CD58="","",IF(OFFSET(BX$55,'Intermediate Data'!$CD58,0)=-98,"Unknown",IF(OFFSET(BX$55,'Intermediate Data'!$CD58,0)="N/A","",OFFSET(BX$55,'Intermediate Data'!$CD58,0))))</f>
        <v/>
      </c>
      <c r="DA58" s="682" t="str">
        <f ca="1">IF($CD58="","",IF(OFFSET(BY$55,'Intermediate Data'!$CD58,0)=-98,"Unknown",IF(OFFSET(BY$55,'Intermediate Data'!$CD58,0)="N/A","",OFFSET(BY$55,'Intermediate Data'!$CD58,0))))</f>
        <v/>
      </c>
      <c r="DB58" s="682" t="str">
        <f ca="1">IF($CD58="","",IF(OFFSET(BZ$55,'Intermediate Data'!$CD58,0)=-98,"Unknown",IF(OFFSET(BZ$55,'Intermediate Data'!$CD58,0)="N/A","",OFFSET(BZ$55,'Intermediate Data'!$CD58,0))))</f>
        <v/>
      </c>
    </row>
    <row r="59" spans="1:106" x14ac:dyDescent="0.2">
      <c r="A59" s="90">
        <f ca="1">IF(OFFSET(DATA!F8,0,$D$48)='Intermediate Data'!$E$48,IF(OR($E$49=$C$27,$E$48=$B$4),DATA!A8,IF($G$49=DATA!D8,DATA!A8,"")),"")</f>
        <v>4</v>
      </c>
      <c r="B59" s="90">
        <f ca="1">IF($A59="","",DATA!EH8)</f>
        <v>26</v>
      </c>
      <c r="C59" s="90" t="str">
        <f ca="1">IF($A59="","",DATA!B8)</f>
        <v>Stand-alone freezer</v>
      </c>
      <c r="D59" s="90">
        <f ca="1">IF($A59="","",OFFSET(DATA!$H8,0,($D$50*5)))</f>
        <v>0.161</v>
      </c>
      <c r="E59" s="90">
        <f ca="1">IF($A59="","",OFFSET(DATA!$H8,0,($D$50*5)+1))</f>
        <v>0.18872987922376952</v>
      </c>
      <c r="F59" s="90">
        <f ca="1">IF($A59="","",OFFSET(DATA!$H8,0,($D$50*5)+2))</f>
        <v>0.193</v>
      </c>
      <c r="G59" s="90">
        <f ca="1">IF($A59="","",OFFSET(DATA!$H8,0,($D$50*5)+3))</f>
        <v>0.18694317807906549</v>
      </c>
      <c r="H59" s="90">
        <f ca="1">IF($A59="","",OFFSET(DATA!$H8,0,($D$50*5)+4))</f>
        <v>0.15100000000000002</v>
      </c>
      <c r="I59" s="90">
        <f t="shared" ca="1" si="2"/>
        <v>0.15100000000000002</v>
      </c>
      <c r="J59" s="90" t="str">
        <f t="shared" ca="1" si="3"/>
        <v>CLASS</v>
      </c>
      <c r="K59" s="90">
        <f ca="1">IF($A59="","",OFFSET(DATA!$AG8,0,($D$50*5)))</f>
        <v>0.16900000000000001</v>
      </c>
      <c r="L59" s="90">
        <f ca="1">IF($A59="","",OFFSET(DATA!$AG8,0,($D$50*5)+1))</f>
        <v>0.1969225414581483</v>
      </c>
      <c r="M59" s="90">
        <f ca="1">IF($A59="","",OFFSET(DATA!$AG8,0,($D$50*5)+2))</f>
        <v>0.19800000000000001</v>
      </c>
      <c r="N59" s="90">
        <f ca="1">IF($A59="","",OFFSET(DATA!$AG8,0,($D$50*5)+3))</f>
        <v>0.19606892223426714</v>
      </c>
      <c r="O59" s="90">
        <f ca="1">IF($A59="","",OFFSET(DATA!$AG8,0,($D$50*5)+4))</f>
        <v>0.152</v>
      </c>
      <c r="P59" s="90">
        <f t="shared" ca="1" si="4"/>
        <v>0.152</v>
      </c>
      <c r="Q59" s="90" t="str">
        <f t="shared" ca="1" si="5"/>
        <v>CLASS</v>
      </c>
      <c r="R59" s="699">
        <f ca="1">IF($A59="","",IF(DATA!BF8="",-99,DATA!BF8))</f>
        <v>0.28100000000000003</v>
      </c>
      <c r="S59" s="90">
        <f ca="1">IF($A59="","",IF(DATA!BG8="",-99,DATA!BF8-DATA!BG8))</f>
        <v>7.1000000000000035E-2</v>
      </c>
      <c r="T59" s="90">
        <f ca="1">IF($A59="","",DATA!BH8)</f>
        <v>0.28999999999999998</v>
      </c>
      <c r="U59" s="90">
        <f ca="1">IF($A59="","",OFFSET(DATA!BM8,0,$D$48))</f>
        <v>30</v>
      </c>
      <c r="V59" s="90">
        <f t="shared" ca="1" si="6"/>
        <v>26</v>
      </c>
      <c r="W59" s="99">
        <f t="shared" ca="1" si="7"/>
        <v>26.000003207856452</v>
      </c>
      <c r="X59" s="112">
        <f t="shared" ca="1" si="8"/>
        <v>133.99993073947988</v>
      </c>
      <c r="Y59" s="90">
        <f t="shared" ca="1" si="9"/>
        <v>67</v>
      </c>
      <c r="AA59" s="90" t="str">
        <f ca="1">IF($Y59="","",IF(OFFSET(C$55,'Intermediate Data'!$Y59,0)=-98,"Unknown",IF(OFFSET(C$55,'Intermediate Data'!$Y59,0)=-99,"N/A",OFFSET(C$55,'Intermediate Data'!$Y59,0))))</f>
        <v>Attic fan</v>
      </c>
      <c r="AB59" s="90" t="str">
        <f ca="1">IF($Y59="","",IF(OFFSET(D$55,'Intermediate Data'!$Y59,0)=-98,"N/A",IF(OFFSET(D$55,'Intermediate Data'!$Y59,0)=-99,"N/A",OFFSET(D$55,'Intermediate Data'!$Y59,0))))</f>
        <v>N/A</v>
      </c>
      <c r="AC59" s="90">
        <f ca="1">IF($Y59="","",IF(OFFSET(E$55,'Intermediate Data'!$Y59,0)=-98,"N/A",IF(OFFSET(E$55,'Intermediate Data'!$Y59,0)=-99,"N/A",OFFSET(E$55,'Intermediate Data'!$Y59,0))))</f>
        <v>5.9898197375220903E-2</v>
      </c>
      <c r="AD59" s="90" t="str">
        <f ca="1">IF($Y59="","",IF(OFFSET(F$55,'Intermediate Data'!$Y59,0)=-98,"N/A",IF(OFFSET(F$55,'Intermediate Data'!$Y59,0)=-99,"N/A",OFFSET(F$55,'Intermediate Data'!$Y59,0))))</f>
        <v>N/A</v>
      </c>
      <c r="AE59" s="90">
        <f ca="1">IF($Y59="","",IF(OFFSET(G$55,'Intermediate Data'!$Y59,0)=-98,"N/A",IF(OFFSET(G$55,'Intermediate Data'!$Y59,0)=-99,"N/A",OFFSET(G$55,'Intermediate Data'!$Y59,0))))</f>
        <v>7.9451480391947105E-2</v>
      </c>
      <c r="AF59" s="90" t="str">
        <f ca="1">IF($Y59="","",IF(OFFSET(H$55,'Intermediate Data'!$Y59,0)=-98,"N/A",IF(OFFSET(H$55,'Intermediate Data'!$Y59,0)=-99,"N/A",OFFSET(H$55,'Intermediate Data'!$Y59,0))))</f>
        <v>N/A</v>
      </c>
      <c r="AG59" s="90">
        <f ca="1">IF($Y59="","",IF(OFFSET(I$55,'Intermediate Data'!$Y59,0)=-98,"N/A",IF(OFFSET(I$55,'Intermediate Data'!$Y59,0)=-99,"N/A",OFFSET(I$55,'Intermediate Data'!$Y59,0))))</f>
        <v>7.9451480391947105E-2</v>
      </c>
      <c r="AH59" s="90" t="str">
        <f ca="1">IF($Y59="","",IF(OFFSET(J$55,'Intermediate Data'!$Y59,0)=-98,"N/A",IF(OFFSET(J$55,'Intermediate Data'!$Y59,0)=-99,"N/A",OFFSET(J$55,'Intermediate Data'!$Y59,0))))</f>
        <v>RASS</v>
      </c>
      <c r="AI59" s="90" t="str">
        <f ca="1">IF($Y59="","",IF(OFFSET(K$55,'Intermediate Data'!$Y59,0)=-98,"N/A",IF(OFFSET(K$55,'Intermediate Data'!$Y59,0)=-99,"N/A",OFFSET(K$55,'Intermediate Data'!$Y59,0))))</f>
        <v>N/A</v>
      </c>
      <c r="AJ59" s="90">
        <f ca="1">IF($Y59="","",IF(OFFSET(L$55,'Intermediate Data'!$Y59,0)=-98,"N/A",IF(OFFSET(L$55,'Intermediate Data'!$Y59,0)=-99,"N/A",OFFSET(L$55,'Intermediate Data'!$Y59,0))))</f>
        <v>6.9779706229129435E-2</v>
      </c>
      <c r="AK59" s="90" t="str">
        <f ca="1">IF($Y59="","",IF(OFFSET(M$55,'Intermediate Data'!$Y59,0)=-98,"N/A",IF(OFFSET(M$55,'Intermediate Data'!$Y59,0)=-99,"N/A",OFFSET(M$55,'Intermediate Data'!$Y59,0))))</f>
        <v>N/A</v>
      </c>
      <c r="AL59" s="90">
        <f ca="1">IF($Y59="","",IF(OFFSET(N$55,'Intermediate Data'!$Y59,0)=-98,"N/A",IF(OFFSET(N$55,'Intermediate Data'!$Y59,0)=-99,"N/A",OFFSET(N$55,'Intermediate Data'!$Y59,0))))</f>
        <v>9.4017850539612605E-2</v>
      </c>
      <c r="AM59" s="90" t="str">
        <f ca="1">IF($Y59="","",IF(OFFSET(O$55,'Intermediate Data'!$Y59,0)=-98,"N/A",IF(OFFSET(O$55,'Intermediate Data'!$Y59,0)=-99,"N/A",OFFSET(O$55,'Intermediate Data'!$Y59,0))))</f>
        <v>N/A</v>
      </c>
      <c r="AN59" s="90">
        <f ca="1">IF($Y59="","",IF(OFFSET(P$55,'Intermediate Data'!$Y59,0)=-98,"N/A",IF(OFFSET(P$55,'Intermediate Data'!$Y59,0)=-99,"N/A",OFFSET(P$55,'Intermediate Data'!$Y59,0))))</f>
        <v>9.4017850539612605E-2</v>
      </c>
      <c r="AO59" s="90" t="str">
        <f ca="1">IF($Y59="","",IF(OFFSET(Q$55,'Intermediate Data'!$Y59,0)=-98,"N/A",IF(OFFSET(Q$55,'Intermediate Data'!$Y59,0)=-99,"N/A",OFFSET(Q$55,'Intermediate Data'!$Y59,0))))</f>
        <v>RASS</v>
      </c>
      <c r="AP59" s="697" t="str">
        <f ca="1">IF($Y59="","",IF(OFFSET(S$55,'Intermediate Data'!$Y59,0)=-98,"",IF(OFFSET(S$55,'Intermediate Data'!$Y59,0)=-99,"",OFFSET(S$55,'Intermediate Data'!$Y59,0))))</f>
        <v/>
      </c>
      <c r="AQ59" s="90" t="str">
        <f ca="1">IF($Y59="","",IF(OFFSET(T$55,'Intermediate Data'!$Y59,0)=-98,"Not published",IF(OFFSET(T$55,'Intermediate Data'!$Y59,0)=-99,"",OFFSET(T$55,'Intermediate Data'!$Y59,0))))</f>
        <v/>
      </c>
      <c r="AR59" s="90" t="str">
        <f ca="1">IF($Y59="","",IF(OFFSET(U$55,'Intermediate Data'!$Y59,0)=-98,"Unknown",IF(OFFSET(U$55,'Intermediate Data'!$Y59,0)=-99,"",OFFSET(U$55,'Intermediate Data'!$Y59,0))))</f>
        <v/>
      </c>
      <c r="AU59" s="112">
        <f ca="1">IF(AND(OFFSET(DATA!$F8,0,$AX$48)='Intermediate Data'!$AY$48,DATA!$E8="Tier 1"),IF(OR($AX$49=0,$AX$48=1),DATA!A8,IF(AND($AX$49=1,INDEX('Intermediate Data'!$AY$25:$AY$44,MATCH(DATA!$B8,'Intermediate Data'!$AX$25:$AX$44,0))=TRUE),DATA!A8,"")),"")</f>
        <v>4</v>
      </c>
      <c r="AV59" s="112" t="str">
        <f ca="1">IF($AU59="","",DATA!B8)</f>
        <v>Stand-alone freezer</v>
      </c>
      <c r="AW59" s="112">
        <f ca="1">IF(OR($AU59="",DATA!BI8=""),"",DATA!BI8)</f>
        <v>-98</v>
      </c>
      <c r="AX59" s="112">
        <f ca="1">IF(OR($AU59="",OFFSET(DATA!BK8,0,$AX$48)=""),"",OFFSET(DATA!BK8,0,$AX$48))</f>
        <v>145</v>
      </c>
      <c r="AY59" s="112">
        <f ca="1">IF(OR($AU59="",OFFSET(DATA!BM8,0,$AX$48)=""),"",OFFSET(DATA!BM8,0,$AX$48))</f>
        <v>30</v>
      </c>
      <c r="AZ59" s="112" t="str">
        <f ca="1">IF(OR($AU59="",OFFSET(DATA!BO8,0,'Intermediate Data'!$AX$48)=""),"",OFFSET(DATA!BO8,0,$AX$48))</f>
        <v/>
      </c>
      <c r="BA59" s="112" t="str">
        <f ca="1">IF(OR($AU59="",DATA!BQ8=""),"",DATA!BQ8)</f>
        <v/>
      </c>
      <c r="BB59" s="112" t="str">
        <f ca="1">IF($AU59="","",OFFSET(DATA!BS8,0,$AX$48))</f>
        <v>N/A</v>
      </c>
      <c r="BC59" s="112" t="str">
        <f ca="1">IF($AU59="","",OFFSET(DATA!BU8,0,$AX$48))</f>
        <v>N/A</v>
      </c>
      <c r="BD59" s="112" t="str">
        <f ca="1">IF($AU59="","",OFFSET(DATA!BW8,0,$AX$48))</f>
        <v>N/A</v>
      </c>
      <c r="BE59" s="112" t="str">
        <f ca="1">IF($AU59="","",OFFSET(DATA!BY8,0,$AX$48))</f>
        <v>N/A</v>
      </c>
      <c r="BF59" s="112" t="str">
        <f ca="1">IF($AU59="","",OFFSET(DATA!CA8,0,$AX$48))</f>
        <v>N/A</v>
      </c>
      <c r="BG59" s="112" t="str">
        <f ca="1">IF($AU59="","",DATA!CC8)</f>
        <v>N/A</v>
      </c>
      <c r="BH59" s="112" t="str">
        <f ca="1">IF($AU59="","",OFFSET(DATA!CE8,0,$AX$48))</f>
        <v>N/A</v>
      </c>
      <c r="BI59" s="112" t="str">
        <f ca="1">IF($AU59="","",OFFSET(DATA!CG8,0,$AX$48))</f>
        <v>N/A</v>
      </c>
      <c r="BJ59" s="112" t="str">
        <f ca="1">IF($AU59="","",OFFSET(DATA!CI8,0,$AX$48))</f>
        <v>N/A</v>
      </c>
      <c r="BK59" s="112" t="str">
        <f ca="1">IF($AU59="","",OFFSET(DATA!CK8,0,$AX$48))</f>
        <v>N/A</v>
      </c>
      <c r="BL59" s="112" t="str">
        <f ca="1">IF($AU59="","",OFFSET(DATA!CM8,0,$AX$48))</f>
        <v>N/A</v>
      </c>
      <c r="BM59" s="112">
        <f ca="1">IF($AU59="","",DATA!BH8)</f>
        <v>0.28999999999999998</v>
      </c>
      <c r="BN59" s="112">
        <f ca="1">IF($AU59="","",DATA!DS8)</f>
        <v>37073</v>
      </c>
      <c r="BO59" s="112" t="str">
        <f ca="1">IF($AU59="","",DATA!DU8)</f>
        <v>Final</v>
      </c>
      <c r="BP59" s="112">
        <f ca="1">IF($AU59="","",DATA!DV8)</f>
        <v>41897</v>
      </c>
      <c r="BQ59" s="112">
        <f ca="1">IF($AU59="","",DATA!DX8)</f>
        <v>39566</v>
      </c>
      <c r="BR59" s="112" t="str">
        <f ca="1">IF($AU59="","",DATA!DZ8)</f>
        <v>Final</v>
      </c>
      <c r="BS59" s="171">
        <f ca="1">IF($AU59="","",DATA!EA8)</f>
        <v>41897</v>
      </c>
      <c r="BT59" s="171" t="str">
        <f ca="1">IF($AU59="","",DATA!EC8)</f>
        <v>Federal</v>
      </c>
      <c r="BU59" s="171" t="str">
        <f ca="1">IF($AU59="","",DATA!EF8)</f>
        <v>N/A</v>
      </c>
      <c r="BV59" s="113">
        <f t="shared" ca="1" si="10"/>
        <v>41897</v>
      </c>
      <c r="BW59" s="680" t="str">
        <f ca="1">IF(AU59="","",OFFSET(DATA!DC8,0,'Intermediate Data'!$AX$48))</f>
        <v>N/A</v>
      </c>
      <c r="BX59" s="681" t="str">
        <f ca="1">IF($AU59="","",DATA!DG8)</f>
        <v>N/A</v>
      </c>
      <c r="BY59" s="680" t="str">
        <f ca="1">IF($AU59="","",OFFSET(DATA!DE8,0,'Intermediate Data'!$AX$48))</f>
        <v>N/A</v>
      </c>
      <c r="BZ59" s="681" t="str">
        <f ca="1">IF($AU59="","",DATA!DH8)</f>
        <v>N/A</v>
      </c>
      <c r="CA59" s="90">
        <f t="shared" ca="1" si="11"/>
        <v>145</v>
      </c>
      <c r="CB59" s="99">
        <f t="shared" ca="1" si="12"/>
        <v>145.00058999999999</v>
      </c>
      <c r="CC59" s="90">
        <f t="shared" ca="1" si="13"/>
        <v>243.00061000000002</v>
      </c>
      <c r="CD59" s="90">
        <f t="shared" ca="1" si="14"/>
        <v>6</v>
      </c>
      <c r="CF59" s="90" t="str">
        <f ca="1">IF($CD59="","",IF(OFFSET(AV$55,'Intermediate Data'!$CD59,0)=-98,"Unknown",IF(OFFSET(AV$55,'Intermediate Data'!$CD59,0)=-99,"N/A",OFFSET(AV$55,'Intermediate Data'!$CD59,0))))</f>
        <v>Clothes dryer - Electric</v>
      </c>
      <c r="CG59" s="90" t="str">
        <f ca="1">IF($CD59="","",IF(OFFSET(AW$55,'Intermediate Data'!$CD59,0)=-98,"",IF(OFFSET(AW$55,'Intermediate Data'!$CD59,0)=-99,"N/A",OFFSET(AW$55,'Intermediate Data'!$CD59,0))))</f>
        <v/>
      </c>
      <c r="CH59" s="90">
        <f ca="1">IF($CD59="","",IF(OFFSET(AX$55,'Intermediate Data'!$CD59,0)=-98,"Unknown",IF(OFFSET(AX$55,'Intermediate Data'!$CD59,0)=-99,"N/A",OFFSET(AX$55,'Intermediate Data'!$CD59,0))))</f>
        <v>243.00000000000003</v>
      </c>
      <c r="CI59" s="125">
        <f ca="1">IF($CD59="","",IF(OFFSET(AY$55,'Intermediate Data'!$CD59,0)=-98,"Unknown",IF(OFFSET(AY$55,'Intermediate Data'!$CD59,0)=-99,"No spec",OFFSET(AY$55,'Intermediate Data'!$CD59,0))))</f>
        <v>160</v>
      </c>
      <c r="CJ59" s="125" t="str">
        <f ca="1">IF($CD59="","",IF(OFFSET(AZ$55,'Intermediate Data'!$CD59,0)=-98,"Unknown",IF(OFFSET(AZ$55,'Intermediate Data'!$CD59,0)=-99,"N/A",OFFSET(AZ$55,'Intermediate Data'!$CD59,0))))</f>
        <v/>
      </c>
      <c r="CK59" s="90" t="str">
        <f ca="1">IF($CD59="","",IF(OFFSET(BA$55,'Intermediate Data'!$CD59,0)=-98,"Unknown",IF(OFFSET(BA$55,'Intermediate Data'!$CD59,0)=-99,"N/A",OFFSET(BA$55,'Intermediate Data'!$CD59,0))))</f>
        <v/>
      </c>
      <c r="CL59" s="90">
        <f ca="1">IF($CD59="","",IF(OFFSET(BB$55,'Intermediate Data'!$CD59,$AX$50)=-98,"Unknown",IF(OFFSET(BB$55,'Intermediate Data'!$CD59,$AX$50)="N/A","",OFFSET(BB$55,'Intermediate Data'!$CD59,$AX$50))))</f>
        <v>359.49999975127514</v>
      </c>
      <c r="CM59" s="90" t="str">
        <f ca="1">IF($CD59="","",IF(OFFSET(BG$55,'Intermediate Data'!$CD59,0)="ET","ET",""))</f>
        <v>ET</v>
      </c>
      <c r="CN59" s="90">
        <f ca="1">IF($CD59="","",IF(OFFSET(BH$55,'Intermediate Data'!$CD59,$AX$50)=-98,"Unknown",IF(OFFSET(BH$55,'Intermediate Data'!$CD59,$AX$50)="N/A","",OFFSET(BH$55,'Intermediate Data'!$CD59,$AX$50))))</f>
        <v>1117883096.3319499</v>
      </c>
      <c r="CO59" s="90" t="str">
        <f ca="1">IF($CD59="","",IF(OFFSET(BM$55,'Intermediate Data'!$CD59,0)=-98,"Not published",IF(OFFSET(BM$55,'Intermediate Data'!$CD59,0)=-99,"No spec",OFFSET(BM$55,'Intermediate Data'!$CD59,0))))</f>
        <v>No spec</v>
      </c>
      <c r="CP59" s="114">
        <f ca="1">IF($CD59="","",IF(OFFSET(BN$55,'Intermediate Data'!$CD59,0)=-98,"Unknown",IF(OFFSET(BN$55,'Intermediate Data'!$CD59,0)=-99,"N/A",OFFSET(BN$55,'Intermediate Data'!$CD59,0))))</f>
        <v>34468</v>
      </c>
      <c r="CQ59" s="114" t="str">
        <f ca="1">IF($CD59="","",IF(OFFSET(BO$55,'Intermediate Data'!$CD59,0)=-98,"Unknown",IF(OFFSET(BO$55,'Intermediate Data'!$CD59,0)=-99,"N/A",OFFSET(BO$55,'Intermediate Data'!$CD59,0))))</f>
        <v>Final</v>
      </c>
      <c r="CR59" s="114">
        <f ca="1">IF($CD59="","",IF(OFFSET(BP$55,'Intermediate Data'!$CD59,0)=-98,"Unknown",IF(OFFSET(BP$55,'Intermediate Data'!$CD59,0)=-99,"N/A",OFFSET(BP$55,'Intermediate Data'!$CD59,0))))</f>
        <v>42005</v>
      </c>
      <c r="CS59" s="114" t="str">
        <f ca="1">IF($CD59="","",IF(OFFSET(BQ$55,'Intermediate Data'!$CD59,0)=-98,"Unknown",IF(OFFSET(BQ$55,'Intermediate Data'!$CD59,0)=-99,"N/A",OFFSET(BQ$55,'Intermediate Data'!$CD59,0))))</f>
        <v>N/A</v>
      </c>
      <c r="CT59" s="114" t="str">
        <f ca="1">IF($CD59="","",IF(OFFSET(BR$55,'Intermediate Data'!$CD59,0)=-98,"Unknown",IF(OFFSET(BR$55,'Intermediate Data'!$CD59,0)=-99,"N/A",OFFSET(BR$55,'Intermediate Data'!$CD59,0))))</f>
        <v>In Process</v>
      </c>
      <c r="CU59" s="114">
        <f ca="1">IF($CD59="","",IF(OFFSET(BS$55,'Intermediate Data'!$CD59,0)=-98,"Unknown",IF(OFFSET(BS$55,'Intermediate Data'!$CD59,0)=-99,"N/A",OFFSET(BS$55,'Intermediate Data'!$CD59,0))))</f>
        <v>42005</v>
      </c>
      <c r="CV59" s="114" t="str">
        <f ca="1">IF($CD59="","",IF(OFFSET(BT$55,'Intermediate Data'!$CD59,0)=-98,"Unknown",IF(OFFSET(BT$55,'Intermediate Data'!$CD59,0)=-99,"N/A",OFFSET(BT$55,'Intermediate Data'!$CD59,0))))</f>
        <v>Federal</v>
      </c>
      <c r="CW59" s="114" t="str">
        <f ca="1">IF($CD59="","",IF(OFFSET(BU$55,'Intermediate Data'!$CD59,0)=-98,"Unknown",IF(OFFSET(BU$55,'Intermediate Data'!$CD59,0)=-99,"N/A",OFFSET(BU$55,'Intermediate Data'!$CD59,0))))</f>
        <v>N/A</v>
      </c>
      <c r="CX59" s="114">
        <f ca="1">IF($CD59="","",IF(OFFSET(BV$55,'Intermediate Data'!$CD59,0)=-98,"Unknown",IF(OFFSET(BV$55,'Intermediate Data'!$CD59,0)=-99,"N/A",OFFSET(BV$55,'Intermediate Data'!$CD59,0))))</f>
        <v>42005</v>
      </c>
      <c r="CY59" s="682" t="str">
        <f ca="1">IF($CD59="","",IF(OFFSET(BW$55,'Intermediate Data'!$CD59,0)=-98,"Unknown",IF(OFFSET(BW$55,'Intermediate Data'!$CD59,0)="N/A","",OFFSET(BW$55,'Intermediate Data'!$CD59,0))))</f>
        <v/>
      </c>
      <c r="CZ59" s="682" t="str">
        <f ca="1">IF($CD59="","",IF(OFFSET(BX$55,'Intermediate Data'!$CD59,0)=-98,"Unknown",IF(OFFSET(BX$55,'Intermediate Data'!$CD59,0)="N/A","",OFFSET(BX$55,'Intermediate Data'!$CD59,0))))</f>
        <v/>
      </c>
      <c r="DA59" s="682" t="str">
        <f ca="1">IF($CD59="","",IF(OFFSET(BY$55,'Intermediate Data'!$CD59,0)=-98,"Unknown",IF(OFFSET(BY$55,'Intermediate Data'!$CD59,0)="N/A","",OFFSET(BY$55,'Intermediate Data'!$CD59,0))))</f>
        <v/>
      </c>
      <c r="DB59" s="682" t="str">
        <f ca="1">IF($CD59="","",IF(OFFSET(BZ$55,'Intermediate Data'!$CD59,0)=-98,"Unknown",IF(OFFSET(BZ$55,'Intermediate Data'!$CD59,0)="N/A","",OFFSET(BZ$55,'Intermediate Data'!$CD59,0))))</f>
        <v/>
      </c>
    </row>
    <row r="60" spans="1:106" x14ac:dyDescent="0.2">
      <c r="A60" s="90">
        <f ca="1">IF(OFFSET(DATA!F9,0,$D$48)='Intermediate Data'!$E$48,IF(OR($E$49=$C$27,$E$48=$B$4),DATA!A9,IF($G$49=DATA!D9,DATA!A9,"")),"")</f>
        <v>5</v>
      </c>
      <c r="B60" s="90">
        <f ca="1">IF($A60="","",DATA!EH9)</f>
        <v>43</v>
      </c>
      <c r="C60" s="90" t="str">
        <f ca="1">IF($A60="","",DATA!B9)</f>
        <v>Refrigerator/freezer</v>
      </c>
      <c r="D60" s="90">
        <f ca="1">IF($A60="","",OFFSET(DATA!$H9,0,($D$50*5)))</f>
        <v>-98</v>
      </c>
      <c r="E60" s="90">
        <f ca="1">IF($A60="","",OFFSET(DATA!$H9,0,($D$50*5)+1))</f>
        <v>0.99870892732744043</v>
      </c>
      <c r="F60" s="90">
        <f ca="1">IF($A60="","",OFFSET(DATA!$H9,0,($D$50*5)+2))</f>
        <v>1</v>
      </c>
      <c r="G60" s="90">
        <f ca="1">IF($A60="","",OFFSET(DATA!$H9,0,($D$50*5)+3))</f>
        <v>0.99801470744118836</v>
      </c>
      <c r="H60" s="90">
        <f ca="1">IF($A60="","",OFFSET(DATA!$H9,0,($D$50*5)+4))</f>
        <v>0.999</v>
      </c>
      <c r="I60" s="90">
        <f t="shared" ca="1" si="2"/>
        <v>0.999</v>
      </c>
      <c r="J60" s="90" t="str">
        <f t="shared" ca="1" si="3"/>
        <v>CLASS</v>
      </c>
      <c r="K60" s="90">
        <f ca="1">IF($A60="","",OFFSET(DATA!$AG9,0,($D$50*5)))</f>
        <v>-99</v>
      </c>
      <c r="L60" s="90">
        <f ca="1">IF($A60="","",OFFSET(DATA!$AG9,0,($D$50*5)+1))</f>
        <v>1.1996594589533784</v>
      </c>
      <c r="M60" s="90">
        <f ca="1">IF($A60="","",OFFSET(DATA!$AG9,0,($D$50*5)+2))</f>
        <v>1.411</v>
      </c>
      <c r="N60" s="90">
        <f ca="1">IF($A60="","",OFFSET(DATA!$AG9,0,($D$50*5)+3))</f>
        <v>1.2706475164401392</v>
      </c>
      <c r="O60" s="90">
        <f ca="1">IF($A60="","",OFFSET(DATA!$AG9,0,($D$50*5)+4))</f>
        <v>1.3069999999999999</v>
      </c>
      <c r="P60" s="90">
        <f t="shared" ca="1" si="4"/>
        <v>1.3069999999999999</v>
      </c>
      <c r="Q60" s="90" t="str">
        <f t="shared" ca="1" si="5"/>
        <v>CLASS</v>
      </c>
      <c r="R60" s="699">
        <f ca="1">IF($A60="","",IF(DATA!BF9="",-99,DATA!BF9))</f>
        <v>0.75900000000000001</v>
      </c>
      <c r="S60" s="90">
        <f ca="1">IF($A60="","",IF(DATA!BG9="",-99,DATA!BF9-DATA!BG9))</f>
        <v>0.19899999999999995</v>
      </c>
      <c r="T60" s="90">
        <f ca="1">IF($A60="","",DATA!BH9)</f>
        <v>0.74</v>
      </c>
      <c r="U60" s="90">
        <f ca="1">IF($A60="","",OFFSET(DATA!BM9,0,$D$48))</f>
        <v>50</v>
      </c>
      <c r="V60" s="90">
        <f t="shared" ca="1" si="6"/>
        <v>43</v>
      </c>
      <c r="W60" s="99">
        <f t="shared" ca="1" si="7"/>
        <v>42.999996192903055</v>
      </c>
      <c r="X60" s="112">
        <f t="shared" ca="1" si="8"/>
        <v>132.99990290064</v>
      </c>
      <c r="Y60" s="90">
        <f t="shared" ca="1" si="9"/>
        <v>9</v>
      </c>
      <c r="AA60" s="90" t="str">
        <f ca="1">IF($Y60="","",IF(OFFSET(C$55,'Intermediate Data'!$Y60,0)=-98,"Unknown",IF(OFFSET(C$55,'Intermediate Data'!$Y60,0)=-99,"N/A",OFFSET(C$55,'Intermediate Data'!$Y60,0))))</f>
        <v>Component audio</v>
      </c>
      <c r="AB60" s="90" t="str">
        <f ca="1">IF($Y60="","",IF(OFFSET(D$55,'Intermediate Data'!$Y60,0)=-98,"N/A",IF(OFFSET(D$55,'Intermediate Data'!$Y60,0)=-99,"N/A",OFFSET(D$55,'Intermediate Data'!$Y60,0))))</f>
        <v>N/A</v>
      </c>
      <c r="AC60" s="90" t="str">
        <f ca="1">IF($Y60="","",IF(OFFSET(E$55,'Intermediate Data'!$Y60,0)=-98,"N/A",IF(OFFSET(E$55,'Intermediate Data'!$Y60,0)=-99,"N/A",OFFSET(E$55,'Intermediate Data'!$Y60,0))))</f>
        <v>N/A</v>
      </c>
      <c r="AD60" s="90" t="str">
        <f ca="1">IF($Y60="","",IF(OFFSET(F$55,'Intermediate Data'!$Y60,0)=-98,"N/A",IF(OFFSET(F$55,'Intermediate Data'!$Y60,0)=-99,"N/A",OFFSET(F$55,'Intermediate Data'!$Y60,0))))</f>
        <v>N/A</v>
      </c>
      <c r="AE60" s="90" t="str">
        <f ca="1">IF($Y60="","",IF(OFFSET(G$55,'Intermediate Data'!$Y60,0)=-98,"N/A",IF(OFFSET(G$55,'Intermediate Data'!$Y60,0)=-99,"N/A",OFFSET(G$55,'Intermediate Data'!$Y60,0))))</f>
        <v>N/A</v>
      </c>
      <c r="AF60" s="90" t="str">
        <f ca="1">IF($Y60="","",IF(OFFSET(H$55,'Intermediate Data'!$Y60,0)=-98,"N/A",IF(OFFSET(H$55,'Intermediate Data'!$Y60,0)=-99,"N/A",OFFSET(H$55,'Intermediate Data'!$Y60,0))))</f>
        <v>N/A</v>
      </c>
      <c r="AG60" s="90" t="str">
        <f ca="1">IF($Y60="","",IF(OFFSET(I$55,'Intermediate Data'!$Y60,0)=-98,"N/A",IF(OFFSET(I$55,'Intermediate Data'!$Y60,0)=-99,"N/A",OFFSET(I$55,'Intermediate Data'!$Y60,0))))</f>
        <v>N/A</v>
      </c>
      <c r="AH60" s="90" t="str">
        <f ca="1">IF($Y60="","",IF(OFFSET(J$55,'Intermediate Data'!$Y60,0)=-98,"N/A",IF(OFFSET(J$55,'Intermediate Data'!$Y60,0)=-99,"N/A",OFFSET(J$55,'Intermediate Data'!$Y60,0))))</f>
        <v/>
      </c>
      <c r="AI60" s="90" t="str">
        <f ca="1">IF($Y60="","",IF(OFFSET(K$55,'Intermediate Data'!$Y60,0)=-98,"N/A",IF(OFFSET(K$55,'Intermediate Data'!$Y60,0)=-99,"N/A",OFFSET(K$55,'Intermediate Data'!$Y60,0))))</f>
        <v>N/A</v>
      </c>
      <c r="AJ60" s="90" t="str">
        <f ca="1">IF($Y60="","",IF(OFFSET(L$55,'Intermediate Data'!$Y60,0)=-98,"N/A",IF(OFFSET(L$55,'Intermediate Data'!$Y60,0)=-99,"N/A",OFFSET(L$55,'Intermediate Data'!$Y60,0))))</f>
        <v>N/A</v>
      </c>
      <c r="AK60" s="90" t="str">
        <f ca="1">IF($Y60="","",IF(OFFSET(M$55,'Intermediate Data'!$Y60,0)=-98,"N/A",IF(OFFSET(M$55,'Intermediate Data'!$Y60,0)=-99,"N/A",OFFSET(M$55,'Intermediate Data'!$Y60,0))))</f>
        <v>N/A</v>
      </c>
      <c r="AL60" s="90" t="str">
        <f ca="1">IF($Y60="","",IF(OFFSET(N$55,'Intermediate Data'!$Y60,0)=-98,"N/A",IF(OFFSET(N$55,'Intermediate Data'!$Y60,0)=-99,"N/A",OFFSET(N$55,'Intermediate Data'!$Y60,0))))</f>
        <v>N/A</v>
      </c>
      <c r="AM60" s="90" t="str">
        <f ca="1">IF($Y60="","",IF(OFFSET(O$55,'Intermediate Data'!$Y60,0)=-98,"N/A",IF(OFFSET(O$55,'Intermediate Data'!$Y60,0)=-99,"N/A",OFFSET(O$55,'Intermediate Data'!$Y60,0))))</f>
        <v>N/A</v>
      </c>
      <c r="AN60" s="90" t="str">
        <f ca="1">IF($Y60="","",IF(OFFSET(P$55,'Intermediate Data'!$Y60,0)=-98,"N/A",IF(OFFSET(P$55,'Intermediate Data'!$Y60,0)=-99,"N/A",OFFSET(P$55,'Intermediate Data'!$Y60,0))))</f>
        <v>N/A</v>
      </c>
      <c r="AO60" s="90" t="str">
        <f ca="1">IF($Y60="","",IF(OFFSET(Q$55,'Intermediate Data'!$Y60,0)=-98,"N/A",IF(OFFSET(Q$55,'Intermediate Data'!$Y60,0)=-99,"N/A",OFFSET(Q$55,'Intermediate Data'!$Y60,0))))</f>
        <v/>
      </c>
      <c r="AP60" s="697" t="str">
        <f ca="1">IF($Y60="","",IF(OFFSET(S$55,'Intermediate Data'!$Y60,0)=-98,"",IF(OFFSET(S$55,'Intermediate Data'!$Y60,0)=-99,"",OFFSET(S$55,'Intermediate Data'!$Y60,0))))</f>
        <v/>
      </c>
      <c r="AQ60" s="90">
        <f ca="1">IF($Y60="","",IF(OFFSET(T$55,'Intermediate Data'!$Y60,0)=-98,"Not published",IF(OFFSET(T$55,'Intermediate Data'!$Y60,0)=-99,"",OFFSET(T$55,'Intermediate Data'!$Y60,0))))</f>
        <v>0</v>
      </c>
      <c r="AR60" s="90">
        <f ca="1">IF($Y60="","",IF(OFFSET(U$55,'Intermediate Data'!$Y60,0)=-98,"Unknown",IF(OFFSET(U$55,'Intermediate Data'!$Y60,0)=-99,"",OFFSET(U$55,'Intermediate Data'!$Y60,0))))</f>
        <v>18</v>
      </c>
      <c r="AU60" s="112">
        <f ca="1">IF(AND(OFFSET(DATA!$F9,0,$AX$48)='Intermediate Data'!$AY$48,DATA!$E9="Tier 1"),IF(OR($AX$49=0,$AX$48=1),DATA!A9,IF(AND($AX$49=1,INDEX('Intermediate Data'!$AY$25:$AY$44,MATCH(DATA!$B9,'Intermediate Data'!$AX$25:$AX$44,0))=TRUE),DATA!A9,"")),"")</f>
        <v>5</v>
      </c>
      <c r="AV60" s="112" t="str">
        <f ca="1">IF($AU60="","",DATA!B9)</f>
        <v>Refrigerator/freezer</v>
      </c>
      <c r="AW60" s="112">
        <f ca="1">IF(OR($AU60="",DATA!BI9=""),"",DATA!BI9)</f>
        <v>-98</v>
      </c>
      <c r="AX60" s="112" t="str">
        <f ca="1">IF(OR($AU60="",OFFSET(DATA!BK9,0,$AX$48)=""),"",OFFSET(DATA!BK9,0,$AX$48))</f>
        <v/>
      </c>
      <c r="AY60" s="112">
        <f ca="1">IF(OR($AU60="",OFFSET(DATA!BM9,0,$AX$48)=""),"",OFFSET(DATA!BM9,0,$AX$48))</f>
        <v>50</v>
      </c>
      <c r="AZ60" s="112">
        <f ca="1">IF(OR($AU60="",OFFSET(DATA!BO9,0,'Intermediate Data'!$AX$48)=""),"",OFFSET(DATA!BO9,0,$AX$48))</f>
        <v>232</v>
      </c>
      <c r="BA60" s="112" t="str">
        <f ca="1">IF(OR($AU60="",DATA!BQ9=""),"",DATA!BQ9)</f>
        <v>Max Tech</v>
      </c>
      <c r="BB60" s="112">
        <f ca="1">IF($AU60="","",OFFSET(DATA!BS9,0,$AX$48))</f>
        <v>82.023784480871115</v>
      </c>
      <c r="BC60" s="112">
        <f ca="1">IF($AU60="","",OFFSET(DATA!BU9,0,$AX$48))</f>
        <v>82.023784455596598</v>
      </c>
      <c r="BD60" s="112">
        <f ca="1">IF($AU60="","",OFFSET(DATA!BW9,0,$AX$48))</f>
        <v>82.023784537620301</v>
      </c>
      <c r="BE60" s="112" t="str">
        <f ca="1">IF($AU60="","",OFFSET(DATA!BY9,0,$AX$48))</f>
        <v>N/A</v>
      </c>
      <c r="BF60" s="112">
        <f ca="1">IF($AU60="","",OFFSET(DATA!CA9,0,$AX$48))</f>
        <v>82.023784373572795</v>
      </c>
      <c r="BG60" s="112" t="str">
        <f ca="1">IF($AU60="","",DATA!CC9)</f>
        <v>ET</v>
      </c>
      <c r="BH60" s="112">
        <f ca="1">IF($AU60="","",OFFSET(DATA!CE9,0,$AX$48))</f>
        <v>411382306.21284002</v>
      </c>
      <c r="BI60" s="112">
        <f ca="1">IF($AU60="","",OFFSET(DATA!CG9,0,$AX$48))</f>
        <v>183355703.50361201</v>
      </c>
      <c r="BJ60" s="112">
        <f ca="1">IF($AU60="","",OFFSET(DATA!CI9,0,$AX$48))</f>
        <v>173126734.79824001</v>
      </c>
      <c r="BK60" s="112" t="str">
        <f ca="1">IF($AU60="","",OFFSET(DATA!CK9,0,$AX$48))</f>
        <v>N/A</v>
      </c>
      <c r="BL60" s="112">
        <f ca="1">IF($AU60="","",OFFSET(DATA!CM9,0,$AX$48))</f>
        <v>54899867.910987496</v>
      </c>
      <c r="BM60" s="112">
        <f ca="1">IF($AU60="","",DATA!BH9)</f>
        <v>0.74</v>
      </c>
      <c r="BN60" s="112">
        <f ca="1">IF($AU60="","",DATA!DS9)</f>
        <v>37073</v>
      </c>
      <c r="BO60" s="112" t="str">
        <f ca="1">IF($AU60="","",DATA!DU9)</f>
        <v>Final</v>
      </c>
      <c r="BP60" s="112">
        <f ca="1">IF($AU60="","",DATA!DV9)</f>
        <v>41897</v>
      </c>
      <c r="BQ60" s="112">
        <f ca="1">IF($AU60="","",DATA!DX9)</f>
        <v>39566</v>
      </c>
      <c r="BR60" s="112" t="str">
        <f ca="1">IF($AU60="","",DATA!DZ9)</f>
        <v>Final</v>
      </c>
      <c r="BS60" s="171">
        <f ca="1">IF($AU60="","",DATA!EA9)</f>
        <v>41897</v>
      </c>
      <c r="BT60" s="171" t="str">
        <f ca="1">IF($AU60="","",DATA!EC9)</f>
        <v>Federal</v>
      </c>
      <c r="BU60" s="171" t="str">
        <f ca="1">IF($AU60="","",DATA!EF9)</f>
        <v>N/A</v>
      </c>
      <c r="BV60" s="113">
        <f t="shared" ca="1" si="10"/>
        <v>41897</v>
      </c>
      <c r="BW60" s="680" t="str">
        <f ca="1">IF(AU60="","",OFFSET(DATA!DC9,0,'Intermediate Data'!$AX$48))</f>
        <v>N/A</v>
      </c>
      <c r="BX60" s="681" t="str">
        <f ca="1">IF($AU60="","",DATA!DG9)</f>
        <v>N/A</v>
      </c>
      <c r="BY60" s="680" t="str">
        <f ca="1">IF($AU60="","",OFFSET(DATA!DE9,0,'Intermediate Data'!$AX$48))</f>
        <v>N/A</v>
      </c>
      <c r="BZ60" s="681" t="str">
        <f ca="1">IF($AU60="","",DATA!DH9)</f>
        <v>N/A</v>
      </c>
      <c r="CA60" s="90" t="str">
        <f t="shared" ca="1" si="11"/>
        <v/>
      </c>
      <c r="CB60" s="99">
        <f t="shared" ca="1" si="12"/>
        <v>6.0000000000000002E-5</v>
      </c>
      <c r="CC60" s="90">
        <f t="shared" ca="1" si="13"/>
        <v>177.10073</v>
      </c>
      <c r="CD60" s="90">
        <f t="shared" ca="1" si="14"/>
        <v>18</v>
      </c>
      <c r="CF60" s="90" t="str">
        <f ca="1">IF($CD60="","",IF(OFFSET(AV$55,'Intermediate Data'!$CD60,0)=-98,"Unknown",IF(OFFSET(AV$55,'Intermediate Data'!$CD60,0)=-99,"N/A",OFFSET(AV$55,'Intermediate Data'!$CD60,0))))</f>
        <v>Desktop (non-portable computer)</v>
      </c>
      <c r="CG60" s="90">
        <f ca="1">IF($CD60="","",IF(OFFSET(AW$55,'Intermediate Data'!$CD60,0)=-98,"",IF(OFFSET(AW$55,'Intermediate Data'!$CD60,0)=-99,"N/A",OFFSET(AW$55,'Intermediate Data'!$CD60,0))))</f>
        <v>183</v>
      </c>
      <c r="CH60" s="90">
        <f ca="1">IF($CD60="","",IF(OFFSET(AX$55,'Intermediate Data'!$CD60,0)=-98,"Unknown",IF(OFFSET(AX$55,'Intermediate Data'!$CD60,0)=-99,"N/A",OFFSET(AX$55,'Intermediate Data'!$CD60,0))))</f>
        <v>177.1</v>
      </c>
      <c r="CI60" s="125">
        <f ca="1">IF($CD60="","",IF(OFFSET(AY$55,'Intermediate Data'!$CD60,0)=-98,"Unknown",IF(OFFSET(AY$55,'Intermediate Data'!$CD60,0)=-99,"No spec",OFFSET(AY$55,'Intermediate Data'!$CD60,0))))</f>
        <v>66</v>
      </c>
      <c r="CJ60" s="125" t="str">
        <f ca="1">IF($CD60="","",IF(OFFSET(AZ$55,'Intermediate Data'!$CD60,0)=-98,"Unknown",IF(OFFSET(AZ$55,'Intermediate Data'!$CD60,0)=-99,"N/A",OFFSET(AZ$55,'Intermediate Data'!$CD60,0))))</f>
        <v/>
      </c>
      <c r="CK60" s="90" t="str">
        <f ca="1">IF($CD60="","",IF(OFFSET(BA$55,'Intermediate Data'!$CD60,0)=-98,"Unknown",IF(OFFSET(BA$55,'Intermediate Data'!$CD60,0)=-99,"N/A",OFFSET(BA$55,'Intermediate Data'!$CD60,0))))</f>
        <v/>
      </c>
      <c r="CL60" s="90">
        <f ca="1">IF($CD60="","",IF(OFFSET(BB$55,'Intermediate Data'!$CD60,$AX$50)=-98,"Unknown",IF(OFFSET(BB$55,'Intermediate Data'!$CD60,$AX$50)="N/A","",OFFSET(BB$55,'Intermediate Data'!$CD60,$AX$50))))</f>
        <v>106.24095160323077</v>
      </c>
      <c r="CM60" s="90" t="str">
        <f ca="1">IF($CD60="","",IF(OFFSET(BG$55,'Intermediate Data'!$CD60,0)="ET","ET",""))</f>
        <v/>
      </c>
      <c r="CN60" s="90">
        <f ca="1">IF($CD60="","",IF(OFFSET(BH$55,'Intermediate Data'!$CD60,$AX$50)=-98,"Unknown",IF(OFFSET(BH$55,'Intermediate Data'!$CD60,$AX$50)="N/A","",OFFSET(BH$55,'Intermediate Data'!$CD60,$AX$50))))</f>
        <v>532705861.22803903</v>
      </c>
      <c r="CO60" s="90">
        <f ca="1">IF($CD60="","",IF(OFFSET(BM$55,'Intermediate Data'!$CD60,0)=-98,"Not published",IF(OFFSET(BM$55,'Intermediate Data'!$CD60,0)=-99,"No spec",OFFSET(BM$55,'Intermediate Data'!$CD60,0))))</f>
        <v>0.25</v>
      </c>
      <c r="CP60" s="114" t="str">
        <f ca="1">IF($CD60="","",IF(OFFSET(BN$55,'Intermediate Data'!$CD60,0)=-98,"Unknown",IF(OFFSET(BN$55,'Intermediate Data'!$CD60,0)=-99,"N/A",OFFSET(BN$55,'Intermediate Data'!$CD60,0))))</f>
        <v>N/A</v>
      </c>
      <c r="CQ60" s="114" t="str">
        <f ca="1">IF($CD60="","",IF(OFFSET(BO$55,'Intermediate Data'!$CD60,0)=-98,"Unknown",IF(OFFSET(BO$55,'Intermediate Data'!$CD60,0)=-99,"N/A",OFFSET(BO$55,'Intermediate Data'!$CD60,0))))</f>
        <v>N/A</v>
      </c>
      <c r="CR60" s="114" t="str">
        <f ca="1">IF($CD60="","",IF(OFFSET(BP$55,'Intermediate Data'!$CD60,0)=-98,"Unknown",IF(OFFSET(BP$55,'Intermediate Data'!$CD60,0)=-99,"N/A",OFFSET(BP$55,'Intermediate Data'!$CD60,0))))</f>
        <v>N/A</v>
      </c>
      <c r="CS60" s="114">
        <f ca="1">IF($CD60="","",IF(OFFSET(BQ$55,'Intermediate Data'!$CD60,0)=-98,"Unknown",IF(OFFSET(BQ$55,'Intermediate Data'!$CD60,0)=-99,"N/A",OFFSET(BQ$55,'Intermediate Data'!$CD60,0))))</f>
        <v>41792</v>
      </c>
      <c r="CT60" s="114" t="str">
        <f ca="1">IF($CD60="","",IF(OFFSET(BR$55,'Intermediate Data'!$CD60,0)=-98,"Unknown",IF(OFFSET(BR$55,'Intermediate Data'!$CD60,0)=-99,"N/A",OFFSET(BR$55,'Intermediate Data'!$CD60,0))))</f>
        <v>N/A</v>
      </c>
      <c r="CU60" s="114" t="str">
        <f ca="1">IF($CD60="","",IF(OFFSET(BS$55,'Intermediate Data'!$CD60,0)=-98,"Unknown",IF(OFFSET(BS$55,'Intermediate Data'!$CD60,0)=-99,"N/A",OFFSET(BS$55,'Intermediate Data'!$CD60,0))))</f>
        <v>N/A</v>
      </c>
      <c r="CV60" s="114" t="str">
        <f ca="1">IF($CD60="","",IF(OFFSET(BT$55,'Intermediate Data'!$CD60,0)=-98,"Unknown",IF(OFFSET(BT$55,'Intermediate Data'!$CD60,0)=-99,"N/A",OFFSET(BT$55,'Intermediate Data'!$CD60,0))))</f>
        <v>N/A</v>
      </c>
      <c r="CW60" s="114">
        <f ca="1">IF($CD60="","",IF(OFFSET(BU$55,'Intermediate Data'!$CD60,0)=-98,"Unknown",IF(OFFSET(BU$55,'Intermediate Data'!$CD60,0)=-99,"N/A",OFFSET(BU$55,'Intermediate Data'!$CD60,0))))</f>
        <v>42370</v>
      </c>
      <c r="CX60" s="114">
        <f ca="1">IF($CD60="","",IF(OFFSET(BV$55,'Intermediate Data'!$CD60,0)=-98,"Unknown",IF(OFFSET(BV$55,'Intermediate Data'!$CD60,0)=-99,"N/A",OFFSET(BV$55,'Intermediate Data'!$CD60,0))))</f>
        <v>42370</v>
      </c>
      <c r="CY60" s="682" t="str">
        <f ca="1">IF($CD60="","",IF(OFFSET(BW$55,'Intermediate Data'!$CD60,0)=-98,"Unknown",IF(OFFSET(BW$55,'Intermediate Data'!$CD60,0)="N/A","",OFFSET(BW$55,'Intermediate Data'!$CD60,0))))</f>
        <v/>
      </c>
      <c r="CZ60" s="682" t="str">
        <f ca="1">IF($CD60="","",IF(OFFSET(BX$55,'Intermediate Data'!$CD60,0)=-98,"Unknown",IF(OFFSET(BX$55,'Intermediate Data'!$CD60,0)="N/A","",OFFSET(BX$55,'Intermediate Data'!$CD60,0))))</f>
        <v/>
      </c>
      <c r="DA60" s="682">
        <f ca="1">IF($CD60="","",IF(OFFSET(BY$55,'Intermediate Data'!$CD60,0)=-98,"Unknown",IF(OFFSET(BY$55,'Intermediate Data'!$CD60,0)="N/A","",OFFSET(BY$55,'Intermediate Data'!$CD60,0))))</f>
        <v>50</v>
      </c>
      <c r="DB60" s="682">
        <f ca="1">IF($CD60="","",IF(OFFSET(BZ$55,'Intermediate Data'!$CD60,0)=-98,"Unknown",IF(OFFSET(BZ$55,'Intermediate Data'!$CD60,0)="N/A","",OFFSET(BZ$55,'Intermediate Data'!$CD60,0))))</f>
        <v>0.15429999999999999</v>
      </c>
    </row>
    <row r="61" spans="1:106" x14ac:dyDescent="0.2">
      <c r="A61" s="90">
        <f ca="1">IF(OFFSET(DATA!F10,0,$D$48)='Intermediate Data'!$E$48,IF(OR($E$49=$C$27,$E$48=$B$4),DATA!A10,IF($G$49=DATA!D10,DATA!A10,"")),"")</f>
        <v>6</v>
      </c>
      <c r="B61" s="90">
        <f ca="1">IF($A61="","",DATA!EH10)</f>
        <v>119</v>
      </c>
      <c r="C61" s="90" t="str">
        <f ca="1">IF($A61="","",DATA!B10)</f>
        <v>Clothes dryer - Electric</v>
      </c>
      <c r="D61" s="90">
        <f ca="1">IF($A61="","",OFFSET(DATA!$H10,0,($D$50*5)))</f>
        <v>0.294904</v>
      </c>
      <c r="E61" s="90">
        <f ca="1">IF($A61="","",OFFSET(DATA!$H10,0,($D$50*5)+1))</f>
        <v>0.31014796666629402</v>
      </c>
      <c r="F61" s="90">
        <f ca="1">IF($A61="","",OFFSET(DATA!$H10,0,($D$50*5)+2))</f>
        <v>0.32840999999999998</v>
      </c>
      <c r="G61" s="90">
        <f ca="1">IF($A61="","",OFFSET(DATA!$H10,0,($D$50*5)+3))</f>
        <v>0.31706218820121751</v>
      </c>
      <c r="H61" s="90">
        <f ca="1">IF($A61="","",OFFSET(DATA!$H10,0,($D$50*5)+4))</f>
        <v>0.27181</v>
      </c>
      <c r="I61" s="90">
        <f t="shared" ca="1" si="2"/>
        <v>0.27181</v>
      </c>
      <c r="J61" s="90" t="str">
        <f t="shared" ca="1" si="3"/>
        <v>CLASS</v>
      </c>
      <c r="K61" s="90">
        <f ca="1">IF($A61="","",OFFSET(DATA!$AG10,0,($D$50*5)))</f>
        <v>-99</v>
      </c>
      <c r="L61" s="90">
        <f ca="1">IF($A61="","",OFFSET(DATA!$AG10,0,($D$50*5)+1))</f>
        <v>-99</v>
      </c>
      <c r="M61" s="90">
        <f ca="1">IF($A61="","",OFFSET(DATA!$AG10,0,($D$50*5)+2))</f>
        <v>-99</v>
      </c>
      <c r="N61" s="90">
        <f ca="1">IF($A61="","",OFFSET(DATA!$AG10,0,($D$50*5)+3))</f>
        <v>-99</v>
      </c>
      <c r="O61" s="90">
        <f ca="1">IF($A61="","",OFFSET(DATA!$AG10,0,($D$50*5)+4))</f>
        <v>-99</v>
      </c>
      <c r="P61" s="90">
        <f t="shared" ca="1" si="4"/>
        <v>-99</v>
      </c>
      <c r="Q61" s="90" t="str">
        <f t="shared" ca="1" si="5"/>
        <v/>
      </c>
      <c r="R61" s="699">
        <f ca="1">IF($A61="","",IF(DATA!BF10="",-99,DATA!BF10))</f>
        <v>-99</v>
      </c>
      <c r="S61" s="90">
        <f ca="1">IF($A61="","",IF(DATA!BG10="",-99,DATA!BF10-DATA!BG10))</f>
        <v>-99</v>
      </c>
      <c r="T61" s="90">
        <f ca="1">IF($A61="","",DATA!BH10)</f>
        <v>-99</v>
      </c>
      <c r="U61" s="90">
        <f ca="1">IF($A61="","",OFFSET(DATA!BM10,0,$D$48))</f>
        <v>160</v>
      </c>
      <c r="V61" s="90">
        <f t="shared" ca="1" si="6"/>
        <v>119</v>
      </c>
      <c r="W61" s="99">
        <f t="shared" ca="1" si="7"/>
        <v>118.99995675053401</v>
      </c>
      <c r="X61" s="112">
        <f t="shared" ca="1" si="8"/>
        <v>131.99991090419991</v>
      </c>
      <c r="Y61" s="90">
        <f t="shared" ca="1" si="9"/>
        <v>29</v>
      </c>
      <c r="AA61" s="90" t="str">
        <f ca="1">IF($Y61="","",IF(OFFSET(C$55,'Intermediate Data'!$Y61,0)=-98,"Unknown",IF(OFFSET(C$55,'Intermediate Data'!$Y61,0)=-99,"N/A",OFFSET(C$55,'Intermediate Data'!$Y61,0))))</f>
        <v>Barbeque - Electric</v>
      </c>
      <c r="AB61" s="90" t="str">
        <f ca="1">IF($Y61="","",IF(OFFSET(D$55,'Intermediate Data'!$Y61,0)=-98,"N/A",IF(OFFSET(D$55,'Intermediate Data'!$Y61,0)=-99,"N/A",OFFSET(D$55,'Intermediate Data'!$Y61,0))))</f>
        <v>N/A</v>
      </c>
      <c r="AC61" s="90">
        <f ca="1">IF($Y61="","",IF(OFFSET(E$55,'Intermediate Data'!$Y61,0)=-98,"N/A",IF(OFFSET(E$55,'Intermediate Data'!$Y61,0)=-99,"N/A",OFFSET(E$55,'Intermediate Data'!$Y61,0))))</f>
        <v>7.0590057387349059E-3</v>
      </c>
      <c r="AD61" s="90" t="str">
        <f ca="1">IF($Y61="","",IF(OFFSET(F$55,'Intermediate Data'!$Y61,0)=-98,"N/A",IF(OFFSET(F$55,'Intermediate Data'!$Y61,0)=-99,"N/A",OFFSET(F$55,'Intermediate Data'!$Y61,0))))</f>
        <v>N/A</v>
      </c>
      <c r="AE61" s="90">
        <f ca="1">IF($Y61="","",IF(OFFSET(G$55,'Intermediate Data'!$Y61,0)=-98,"N/A",IF(OFFSET(G$55,'Intermediate Data'!$Y61,0)=-99,"N/A",OFFSET(G$55,'Intermediate Data'!$Y61,0))))</f>
        <v>1.3270033741480489E-2</v>
      </c>
      <c r="AF61" s="90" t="str">
        <f ca="1">IF($Y61="","",IF(OFFSET(H$55,'Intermediate Data'!$Y61,0)=-98,"N/A",IF(OFFSET(H$55,'Intermediate Data'!$Y61,0)=-99,"N/A",OFFSET(H$55,'Intermediate Data'!$Y61,0))))</f>
        <v>N/A</v>
      </c>
      <c r="AG61" s="90">
        <f ca="1">IF($Y61="","",IF(OFFSET(I$55,'Intermediate Data'!$Y61,0)=-98,"N/A",IF(OFFSET(I$55,'Intermediate Data'!$Y61,0)=-99,"N/A",OFFSET(I$55,'Intermediate Data'!$Y61,0))))</f>
        <v>1.3270033741480489E-2</v>
      </c>
      <c r="AH61" s="90" t="str">
        <f ca="1">IF($Y61="","",IF(OFFSET(J$55,'Intermediate Data'!$Y61,0)=-98,"N/A",IF(OFFSET(J$55,'Intermediate Data'!$Y61,0)=-99,"N/A",OFFSET(J$55,'Intermediate Data'!$Y61,0))))</f>
        <v>RASS</v>
      </c>
      <c r="AI61" s="90" t="str">
        <f ca="1">IF($Y61="","",IF(OFFSET(K$55,'Intermediate Data'!$Y61,0)=-98,"N/A",IF(OFFSET(K$55,'Intermediate Data'!$Y61,0)=-99,"N/A",OFFSET(K$55,'Intermediate Data'!$Y61,0))))</f>
        <v>N/A</v>
      </c>
      <c r="AJ61" s="90" t="str">
        <f ca="1">IF($Y61="","",IF(OFFSET(L$55,'Intermediate Data'!$Y61,0)=-98,"N/A",IF(OFFSET(L$55,'Intermediate Data'!$Y61,0)=-99,"N/A",OFFSET(L$55,'Intermediate Data'!$Y61,0))))</f>
        <v>N/A</v>
      </c>
      <c r="AK61" s="90" t="str">
        <f ca="1">IF($Y61="","",IF(OFFSET(M$55,'Intermediate Data'!$Y61,0)=-98,"N/A",IF(OFFSET(M$55,'Intermediate Data'!$Y61,0)=-99,"N/A",OFFSET(M$55,'Intermediate Data'!$Y61,0))))</f>
        <v>N/A</v>
      </c>
      <c r="AL61" s="90" t="str">
        <f ca="1">IF($Y61="","",IF(OFFSET(N$55,'Intermediate Data'!$Y61,0)=-98,"N/A",IF(OFFSET(N$55,'Intermediate Data'!$Y61,0)=-99,"N/A",OFFSET(N$55,'Intermediate Data'!$Y61,0))))</f>
        <v>N/A</v>
      </c>
      <c r="AM61" s="90" t="str">
        <f ca="1">IF($Y61="","",IF(OFFSET(O$55,'Intermediate Data'!$Y61,0)=-98,"N/A",IF(OFFSET(O$55,'Intermediate Data'!$Y61,0)=-99,"N/A",OFFSET(O$55,'Intermediate Data'!$Y61,0))))</f>
        <v>N/A</v>
      </c>
      <c r="AN61" s="90" t="str">
        <f ca="1">IF($Y61="","",IF(OFFSET(P$55,'Intermediate Data'!$Y61,0)=-98,"N/A",IF(OFFSET(P$55,'Intermediate Data'!$Y61,0)=-99,"N/A",OFFSET(P$55,'Intermediate Data'!$Y61,0))))</f>
        <v>N/A</v>
      </c>
      <c r="AO61" s="90" t="str">
        <f ca="1">IF($Y61="","",IF(OFFSET(Q$55,'Intermediate Data'!$Y61,0)=-98,"N/A",IF(OFFSET(Q$55,'Intermediate Data'!$Y61,0)=-99,"N/A",OFFSET(Q$55,'Intermediate Data'!$Y61,0))))</f>
        <v/>
      </c>
      <c r="AP61" s="697" t="str">
        <f ca="1">IF($Y61="","",IF(OFFSET(S$55,'Intermediate Data'!$Y61,0)=-98,"",IF(OFFSET(S$55,'Intermediate Data'!$Y61,0)=-99,"",OFFSET(S$55,'Intermediate Data'!$Y61,0))))</f>
        <v/>
      </c>
      <c r="AQ61" s="90" t="str">
        <f ca="1">IF($Y61="","",IF(OFFSET(T$55,'Intermediate Data'!$Y61,0)=-98,"Not published",IF(OFFSET(T$55,'Intermediate Data'!$Y61,0)=-99,"",OFFSET(T$55,'Intermediate Data'!$Y61,0))))</f>
        <v/>
      </c>
      <c r="AR61" s="90" t="str">
        <f ca="1">IF($Y61="","",IF(OFFSET(U$55,'Intermediate Data'!$Y61,0)=-98,"Unknown",IF(OFFSET(U$55,'Intermediate Data'!$Y61,0)=-99,"",OFFSET(U$55,'Intermediate Data'!$Y61,0))))</f>
        <v/>
      </c>
      <c r="AU61" s="112">
        <f ca="1">IF(AND(OFFSET(DATA!$F10,0,$AX$48)='Intermediate Data'!$AY$48,DATA!$E10="Tier 1"),IF(OR($AX$49=0,$AX$48=1),DATA!A10,IF(AND($AX$49=1,INDEX('Intermediate Data'!$AY$25:$AY$44,MATCH(DATA!$B10,'Intermediate Data'!$AX$25:$AX$44,0))=TRUE),DATA!A10,"")),"")</f>
        <v>6</v>
      </c>
      <c r="AV61" s="112" t="str">
        <f ca="1">IF($AU61="","",DATA!B10)</f>
        <v>Clothes dryer - Electric</v>
      </c>
      <c r="AW61" s="112">
        <f ca="1">IF(OR($AU61="",DATA!BI10=""),"",DATA!BI10)</f>
        <v>-98</v>
      </c>
      <c r="AX61" s="112">
        <f ca="1">IF(OR($AU61="",OFFSET(DATA!BK10,0,$AX$48)=""),"",OFFSET(DATA!BK10,0,$AX$48))</f>
        <v>243.00000000000003</v>
      </c>
      <c r="AY61" s="112">
        <f ca="1">IF(OR($AU61="",OFFSET(DATA!BM10,0,$AX$48)=""),"",OFFSET(DATA!BM10,0,$AX$48))</f>
        <v>160</v>
      </c>
      <c r="AZ61" s="112" t="str">
        <f ca="1">IF(OR($AU61="",OFFSET(DATA!BO10,0,'Intermediate Data'!$AX$48)=""),"",OFFSET(DATA!BO10,0,$AX$48))</f>
        <v/>
      </c>
      <c r="BA61" s="112" t="str">
        <f ca="1">IF(OR($AU61="",DATA!BQ10=""),"",DATA!BQ10)</f>
        <v/>
      </c>
      <c r="BB61" s="112">
        <f ca="1">IF($AU61="","",OFFSET(DATA!BS10,0,$AX$48))</f>
        <v>359.49999975127514</v>
      </c>
      <c r="BC61" s="112">
        <f ca="1">IF($AU61="","",OFFSET(DATA!BU10,0,$AX$48))</f>
        <v>359.49999964049999</v>
      </c>
      <c r="BD61" s="112">
        <f ca="1">IF($AU61="","",OFFSET(DATA!BW10,0,$AX$48))</f>
        <v>359.5</v>
      </c>
      <c r="BE61" s="112" t="str">
        <f ca="1">IF($AU61="","",OFFSET(DATA!BY10,0,$AX$48))</f>
        <v>N/A</v>
      </c>
      <c r="BF61" s="112">
        <f ca="1">IF($AU61="","",OFFSET(DATA!CA10,0,$AX$48))</f>
        <v>359.49999928099999</v>
      </c>
      <c r="BG61" s="112" t="str">
        <f ca="1">IF($AU61="","",DATA!CC10)</f>
        <v>ET</v>
      </c>
      <c r="BH61" s="112">
        <f ca="1">IF($AU61="","",OFFSET(DATA!CE10,0,$AX$48))</f>
        <v>1117883096.3319499</v>
      </c>
      <c r="BI61" s="112">
        <f ca="1">IF($AU61="","",OFFSET(DATA!CG10,0,$AX$48))</f>
        <v>498247587.38333702</v>
      </c>
      <c r="BJ61" s="112">
        <f ca="1">IF($AU61="","",OFFSET(DATA!CI10,0,$AX$48))</f>
        <v>470451566.41706997</v>
      </c>
      <c r="BK61" s="112" t="str">
        <f ca="1">IF($AU61="","",OFFSET(DATA!CK10,0,$AX$48))</f>
        <v>N/A</v>
      </c>
      <c r="BL61" s="112">
        <f ca="1">IF($AU61="","",OFFSET(DATA!CM10,0,$AX$48))</f>
        <v>149183942.531542</v>
      </c>
      <c r="BM61" s="112">
        <f ca="1">IF($AU61="","",DATA!BH10)</f>
        <v>-99</v>
      </c>
      <c r="BN61" s="112">
        <f ca="1">IF($AU61="","",DATA!DS10)</f>
        <v>34468</v>
      </c>
      <c r="BO61" s="112" t="str">
        <f ca="1">IF($AU61="","",DATA!DU10)</f>
        <v>Final</v>
      </c>
      <c r="BP61" s="112">
        <f ca="1">IF($AU61="","",DATA!DV10)</f>
        <v>42005</v>
      </c>
      <c r="BQ61" s="112" t="str">
        <f ca="1">IF($AU61="","",DATA!DX10)</f>
        <v>N/A</v>
      </c>
      <c r="BR61" s="112" t="str">
        <f ca="1">IF($AU61="","",DATA!DZ10)</f>
        <v>In Process</v>
      </c>
      <c r="BS61" s="171">
        <f ca="1">IF($AU61="","",DATA!EA10)</f>
        <v>42005</v>
      </c>
      <c r="BT61" s="171" t="str">
        <f ca="1">IF($AU61="","",DATA!EC10)</f>
        <v>Federal</v>
      </c>
      <c r="BU61" s="171" t="str">
        <f ca="1">IF($AU61="","",DATA!EF10)</f>
        <v>N/A</v>
      </c>
      <c r="BV61" s="113">
        <f t="shared" ca="1" si="10"/>
        <v>42005</v>
      </c>
      <c r="BW61" s="680" t="str">
        <f ca="1">IF(AU61="","",OFFSET(DATA!DC10,0,'Intermediate Data'!$AX$48))</f>
        <v>N/A</v>
      </c>
      <c r="BX61" s="681" t="str">
        <f ca="1">IF($AU61="","",DATA!DG10)</f>
        <v>N/A</v>
      </c>
      <c r="BY61" s="680" t="str">
        <f ca="1">IF($AU61="","",OFFSET(DATA!DE10,0,'Intermediate Data'!$AX$48))</f>
        <v>N/A</v>
      </c>
      <c r="BZ61" s="681" t="str">
        <f ca="1">IF($AU61="","",DATA!DH10)</f>
        <v>N/A</v>
      </c>
      <c r="CA61" s="90">
        <f t="shared" ca="1" si="11"/>
        <v>243.00000000000003</v>
      </c>
      <c r="CB61" s="99">
        <f t="shared" ca="1" si="12"/>
        <v>243.00061000000002</v>
      </c>
      <c r="CC61" s="90">
        <f t="shared" ca="1" si="13"/>
        <v>166.00068999999999</v>
      </c>
      <c r="CD61" s="90">
        <f t="shared" ca="1" si="14"/>
        <v>14</v>
      </c>
      <c r="CF61" s="90" t="str">
        <f ca="1">IF($CD61="","",IF(OFFSET(AV$55,'Intermediate Data'!$CD61,0)=-98,"Unknown",IF(OFFSET(AV$55,'Intermediate Data'!$CD61,0)=-99,"N/A",OFFSET(AV$55,'Intermediate Data'!$CD61,0))))</f>
        <v>Television</v>
      </c>
      <c r="CG61" s="90">
        <f ca="1">IF($CD61="","",IF(OFFSET(AW$55,'Intermediate Data'!$CD61,0)=-98,"",IF(OFFSET(AW$55,'Intermediate Data'!$CD61,0)=-99,"N/A",OFFSET(AW$55,'Intermediate Data'!$CD61,0))))</f>
        <v>230</v>
      </c>
      <c r="CH61" s="90">
        <f ca="1">IF($CD61="","",IF(OFFSET(AX$55,'Intermediate Data'!$CD61,0)=-98,"Unknown",IF(OFFSET(AX$55,'Intermediate Data'!$CD61,0)=-99,"N/A",OFFSET(AX$55,'Intermediate Data'!$CD61,0))))</f>
        <v>166</v>
      </c>
      <c r="CI61" s="125">
        <f ca="1">IF($CD61="","",IF(OFFSET(AY$55,'Intermediate Data'!$CD61,0)=-98,"Unknown",IF(OFFSET(AY$55,'Intermediate Data'!$CD61,0)=-99,"No spec",OFFSET(AY$55,'Intermediate Data'!$CD61,0))))</f>
        <v>35</v>
      </c>
      <c r="CJ61" s="125" t="str">
        <f ca="1">IF($CD61="","",IF(OFFSET(AZ$55,'Intermediate Data'!$CD61,0)=-98,"Unknown",IF(OFFSET(AZ$55,'Intermediate Data'!$CD61,0)=-99,"N/A",OFFSET(AZ$55,'Intermediate Data'!$CD61,0))))</f>
        <v/>
      </c>
      <c r="CK61" s="90" t="str">
        <f ca="1">IF($CD61="","",IF(OFFSET(BA$55,'Intermediate Data'!$CD61,0)=-98,"Unknown",IF(OFFSET(BA$55,'Intermediate Data'!$CD61,0)=-99,"N/A",OFFSET(BA$55,'Intermediate Data'!$CD61,0))))</f>
        <v/>
      </c>
      <c r="CL61" s="90" t="str">
        <f ca="1">IF($CD61="","",IF(OFFSET(BB$55,'Intermediate Data'!$CD61,$AX$50)=-98,"Unknown",IF(OFFSET(BB$55,'Intermediate Data'!$CD61,$AX$50)="N/A","",OFFSET(BB$55,'Intermediate Data'!$CD61,$AX$50))))</f>
        <v/>
      </c>
      <c r="CM61" s="90" t="str">
        <f ca="1">IF($CD61="","",IF(OFFSET(BG$55,'Intermediate Data'!$CD61,0)="ET","ET",""))</f>
        <v/>
      </c>
      <c r="CN61" s="90" t="str">
        <f ca="1">IF($CD61="","",IF(OFFSET(BH$55,'Intermediate Data'!$CD61,$AX$50)=-98,"Unknown",IF(OFFSET(BH$55,'Intermediate Data'!$CD61,$AX$50)="N/A","",OFFSET(BH$55,'Intermediate Data'!$CD61,$AX$50))))</f>
        <v/>
      </c>
      <c r="CO61" s="90">
        <f ca="1">IF($CD61="","",IF(OFFSET(BM$55,'Intermediate Data'!$CD61,0)=-98,"Not published",IF(OFFSET(BM$55,'Intermediate Data'!$CD61,0)=-99,"No spec",OFFSET(BM$55,'Intermediate Data'!$CD61,0))))</f>
        <v>0.84</v>
      </c>
      <c r="CP61" s="114" t="str">
        <f ca="1">IF($CD61="","",IF(OFFSET(BN$55,'Intermediate Data'!$CD61,0)=-98,"Unknown",IF(OFFSET(BN$55,'Intermediate Data'!$CD61,0)=-99,"N/A",OFFSET(BN$55,'Intermediate Data'!$CD61,0))))</f>
        <v>N/A</v>
      </c>
      <c r="CQ61" s="114" t="str">
        <f ca="1">IF($CD61="","",IF(OFFSET(BO$55,'Intermediate Data'!$CD61,0)=-98,"Unknown",IF(OFFSET(BO$55,'Intermediate Data'!$CD61,0)=-99,"N/A",OFFSET(BO$55,'Intermediate Data'!$CD61,0))))</f>
        <v>N/A</v>
      </c>
      <c r="CR61" s="114" t="str">
        <f ca="1">IF($CD61="","",IF(OFFSET(BP$55,'Intermediate Data'!$CD61,0)=-98,"Unknown",IF(OFFSET(BP$55,'Intermediate Data'!$CD61,0)=-99,"N/A",OFFSET(BP$55,'Intermediate Data'!$CD61,0))))</f>
        <v>N/A</v>
      </c>
      <c r="CS61" s="114">
        <f ca="1">IF($CD61="","",IF(OFFSET(BQ$55,'Intermediate Data'!$CD61,0)=-98,"Unknown",IF(OFFSET(BQ$55,'Intermediate Data'!$CD61,0)=-99,"N/A",OFFSET(BQ$55,'Intermediate Data'!$CD61,0))))</f>
        <v>41426</v>
      </c>
      <c r="CT61" s="114" t="str">
        <f ca="1">IF($CD61="","",IF(OFFSET(BR$55,'Intermediate Data'!$CD61,0)=-98,"Unknown",IF(OFFSET(BR$55,'Intermediate Data'!$CD61,0)=-99,"N/A",OFFSET(BR$55,'Intermediate Data'!$CD61,0))))</f>
        <v>In Process</v>
      </c>
      <c r="CU61" s="114">
        <f ca="1">IF($CD61="","",IF(OFFSET(BS$55,'Intermediate Data'!$CD61,0)=-98,"Unknown",IF(OFFSET(BS$55,'Intermediate Data'!$CD61,0)=-99,"N/A",OFFSET(BS$55,'Intermediate Data'!$CD61,0))))</f>
        <v>42186</v>
      </c>
      <c r="CV61" s="114">
        <f ca="1">IF($CD61="","",IF(OFFSET(BT$55,'Intermediate Data'!$CD61,0)=-98,"Unknown",IF(OFFSET(BT$55,'Intermediate Data'!$CD61,0)=-99,"N/A",OFFSET(BT$55,'Intermediate Data'!$CD61,0))))</f>
        <v>41275</v>
      </c>
      <c r="CW61" s="114" t="str">
        <f ca="1">IF($CD61="","",IF(OFFSET(BU$55,'Intermediate Data'!$CD61,0)=-98,"Unknown",IF(OFFSET(BU$55,'Intermediate Data'!$CD61,0)=-99,"N/A",OFFSET(BU$55,'Intermediate Data'!$CD61,0))))</f>
        <v>N/A</v>
      </c>
      <c r="CX61" s="114">
        <f ca="1">IF($CD61="","",IF(OFFSET(BV$55,'Intermediate Data'!$CD61,0)=-98,"Unknown",IF(OFFSET(BV$55,'Intermediate Data'!$CD61,0)=-99,"N/A",OFFSET(BV$55,'Intermediate Data'!$CD61,0))))</f>
        <v>42186</v>
      </c>
      <c r="CY61" s="682">
        <f ca="1">IF($CD61="","",IF(OFFSET(BW$55,'Intermediate Data'!$CD61,0)=-98,"Unknown",IF(OFFSET(BW$55,'Intermediate Data'!$CD61,0)="N/A","",OFFSET(BW$55,'Intermediate Data'!$CD61,0))))</f>
        <v>84</v>
      </c>
      <c r="CZ61" s="682">
        <f ca="1">IF($CD61="","",IF(OFFSET(BX$55,'Intermediate Data'!$CD61,0)=-98,"Unknown",IF(OFFSET(BX$55,'Intermediate Data'!$CD61,0)="N/A","",OFFSET(BX$55,'Intermediate Data'!$CD61,0))))</f>
        <v>0.15429999999999999</v>
      </c>
      <c r="DA61" s="682" t="str">
        <f ca="1">IF($CD61="","",IF(OFFSET(BY$55,'Intermediate Data'!$CD61,0)=-98,"Unknown",IF(OFFSET(BY$55,'Intermediate Data'!$CD61,0)="N/A","",OFFSET(BY$55,'Intermediate Data'!$CD61,0))))</f>
        <v/>
      </c>
      <c r="DB61" s="682" t="str">
        <f ca="1">IF($CD61="","",IF(OFFSET(BZ$55,'Intermediate Data'!$CD61,0)=-98,"Unknown",IF(OFFSET(BZ$55,'Intermediate Data'!$CD61,0)="N/A","",OFFSET(BZ$55,'Intermediate Data'!$CD61,0))))</f>
        <v/>
      </c>
    </row>
    <row r="62" spans="1:106" x14ac:dyDescent="0.2">
      <c r="A62" s="90">
        <f ca="1">IF(OFFSET(DATA!F11,0,$D$48)='Intermediate Data'!$E$48,IF(OR($E$49=$C$27,$E$48=$B$4),DATA!A11,IF($G$49=DATA!D11,DATA!A11,"")),"")</f>
        <v>7</v>
      </c>
      <c r="B62" s="90">
        <f ca="1">IF($A62="","",DATA!EH11)</f>
        <v>118</v>
      </c>
      <c r="C62" s="90" t="str">
        <f ca="1">IF($A62="","",DATA!B11)</f>
        <v>Clothes dryer - Gas</v>
      </c>
      <c r="D62" s="90">
        <f ca="1">IF($A62="","",OFFSET(DATA!$H11,0,($D$50*5)))</f>
        <v>0.46069199999999999</v>
      </c>
      <c r="E62" s="90">
        <f ca="1">IF($A62="","",OFFSET(DATA!$H11,0,($D$50*5)+1))</f>
        <v>0.40553722744741555</v>
      </c>
      <c r="F62" s="90">
        <f ca="1">IF($A62="","",OFFSET(DATA!$H11,0,($D$50*5)+2))</f>
        <v>0.45977400000000002</v>
      </c>
      <c r="G62" s="90">
        <f ca="1">IF($A62="","",OFFSET(DATA!$H11,0,($D$50*5)+3))</f>
        <v>0.45913595064815682</v>
      </c>
      <c r="H62" s="90">
        <f ca="1">IF($A62="","",OFFSET(DATA!$H11,0,($D$50*5)+4))</f>
        <v>0.47971000000000003</v>
      </c>
      <c r="I62" s="90">
        <f t="shared" ca="1" si="2"/>
        <v>0.47971000000000003</v>
      </c>
      <c r="J62" s="90" t="str">
        <f t="shared" ca="1" si="3"/>
        <v>CLASS</v>
      </c>
      <c r="K62" s="90">
        <f ca="1">IF($A62="","",OFFSET(DATA!$AG11,0,($D$50*5)))</f>
        <v>-99</v>
      </c>
      <c r="L62" s="90">
        <f ca="1">IF($A62="","",OFFSET(DATA!$AG11,0,($D$50*5)+1))</f>
        <v>-99</v>
      </c>
      <c r="M62" s="90">
        <f ca="1">IF($A62="","",OFFSET(DATA!$AG11,0,($D$50*5)+2))</f>
        <v>-99</v>
      </c>
      <c r="N62" s="90">
        <f ca="1">IF($A62="","",OFFSET(DATA!$AG11,0,($D$50*5)+3))</f>
        <v>-99</v>
      </c>
      <c r="O62" s="90">
        <f ca="1">IF($A62="","",OFFSET(DATA!$AG11,0,($D$50*5)+4))</f>
        <v>-99</v>
      </c>
      <c r="P62" s="90">
        <f t="shared" ca="1" si="4"/>
        <v>-99</v>
      </c>
      <c r="Q62" s="90" t="str">
        <f t="shared" ca="1" si="5"/>
        <v/>
      </c>
      <c r="R62" s="699">
        <f ca="1">IF($A62="","",IF(DATA!BF11="",-99,DATA!BF11))</f>
        <v>-99</v>
      </c>
      <c r="S62" s="90">
        <f ca="1">IF($A62="","",IF(DATA!BG11="",-99,DATA!BF11-DATA!BG11))</f>
        <v>-99</v>
      </c>
      <c r="T62" s="90">
        <f ca="1">IF($A62="","",DATA!BH11)</f>
        <v>-99</v>
      </c>
      <c r="U62" s="90">
        <f ca="1">IF($A62="","",OFFSET(DATA!BM11,0,$D$48))</f>
        <v>30</v>
      </c>
      <c r="V62" s="90">
        <f t="shared" ca="1" si="6"/>
        <v>118</v>
      </c>
      <c r="W62" s="99">
        <f t="shared" ca="1" si="7"/>
        <v>117.99994382900672</v>
      </c>
      <c r="X62" s="112">
        <f t="shared" ca="1" si="8"/>
        <v>129.99988120155001</v>
      </c>
      <c r="Y62" s="90">
        <f t="shared" ca="1" si="9"/>
        <v>100</v>
      </c>
      <c r="AA62" s="90" t="str">
        <f ca="1">IF($Y62="","",IF(OFFSET(C$55,'Intermediate Data'!$Y62,0)=-98,"Unknown",IF(OFFSET(C$55,'Intermediate Data'!$Y62,0)=-99,"N/A",OFFSET(C$55,'Intermediate Data'!$Y62,0))))</f>
        <v>Battery charger</v>
      </c>
      <c r="AB62" s="90" t="str">
        <f ca="1">IF($Y62="","",IF(OFFSET(D$55,'Intermediate Data'!$Y62,0)=-98,"N/A",IF(OFFSET(D$55,'Intermediate Data'!$Y62,0)=-99,"N/A",OFFSET(D$55,'Intermediate Data'!$Y62,0))))</f>
        <v>N/A</v>
      </c>
      <c r="AC62" s="90" t="str">
        <f ca="1">IF($Y62="","",IF(OFFSET(E$55,'Intermediate Data'!$Y62,0)=-98,"N/A",IF(OFFSET(E$55,'Intermediate Data'!$Y62,0)=-99,"N/A",OFFSET(E$55,'Intermediate Data'!$Y62,0))))</f>
        <v>N/A</v>
      </c>
      <c r="AD62" s="90" t="str">
        <f ca="1">IF($Y62="","",IF(OFFSET(F$55,'Intermediate Data'!$Y62,0)=-98,"N/A",IF(OFFSET(F$55,'Intermediate Data'!$Y62,0)=-99,"N/A",OFFSET(F$55,'Intermediate Data'!$Y62,0))))</f>
        <v>N/A</v>
      </c>
      <c r="AE62" s="90" t="str">
        <f ca="1">IF($Y62="","",IF(OFFSET(G$55,'Intermediate Data'!$Y62,0)=-98,"N/A",IF(OFFSET(G$55,'Intermediate Data'!$Y62,0)=-99,"N/A",OFFSET(G$55,'Intermediate Data'!$Y62,0))))</f>
        <v>N/A</v>
      </c>
      <c r="AF62" s="90" t="str">
        <f ca="1">IF($Y62="","",IF(OFFSET(H$55,'Intermediate Data'!$Y62,0)=-98,"N/A",IF(OFFSET(H$55,'Intermediate Data'!$Y62,0)=-99,"N/A",OFFSET(H$55,'Intermediate Data'!$Y62,0))))</f>
        <v>N/A</v>
      </c>
      <c r="AG62" s="90" t="str">
        <f ca="1">IF($Y62="","",IF(OFFSET(I$55,'Intermediate Data'!$Y62,0)=-98,"N/A",IF(OFFSET(I$55,'Intermediate Data'!$Y62,0)=-99,"N/A",OFFSET(I$55,'Intermediate Data'!$Y62,0))))</f>
        <v>N/A</v>
      </c>
      <c r="AH62" s="90" t="str">
        <f ca="1">IF($Y62="","",IF(OFFSET(J$55,'Intermediate Data'!$Y62,0)=-98,"N/A",IF(OFFSET(J$55,'Intermediate Data'!$Y62,0)=-99,"N/A",OFFSET(J$55,'Intermediate Data'!$Y62,0))))</f>
        <v/>
      </c>
      <c r="AI62" s="90" t="str">
        <f ca="1">IF($Y62="","",IF(OFFSET(K$55,'Intermediate Data'!$Y62,0)=-98,"N/A",IF(OFFSET(K$55,'Intermediate Data'!$Y62,0)=-99,"N/A",OFFSET(K$55,'Intermediate Data'!$Y62,0))))</f>
        <v>N/A</v>
      </c>
      <c r="AJ62" s="90" t="str">
        <f ca="1">IF($Y62="","",IF(OFFSET(L$55,'Intermediate Data'!$Y62,0)=-98,"N/A",IF(OFFSET(L$55,'Intermediate Data'!$Y62,0)=-99,"N/A",OFFSET(L$55,'Intermediate Data'!$Y62,0))))</f>
        <v>N/A</v>
      </c>
      <c r="AK62" s="90" t="str">
        <f ca="1">IF($Y62="","",IF(OFFSET(M$55,'Intermediate Data'!$Y62,0)=-98,"N/A",IF(OFFSET(M$55,'Intermediate Data'!$Y62,0)=-99,"N/A",OFFSET(M$55,'Intermediate Data'!$Y62,0))))</f>
        <v>N/A</v>
      </c>
      <c r="AL62" s="90" t="str">
        <f ca="1">IF($Y62="","",IF(OFFSET(N$55,'Intermediate Data'!$Y62,0)=-98,"N/A",IF(OFFSET(N$55,'Intermediate Data'!$Y62,0)=-99,"N/A",OFFSET(N$55,'Intermediate Data'!$Y62,0))))</f>
        <v>N/A</v>
      </c>
      <c r="AM62" s="90" t="str">
        <f ca="1">IF($Y62="","",IF(OFFSET(O$55,'Intermediate Data'!$Y62,0)=-98,"N/A",IF(OFFSET(O$55,'Intermediate Data'!$Y62,0)=-99,"N/A",OFFSET(O$55,'Intermediate Data'!$Y62,0))))</f>
        <v>N/A</v>
      </c>
      <c r="AN62" s="90" t="str">
        <f ca="1">IF($Y62="","",IF(OFFSET(P$55,'Intermediate Data'!$Y62,0)=-98,"N/A",IF(OFFSET(P$55,'Intermediate Data'!$Y62,0)=-99,"N/A",OFFSET(P$55,'Intermediate Data'!$Y62,0))))</f>
        <v>N/A</v>
      </c>
      <c r="AO62" s="90" t="str">
        <f ca="1">IF($Y62="","",IF(OFFSET(Q$55,'Intermediate Data'!$Y62,0)=-98,"N/A",IF(OFFSET(Q$55,'Intermediate Data'!$Y62,0)=-99,"N/A",OFFSET(Q$55,'Intermediate Data'!$Y62,0))))</f>
        <v/>
      </c>
      <c r="AP62" s="697" t="str">
        <f ca="1">IF($Y62="","",IF(OFFSET(S$55,'Intermediate Data'!$Y62,0)=-98,"",IF(OFFSET(S$55,'Intermediate Data'!$Y62,0)=-99,"",OFFSET(S$55,'Intermediate Data'!$Y62,0))))</f>
        <v/>
      </c>
      <c r="AQ62" s="90" t="str">
        <f ca="1">IF($Y62="","",IF(OFFSET(T$55,'Intermediate Data'!$Y62,0)=-98,"Not published",IF(OFFSET(T$55,'Intermediate Data'!$Y62,0)=-99,"",OFFSET(T$55,'Intermediate Data'!$Y62,0))))</f>
        <v/>
      </c>
      <c r="AR62" s="90" t="str">
        <f ca="1">IF($Y62="","",IF(OFFSET(U$55,'Intermediate Data'!$Y62,0)=-98,"Unknown",IF(OFFSET(U$55,'Intermediate Data'!$Y62,0)=-99,"",OFFSET(U$55,'Intermediate Data'!$Y62,0))))</f>
        <v/>
      </c>
      <c r="AU62" s="112">
        <f ca="1">IF(AND(OFFSET(DATA!$F11,0,$AX$48)='Intermediate Data'!$AY$48,DATA!$E11="Tier 1"),IF(OR($AX$49=0,$AX$48=1),DATA!A11,IF(AND($AX$49=1,INDEX('Intermediate Data'!$AY$25:$AY$44,MATCH(DATA!$B11,'Intermediate Data'!$AX$25:$AX$44,0))=TRUE),DATA!A11,"")),"")</f>
        <v>7</v>
      </c>
      <c r="AV62" s="112" t="str">
        <f ca="1">IF($AU62="","",DATA!B11)</f>
        <v>Clothes dryer - Gas</v>
      </c>
      <c r="AW62" s="112">
        <f ca="1">IF(OR($AU62="",DATA!BI11=""),"",DATA!BI11)</f>
        <v>-98</v>
      </c>
      <c r="AX62" s="112" t="str">
        <f ca="1">IF(OR($AU62="",OFFSET(DATA!BK11,0,$AX$48)=""),"",OFFSET(DATA!BK11,0,$AX$48))</f>
        <v/>
      </c>
      <c r="AY62" s="112">
        <f ca="1">IF(OR($AU62="",OFFSET(DATA!BM11,0,$AX$48)=""),"",OFFSET(DATA!BM11,0,$AX$48))</f>
        <v>30</v>
      </c>
      <c r="AZ62" s="112" t="str">
        <f ca="1">IF(OR($AU62="",OFFSET(DATA!BO11,0,'Intermediate Data'!$AX$48)=""),"",OFFSET(DATA!BO11,0,$AX$48))</f>
        <v/>
      </c>
      <c r="BA62" s="112" t="str">
        <f ca="1">IF(OR($AU62="",DATA!BQ11=""),"",DATA!BQ11)</f>
        <v/>
      </c>
      <c r="BB62" s="112" t="str">
        <f ca="1">IF($AU62="","",OFFSET(DATA!BS11,0,$AX$48))</f>
        <v>N/A</v>
      </c>
      <c r="BC62" s="112" t="str">
        <f ca="1">IF($AU62="","",OFFSET(DATA!BU11,0,$AX$48))</f>
        <v>N/A</v>
      </c>
      <c r="BD62" s="112" t="str">
        <f ca="1">IF($AU62="","",OFFSET(DATA!BW11,0,$AX$48))</f>
        <v>N/A</v>
      </c>
      <c r="BE62" s="112" t="str">
        <f ca="1">IF($AU62="","",OFFSET(DATA!BY11,0,$AX$48))</f>
        <v>N/A</v>
      </c>
      <c r="BF62" s="112" t="str">
        <f ca="1">IF($AU62="","",OFFSET(DATA!CA11,0,$AX$48))</f>
        <v>N/A</v>
      </c>
      <c r="BG62" s="112" t="str">
        <f ca="1">IF($AU62="","",DATA!CC11)</f>
        <v>N/A</v>
      </c>
      <c r="BH62" s="112" t="str">
        <f ca="1">IF($AU62="","",OFFSET(DATA!CE11,0,$AX$48))</f>
        <v>N/A</v>
      </c>
      <c r="BI62" s="112" t="str">
        <f ca="1">IF($AU62="","",OFFSET(DATA!CG11,0,$AX$48))</f>
        <v>N/A</v>
      </c>
      <c r="BJ62" s="112" t="str">
        <f ca="1">IF($AU62="","",OFFSET(DATA!CI11,0,$AX$48))</f>
        <v>N/A</v>
      </c>
      <c r="BK62" s="112" t="str">
        <f ca="1">IF($AU62="","",OFFSET(DATA!CK11,0,$AX$48))</f>
        <v>N/A</v>
      </c>
      <c r="BL62" s="112" t="str">
        <f ca="1">IF($AU62="","",OFFSET(DATA!CM11,0,$AX$48))</f>
        <v>N/A</v>
      </c>
      <c r="BM62" s="112">
        <f ca="1">IF($AU62="","",DATA!BH11)</f>
        <v>-99</v>
      </c>
      <c r="BN62" s="112">
        <f ca="1">IF($AU62="","",DATA!DS11)</f>
        <v>34468</v>
      </c>
      <c r="BO62" s="112" t="str">
        <f ca="1">IF($AU62="","",DATA!DU11)</f>
        <v>Final</v>
      </c>
      <c r="BP62" s="112">
        <f ca="1">IF($AU62="","",DATA!DV11)</f>
        <v>42005</v>
      </c>
      <c r="BQ62" s="112" t="str">
        <f ca="1">IF($AU62="","",DATA!DX11)</f>
        <v>N/A</v>
      </c>
      <c r="BR62" s="112" t="str">
        <f ca="1">IF($AU62="","",DATA!DZ11)</f>
        <v>In Process</v>
      </c>
      <c r="BS62" s="171">
        <f ca="1">IF($AU62="","",DATA!EA11)</f>
        <v>42005</v>
      </c>
      <c r="BT62" s="171" t="str">
        <f ca="1">IF($AU62="","",DATA!EC11)</f>
        <v>Federal</v>
      </c>
      <c r="BU62" s="171" t="str">
        <f ca="1">IF($AU62="","",DATA!EF11)</f>
        <v>N/A</v>
      </c>
      <c r="BV62" s="113">
        <f t="shared" ca="1" si="10"/>
        <v>42005</v>
      </c>
      <c r="BW62" s="680" t="str">
        <f ca="1">IF(AU62="","",OFFSET(DATA!DC11,0,'Intermediate Data'!$AX$48))</f>
        <v>N/A</v>
      </c>
      <c r="BX62" s="681" t="str">
        <f ca="1">IF($AU62="","",DATA!DG11)</f>
        <v>N/A</v>
      </c>
      <c r="BY62" s="680" t="str">
        <f ca="1">IF($AU62="","",OFFSET(DATA!DE11,0,'Intermediate Data'!$AX$48))</f>
        <v>N/A</v>
      </c>
      <c r="BZ62" s="681" t="str">
        <f ca="1">IF($AU62="","",DATA!DH11)</f>
        <v>N/A</v>
      </c>
      <c r="CA62" s="90" t="str">
        <f t="shared" ca="1" si="11"/>
        <v/>
      </c>
      <c r="CB62" s="99">
        <f t="shared" ca="1" si="12"/>
        <v>6.2000000000000003E-5</v>
      </c>
      <c r="CC62" s="90">
        <f t="shared" ca="1" si="13"/>
        <v>145.00058999999999</v>
      </c>
      <c r="CD62" s="90">
        <f t="shared" ca="1" si="14"/>
        <v>4</v>
      </c>
      <c r="CF62" s="90" t="str">
        <f ca="1">IF($CD62="","",IF(OFFSET(AV$55,'Intermediate Data'!$CD62,0)=-98,"Unknown",IF(OFFSET(AV$55,'Intermediate Data'!$CD62,0)=-99,"N/A",OFFSET(AV$55,'Intermediate Data'!$CD62,0))))</f>
        <v>Stand-alone freezer</v>
      </c>
      <c r="CG62" s="90" t="str">
        <f ca="1">IF($CD62="","",IF(OFFSET(AW$55,'Intermediate Data'!$CD62,0)=-98,"",IF(OFFSET(AW$55,'Intermediate Data'!$CD62,0)=-99,"N/A",OFFSET(AW$55,'Intermediate Data'!$CD62,0))))</f>
        <v/>
      </c>
      <c r="CH62" s="90">
        <f ca="1">IF($CD62="","",IF(OFFSET(AX$55,'Intermediate Data'!$CD62,0)=-98,"Unknown",IF(OFFSET(AX$55,'Intermediate Data'!$CD62,0)=-99,"N/A",OFFSET(AX$55,'Intermediate Data'!$CD62,0))))</f>
        <v>145</v>
      </c>
      <c r="CI62" s="125">
        <f ca="1">IF($CD62="","",IF(OFFSET(AY$55,'Intermediate Data'!$CD62,0)=-98,"Unknown",IF(OFFSET(AY$55,'Intermediate Data'!$CD62,0)=-99,"No spec",OFFSET(AY$55,'Intermediate Data'!$CD62,0))))</f>
        <v>30</v>
      </c>
      <c r="CJ62" s="125" t="str">
        <f ca="1">IF($CD62="","",IF(OFFSET(AZ$55,'Intermediate Data'!$CD62,0)=-98,"Unknown",IF(OFFSET(AZ$55,'Intermediate Data'!$CD62,0)=-99,"N/A",OFFSET(AZ$55,'Intermediate Data'!$CD62,0))))</f>
        <v/>
      </c>
      <c r="CK62" s="90" t="str">
        <f ca="1">IF($CD62="","",IF(OFFSET(BA$55,'Intermediate Data'!$CD62,0)=-98,"Unknown",IF(OFFSET(BA$55,'Intermediate Data'!$CD62,0)=-99,"N/A",OFFSET(BA$55,'Intermediate Data'!$CD62,0))))</f>
        <v/>
      </c>
      <c r="CL62" s="90" t="str">
        <f ca="1">IF($CD62="","",IF(OFFSET(BB$55,'Intermediate Data'!$CD62,$AX$50)=-98,"Unknown",IF(OFFSET(BB$55,'Intermediate Data'!$CD62,$AX$50)="N/A","",OFFSET(BB$55,'Intermediate Data'!$CD62,$AX$50))))</f>
        <v/>
      </c>
      <c r="CM62" s="90" t="str">
        <f ca="1">IF($CD62="","",IF(OFFSET(BG$55,'Intermediate Data'!$CD62,0)="ET","ET",""))</f>
        <v/>
      </c>
      <c r="CN62" s="90" t="str">
        <f ca="1">IF($CD62="","",IF(OFFSET(BH$55,'Intermediate Data'!$CD62,$AX$50)=-98,"Unknown",IF(OFFSET(BH$55,'Intermediate Data'!$CD62,$AX$50)="N/A","",OFFSET(BH$55,'Intermediate Data'!$CD62,$AX$50))))</f>
        <v/>
      </c>
      <c r="CO62" s="90">
        <f ca="1">IF($CD62="","",IF(OFFSET(BM$55,'Intermediate Data'!$CD62,0)=-98,"Not published",IF(OFFSET(BM$55,'Intermediate Data'!$CD62,0)=-99,"No spec",OFFSET(BM$55,'Intermediate Data'!$CD62,0))))</f>
        <v>0.28999999999999998</v>
      </c>
      <c r="CP62" s="114">
        <f ca="1">IF($CD62="","",IF(OFFSET(BN$55,'Intermediate Data'!$CD62,0)=-98,"Unknown",IF(OFFSET(BN$55,'Intermediate Data'!$CD62,0)=-99,"N/A",OFFSET(BN$55,'Intermediate Data'!$CD62,0))))</f>
        <v>37073</v>
      </c>
      <c r="CQ62" s="114" t="str">
        <f ca="1">IF($CD62="","",IF(OFFSET(BO$55,'Intermediate Data'!$CD62,0)=-98,"Unknown",IF(OFFSET(BO$55,'Intermediate Data'!$CD62,0)=-99,"N/A",OFFSET(BO$55,'Intermediate Data'!$CD62,0))))</f>
        <v>Final</v>
      </c>
      <c r="CR62" s="114">
        <f ca="1">IF($CD62="","",IF(OFFSET(BP$55,'Intermediate Data'!$CD62,0)=-98,"Unknown",IF(OFFSET(BP$55,'Intermediate Data'!$CD62,0)=-99,"N/A",OFFSET(BP$55,'Intermediate Data'!$CD62,0))))</f>
        <v>41897</v>
      </c>
      <c r="CS62" s="114">
        <f ca="1">IF($CD62="","",IF(OFFSET(BQ$55,'Intermediate Data'!$CD62,0)=-98,"Unknown",IF(OFFSET(BQ$55,'Intermediate Data'!$CD62,0)=-99,"N/A",OFFSET(BQ$55,'Intermediate Data'!$CD62,0))))</f>
        <v>39566</v>
      </c>
      <c r="CT62" s="114" t="str">
        <f ca="1">IF($CD62="","",IF(OFFSET(BR$55,'Intermediate Data'!$CD62,0)=-98,"Unknown",IF(OFFSET(BR$55,'Intermediate Data'!$CD62,0)=-99,"N/A",OFFSET(BR$55,'Intermediate Data'!$CD62,0))))</f>
        <v>Final</v>
      </c>
      <c r="CU62" s="114">
        <f ca="1">IF($CD62="","",IF(OFFSET(BS$55,'Intermediate Data'!$CD62,0)=-98,"Unknown",IF(OFFSET(BS$55,'Intermediate Data'!$CD62,0)=-99,"N/A",OFFSET(BS$55,'Intermediate Data'!$CD62,0))))</f>
        <v>41897</v>
      </c>
      <c r="CV62" s="114" t="str">
        <f ca="1">IF($CD62="","",IF(OFFSET(BT$55,'Intermediate Data'!$CD62,0)=-98,"Unknown",IF(OFFSET(BT$55,'Intermediate Data'!$CD62,0)=-99,"N/A",OFFSET(BT$55,'Intermediate Data'!$CD62,0))))</f>
        <v>Federal</v>
      </c>
      <c r="CW62" s="114" t="str">
        <f ca="1">IF($CD62="","",IF(OFFSET(BU$55,'Intermediate Data'!$CD62,0)=-98,"Unknown",IF(OFFSET(BU$55,'Intermediate Data'!$CD62,0)=-99,"N/A",OFFSET(BU$55,'Intermediate Data'!$CD62,0))))</f>
        <v>N/A</v>
      </c>
      <c r="CX62" s="114">
        <f ca="1">IF($CD62="","",IF(OFFSET(BV$55,'Intermediate Data'!$CD62,0)=-98,"Unknown",IF(OFFSET(BV$55,'Intermediate Data'!$CD62,0)=-99,"N/A",OFFSET(BV$55,'Intermediate Data'!$CD62,0))))</f>
        <v>41897</v>
      </c>
      <c r="CY62" s="682" t="str">
        <f ca="1">IF($CD62="","",IF(OFFSET(BW$55,'Intermediate Data'!$CD62,0)=-98,"Unknown",IF(OFFSET(BW$55,'Intermediate Data'!$CD62,0)="N/A","",OFFSET(BW$55,'Intermediate Data'!$CD62,0))))</f>
        <v/>
      </c>
      <c r="CZ62" s="682" t="str">
        <f ca="1">IF($CD62="","",IF(OFFSET(BX$55,'Intermediate Data'!$CD62,0)=-98,"Unknown",IF(OFFSET(BX$55,'Intermediate Data'!$CD62,0)="N/A","",OFFSET(BX$55,'Intermediate Data'!$CD62,0))))</f>
        <v/>
      </c>
      <c r="DA62" s="682" t="str">
        <f ca="1">IF($CD62="","",IF(OFFSET(BY$55,'Intermediate Data'!$CD62,0)=-98,"Unknown",IF(OFFSET(BY$55,'Intermediate Data'!$CD62,0)="N/A","",OFFSET(BY$55,'Intermediate Data'!$CD62,0))))</f>
        <v/>
      </c>
      <c r="DB62" s="682" t="str">
        <f ca="1">IF($CD62="","",IF(OFFSET(BZ$55,'Intermediate Data'!$CD62,0)=-98,"Unknown",IF(OFFSET(BZ$55,'Intermediate Data'!$CD62,0)="N/A","",OFFSET(BZ$55,'Intermediate Data'!$CD62,0))))</f>
        <v/>
      </c>
    </row>
    <row r="63" spans="1:106" x14ac:dyDescent="0.2">
      <c r="A63" s="90">
        <f ca="1">IF(OFFSET(DATA!F12,0,$D$48)='Intermediate Data'!$E$48,IF(OR($E$49=$C$27,$E$48=$B$4),DATA!A12,IF($G$49=DATA!D12,DATA!A12,"")),"")</f>
        <v>8</v>
      </c>
      <c r="B63" s="90">
        <f ca="1">IF($A63="","",DATA!EH12)</f>
        <v>65</v>
      </c>
      <c r="C63" s="90" t="str">
        <f ca="1">IF($A63="","",DATA!B12)</f>
        <v>Microwave oven</v>
      </c>
      <c r="D63" s="90">
        <f ca="1">IF($A63="","",OFFSET(DATA!$H12,0,($D$50*5)))</f>
        <v>-99</v>
      </c>
      <c r="E63" s="90">
        <f ca="1">IF($A63="","",OFFSET(DATA!$H12,0,($D$50*5)+1))</f>
        <v>0.95128559283769853</v>
      </c>
      <c r="F63" s="90">
        <f ca="1">IF($A63="","",OFFSET(DATA!$H12,0,($D$50*5)+2))</f>
        <v>-99</v>
      </c>
      <c r="G63" s="90">
        <f ca="1">IF($A63="","",OFFSET(DATA!$H12,0,($D$50*5)+3))</f>
        <v>0.86414298720496718</v>
      </c>
      <c r="H63" s="90">
        <f ca="1">IF($A63="","",OFFSET(DATA!$H12,0,($D$50*5)+4))</f>
        <v>-99</v>
      </c>
      <c r="I63" s="90">
        <f t="shared" ca="1" si="2"/>
        <v>0.86414298720496718</v>
      </c>
      <c r="J63" s="90" t="str">
        <f t="shared" ca="1" si="3"/>
        <v>RASS</v>
      </c>
      <c r="K63" s="90">
        <f ca="1">IF($A63="","",OFFSET(DATA!$AG12,0,($D$50*5)))</f>
        <v>-99</v>
      </c>
      <c r="L63" s="90">
        <f ca="1">IF($A63="","",OFFSET(DATA!$AG12,0,($D$50*5)+1))</f>
        <v>-99</v>
      </c>
      <c r="M63" s="90">
        <f ca="1">IF($A63="","",OFFSET(DATA!$AG12,0,($D$50*5)+2))</f>
        <v>-99</v>
      </c>
      <c r="N63" s="90">
        <f ca="1">IF($A63="","",OFFSET(DATA!$AG12,0,($D$50*5)+3))</f>
        <v>-99</v>
      </c>
      <c r="O63" s="90">
        <f ca="1">IF($A63="","",OFFSET(DATA!$AG12,0,($D$50*5)+4))</f>
        <v>-99</v>
      </c>
      <c r="P63" s="90">
        <f t="shared" ca="1" si="4"/>
        <v>-99</v>
      </c>
      <c r="Q63" s="90" t="str">
        <f t="shared" ca="1" si="5"/>
        <v/>
      </c>
      <c r="R63" s="699">
        <f ca="1">IF($A63="","",IF(DATA!BF12="",-99,DATA!BF12))</f>
        <v>-99</v>
      </c>
      <c r="S63" s="90">
        <f ca="1">IF($A63="","",IF(DATA!BG12="",-99,DATA!BF12-DATA!BG12))</f>
        <v>-99</v>
      </c>
      <c r="T63" s="90">
        <f ca="1">IF($A63="","",DATA!BH12)</f>
        <v>-99</v>
      </c>
      <c r="U63" s="90">
        <f ca="1">IF($A63="","",OFFSET(DATA!BM12,0,$D$48))</f>
        <v>-99</v>
      </c>
      <c r="V63" s="90">
        <f t="shared" ca="1" si="6"/>
        <v>65</v>
      </c>
      <c r="W63" s="99">
        <f t="shared" ca="1" si="7"/>
        <v>64.999911168587147</v>
      </c>
      <c r="X63" s="112">
        <f t="shared" ca="1" si="8"/>
        <v>128.99991091932674</v>
      </c>
      <c r="Y63" s="90">
        <f t="shared" ca="1" si="9"/>
        <v>119</v>
      </c>
      <c r="AA63" s="90" t="str">
        <f ca="1">IF($Y63="","",IF(OFFSET(C$55,'Intermediate Data'!$Y63,0)=-98,"Unknown",IF(OFFSET(C$55,'Intermediate Data'!$Y63,0)=-99,"N/A",OFFSET(C$55,'Intermediate Data'!$Y63,0))))</f>
        <v>Beverage cooler</v>
      </c>
      <c r="AB63" s="90" t="str">
        <f ca="1">IF($Y63="","",IF(OFFSET(D$55,'Intermediate Data'!$Y63,0)=-98,"N/A",IF(OFFSET(D$55,'Intermediate Data'!$Y63,0)=-99,"N/A",OFFSET(D$55,'Intermediate Data'!$Y63,0))))</f>
        <v>N/A</v>
      </c>
      <c r="AC63" s="90" t="str">
        <f ca="1">IF($Y63="","",IF(OFFSET(E$55,'Intermediate Data'!$Y63,0)=-98,"N/A",IF(OFFSET(E$55,'Intermediate Data'!$Y63,0)=-99,"N/A",OFFSET(E$55,'Intermediate Data'!$Y63,0))))</f>
        <v>N/A</v>
      </c>
      <c r="AD63" s="90" t="str">
        <f ca="1">IF($Y63="","",IF(OFFSET(F$55,'Intermediate Data'!$Y63,0)=-98,"N/A",IF(OFFSET(F$55,'Intermediate Data'!$Y63,0)=-99,"N/A",OFFSET(F$55,'Intermediate Data'!$Y63,0))))</f>
        <v>N/A</v>
      </c>
      <c r="AE63" s="90">
        <f ca="1">IF($Y63="","",IF(OFFSET(G$55,'Intermediate Data'!$Y63,0)=-98,"N/A",IF(OFFSET(G$55,'Intermediate Data'!$Y63,0)=-99,"N/A",OFFSET(G$55,'Intermediate Data'!$Y63,0))))</f>
        <v>5.7195024349907107E-2</v>
      </c>
      <c r="AF63" s="90" t="str">
        <f ca="1">IF($Y63="","",IF(OFFSET(H$55,'Intermediate Data'!$Y63,0)=-98,"N/A",IF(OFFSET(H$55,'Intermediate Data'!$Y63,0)=-99,"N/A",OFFSET(H$55,'Intermediate Data'!$Y63,0))))</f>
        <v>N/A</v>
      </c>
      <c r="AG63" s="90">
        <f ca="1">IF($Y63="","",IF(OFFSET(I$55,'Intermediate Data'!$Y63,0)=-98,"N/A",IF(OFFSET(I$55,'Intermediate Data'!$Y63,0)=-99,"N/A",OFFSET(I$55,'Intermediate Data'!$Y63,0))))</f>
        <v>5.7195024349907107E-2</v>
      </c>
      <c r="AH63" s="90" t="str">
        <f ca="1">IF($Y63="","",IF(OFFSET(J$55,'Intermediate Data'!$Y63,0)=-98,"N/A",IF(OFFSET(J$55,'Intermediate Data'!$Y63,0)=-99,"N/A",OFFSET(J$55,'Intermediate Data'!$Y63,0))))</f>
        <v>RASS</v>
      </c>
      <c r="AI63" s="90" t="str">
        <f ca="1">IF($Y63="","",IF(OFFSET(K$55,'Intermediate Data'!$Y63,0)=-98,"N/A",IF(OFFSET(K$55,'Intermediate Data'!$Y63,0)=-99,"N/A",OFFSET(K$55,'Intermediate Data'!$Y63,0))))</f>
        <v>N/A</v>
      </c>
      <c r="AJ63" s="90" t="str">
        <f ca="1">IF($Y63="","",IF(OFFSET(L$55,'Intermediate Data'!$Y63,0)=-98,"N/A",IF(OFFSET(L$55,'Intermediate Data'!$Y63,0)=-99,"N/A",OFFSET(L$55,'Intermediate Data'!$Y63,0))))</f>
        <v>N/A</v>
      </c>
      <c r="AK63" s="90" t="str">
        <f ca="1">IF($Y63="","",IF(OFFSET(M$55,'Intermediate Data'!$Y63,0)=-98,"N/A",IF(OFFSET(M$55,'Intermediate Data'!$Y63,0)=-99,"N/A",OFFSET(M$55,'Intermediate Data'!$Y63,0))))</f>
        <v>N/A</v>
      </c>
      <c r="AL63" s="90">
        <f ca="1">IF($Y63="","",IF(OFFSET(N$55,'Intermediate Data'!$Y63,0)=-98,"N/A",IF(OFFSET(N$55,'Intermediate Data'!$Y63,0)=-99,"N/A",OFFSET(N$55,'Intermediate Data'!$Y63,0))))</f>
        <v>6.1477262868794992E-2</v>
      </c>
      <c r="AM63" s="90" t="str">
        <f ca="1">IF($Y63="","",IF(OFFSET(O$55,'Intermediate Data'!$Y63,0)=-98,"N/A",IF(OFFSET(O$55,'Intermediate Data'!$Y63,0)=-99,"N/A",OFFSET(O$55,'Intermediate Data'!$Y63,0))))</f>
        <v>N/A</v>
      </c>
      <c r="AN63" s="90">
        <f ca="1">IF($Y63="","",IF(OFFSET(P$55,'Intermediate Data'!$Y63,0)=-98,"N/A",IF(OFFSET(P$55,'Intermediate Data'!$Y63,0)=-99,"N/A",OFFSET(P$55,'Intermediate Data'!$Y63,0))))</f>
        <v>6.1477262868794992E-2</v>
      </c>
      <c r="AO63" s="90" t="str">
        <f ca="1">IF($Y63="","",IF(OFFSET(Q$55,'Intermediate Data'!$Y63,0)=-98,"N/A",IF(OFFSET(Q$55,'Intermediate Data'!$Y63,0)=-99,"N/A",OFFSET(Q$55,'Intermediate Data'!$Y63,0))))</f>
        <v>RASS</v>
      </c>
      <c r="AP63" s="697" t="str">
        <f ca="1">IF($Y63="","",IF(OFFSET(S$55,'Intermediate Data'!$Y63,0)=-98,"",IF(OFFSET(S$55,'Intermediate Data'!$Y63,0)=-99,"",OFFSET(S$55,'Intermediate Data'!$Y63,0))))</f>
        <v/>
      </c>
      <c r="AQ63" s="90" t="str">
        <f ca="1">IF($Y63="","",IF(OFFSET(T$55,'Intermediate Data'!$Y63,0)=-98,"Not published",IF(OFFSET(T$55,'Intermediate Data'!$Y63,0)=-99,"",OFFSET(T$55,'Intermediate Data'!$Y63,0))))</f>
        <v/>
      </c>
      <c r="AR63" s="90" t="str">
        <f ca="1">IF($Y63="","",IF(OFFSET(U$55,'Intermediate Data'!$Y63,0)=-98,"Unknown",IF(OFFSET(U$55,'Intermediate Data'!$Y63,0)=-99,"",OFFSET(U$55,'Intermediate Data'!$Y63,0))))</f>
        <v/>
      </c>
      <c r="AU63" s="112">
        <f ca="1">IF(AND(OFFSET(DATA!$F12,0,$AX$48)='Intermediate Data'!$AY$48,DATA!$E12="Tier 1"),IF(OR($AX$49=0,$AX$48=1),DATA!A12,IF(AND($AX$49=1,INDEX('Intermediate Data'!$AY$25:$AY$44,MATCH(DATA!$B12,'Intermediate Data'!$AX$25:$AX$44,0))=TRUE),DATA!A12,"")),"")</f>
        <v>8</v>
      </c>
      <c r="AV63" s="112" t="str">
        <f ca="1">IF($AU63="","",DATA!B12)</f>
        <v>Microwave oven</v>
      </c>
      <c r="AW63" s="112">
        <f ca="1">IF(OR($AU63="",DATA!BI12=""),"",DATA!BI12)</f>
        <v>72</v>
      </c>
      <c r="AX63" s="112" t="str">
        <f ca="1">IF(OR($AU63="",OFFSET(DATA!BK12,0,$AX$48)=""),"",OFFSET(DATA!BK12,0,$AX$48))</f>
        <v/>
      </c>
      <c r="AY63" s="112">
        <f ca="1">IF(OR($AU63="",OFFSET(DATA!BM12,0,$AX$48)=""),"",OFFSET(DATA!BM12,0,$AX$48))</f>
        <v>-99</v>
      </c>
      <c r="AZ63" s="112">
        <f ca="1">IF(OR($AU63="",OFFSET(DATA!BO12,0,'Intermediate Data'!$AX$48)=""),"",OFFSET(DATA!BO12,0,$AX$48))</f>
        <v>34.900000000000006</v>
      </c>
      <c r="BA63" s="112" t="str">
        <f ca="1">IF(OR($AU63="",DATA!BQ12=""),"",DATA!BQ12)</f>
        <v>Max Tech</v>
      </c>
      <c r="BB63" s="112" t="str">
        <f ca="1">IF($AU63="","",OFFSET(DATA!BS12,0,$AX$48))</f>
        <v>N/A</v>
      </c>
      <c r="BC63" s="112" t="str">
        <f ca="1">IF($AU63="","",OFFSET(DATA!BU12,0,$AX$48))</f>
        <v>N/A</v>
      </c>
      <c r="BD63" s="112" t="str">
        <f ca="1">IF($AU63="","",OFFSET(DATA!BW12,0,$AX$48))</f>
        <v>N/A</v>
      </c>
      <c r="BE63" s="112" t="str">
        <f ca="1">IF($AU63="","",OFFSET(DATA!BY12,0,$AX$48))</f>
        <v>N/A</v>
      </c>
      <c r="BF63" s="112" t="str">
        <f ca="1">IF($AU63="","",OFFSET(DATA!CA12,0,$AX$48))</f>
        <v>N/A</v>
      </c>
      <c r="BG63" s="112" t="str">
        <f ca="1">IF($AU63="","",DATA!CC12)</f>
        <v>N/A</v>
      </c>
      <c r="BH63" s="112" t="str">
        <f ca="1">IF($AU63="","",OFFSET(DATA!CE12,0,$AX$48))</f>
        <v>N/A</v>
      </c>
      <c r="BI63" s="112" t="str">
        <f ca="1">IF($AU63="","",OFFSET(DATA!CG12,0,$AX$48))</f>
        <v>N/A</v>
      </c>
      <c r="BJ63" s="112" t="str">
        <f ca="1">IF($AU63="","",OFFSET(DATA!CI12,0,$AX$48))</f>
        <v>N/A</v>
      </c>
      <c r="BK63" s="112" t="str">
        <f ca="1">IF($AU63="","",OFFSET(DATA!CK12,0,$AX$48))</f>
        <v>N/A</v>
      </c>
      <c r="BL63" s="112" t="str">
        <f ca="1">IF($AU63="","",OFFSET(DATA!CM12,0,$AX$48))</f>
        <v>N/A</v>
      </c>
      <c r="BM63" s="112">
        <f ca="1">IF($AU63="","",DATA!BH12)</f>
        <v>-99</v>
      </c>
      <c r="BN63" s="112" t="str">
        <f ca="1">IF($AU63="","",DATA!DS12)</f>
        <v>N/A</v>
      </c>
      <c r="BO63" s="112" t="str">
        <f ca="1">IF($AU63="","",DATA!DU12)</f>
        <v>Final</v>
      </c>
      <c r="BP63" s="112">
        <f ca="1">IF($AU63="","",DATA!DV12)</f>
        <v>42538</v>
      </c>
      <c r="BQ63" s="112" t="str">
        <f ca="1">IF($AU63="","",DATA!DX12)</f>
        <v>N/A</v>
      </c>
      <c r="BR63" s="112" t="str">
        <f ca="1">IF($AU63="","",DATA!DZ12)</f>
        <v>N/A</v>
      </c>
      <c r="BS63" s="171" t="str">
        <f ca="1">IF($AU63="","",DATA!EA12)</f>
        <v>N/A</v>
      </c>
      <c r="BT63" s="171" t="str">
        <f ca="1">IF($AU63="","",DATA!EC12)</f>
        <v>N/A</v>
      </c>
      <c r="BU63" s="171" t="str">
        <f ca="1">IF($AU63="","",DATA!EF12)</f>
        <v>N/A</v>
      </c>
      <c r="BV63" s="113">
        <f t="shared" ca="1" si="10"/>
        <v>42538</v>
      </c>
      <c r="BW63" s="680" t="str">
        <f ca="1">IF(AU63="","",OFFSET(DATA!DC12,0,'Intermediate Data'!$AX$48))</f>
        <v>N/A</v>
      </c>
      <c r="BX63" s="681" t="str">
        <f ca="1">IF($AU63="","",DATA!DG12)</f>
        <v>N/A</v>
      </c>
      <c r="BY63" s="680" t="str">
        <f ca="1">IF($AU63="","",OFFSET(DATA!DE12,0,'Intermediate Data'!$AX$48))</f>
        <v>N/A</v>
      </c>
      <c r="BZ63" s="681" t="str">
        <f ca="1">IF($AU63="","",DATA!DH12)</f>
        <v>N/A</v>
      </c>
      <c r="CA63" s="90" t="str">
        <f t="shared" ca="1" si="11"/>
        <v/>
      </c>
      <c r="CB63" s="99">
        <f t="shared" ca="1" si="12"/>
        <v>6.3E-5</v>
      </c>
      <c r="CC63" s="90">
        <f t="shared" ca="1" si="13"/>
        <v>58.50074</v>
      </c>
      <c r="CD63" s="90">
        <f t="shared" ca="1" si="14"/>
        <v>19</v>
      </c>
      <c r="CF63" s="90" t="str">
        <f ca="1">IF($CD63="","",IF(OFFSET(AV$55,'Intermediate Data'!$CD63,0)=-98,"Unknown",IF(OFFSET(AV$55,'Intermediate Data'!$CD63,0)=-99,"N/A",OFFSET(AV$55,'Intermediate Data'!$CD63,0))))</f>
        <v>Display</v>
      </c>
      <c r="CG63" s="90">
        <f ca="1">IF($CD63="","",IF(OFFSET(AW$55,'Intermediate Data'!$CD63,0)=-98,"",IF(OFFSET(AW$55,'Intermediate Data'!$CD63,0)=-99,"N/A",OFFSET(AW$55,'Intermediate Data'!$CD63,0))))</f>
        <v>70</v>
      </c>
      <c r="CH63" s="90">
        <f ca="1">IF($CD63="","",IF(OFFSET(AX$55,'Intermediate Data'!$CD63,0)=-98,"Unknown",IF(OFFSET(AX$55,'Intermediate Data'!$CD63,0)=-99,"N/A",OFFSET(AX$55,'Intermediate Data'!$CD63,0))))</f>
        <v>58.5</v>
      </c>
      <c r="CI63" s="125">
        <f ca="1">IF($CD63="","",IF(OFFSET(AY$55,'Intermediate Data'!$CD63,0)=-98,"Unknown",IF(OFFSET(AY$55,'Intermediate Data'!$CD63,0)=-99,"No spec",OFFSET(AY$55,'Intermediate Data'!$CD63,0))))</f>
        <v>9</v>
      </c>
      <c r="CJ63" s="125" t="str">
        <f ca="1">IF($CD63="","",IF(OFFSET(AZ$55,'Intermediate Data'!$CD63,0)=-98,"Unknown",IF(OFFSET(AZ$55,'Intermediate Data'!$CD63,0)=-99,"N/A",OFFSET(AZ$55,'Intermediate Data'!$CD63,0))))</f>
        <v/>
      </c>
      <c r="CK63" s="90" t="str">
        <f ca="1">IF($CD63="","",IF(OFFSET(BA$55,'Intermediate Data'!$CD63,0)=-98,"Unknown",IF(OFFSET(BA$55,'Intermediate Data'!$CD63,0)=-99,"N/A",OFFSET(BA$55,'Intermediate Data'!$CD63,0))))</f>
        <v/>
      </c>
      <c r="CL63" s="90">
        <f ca="1">IF($CD63="","",IF(OFFSET(BB$55,'Intermediate Data'!$CD63,$AX$50)=-98,"Unknown",IF(OFFSET(BB$55,'Intermediate Data'!$CD63,$AX$50)="N/A","",OFFSET(BB$55,'Intermediate Data'!$CD63,$AX$50))))</f>
        <v>21.043970129418529</v>
      </c>
      <c r="CM63" s="90" t="str">
        <f ca="1">IF($CD63="","",IF(OFFSET(BG$55,'Intermediate Data'!$CD63,0)="ET","ET",""))</f>
        <v/>
      </c>
      <c r="CN63" s="90">
        <f ca="1">IF($CD63="","",IF(OFFSET(BH$55,'Intermediate Data'!$CD63,$AX$50)=-98,"Unknown",IF(OFFSET(BH$55,'Intermediate Data'!$CD63,$AX$50)="N/A","",OFFSET(BH$55,'Intermediate Data'!$CD63,$AX$50))))</f>
        <v>53396357.2444622</v>
      </c>
      <c r="CO63" s="90">
        <f ca="1">IF($CD63="","",IF(OFFSET(BM$55,'Intermediate Data'!$CD63,0)=-98,"Not published",IF(OFFSET(BM$55,'Intermediate Data'!$CD63,0)=-99,"No spec",OFFSET(BM$55,'Intermediate Data'!$CD63,0))))</f>
        <v>0.82</v>
      </c>
      <c r="CP63" s="114" t="str">
        <f ca="1">IF($CD63="","",IF(OFFSET(BN$55,'Intermediate Data'!$CD63,0)=-98,"Unknown",IF(OFFSET(BN$55,'Intermediate Data'!$CD63,0)=-99,"N/A",OFFSET(BN$55,'Intermediate Data'!$CD63,0))))</f>
        <v>N/A</v>
      </c>
      <c r="CQ63" s="114" t="str">
        <f ca="1">IF($CD63="","",IF(OFFSET(BO$55,'Intermediate Data'!$CD63,0)=-98,"Unknown",IF(OFFSET(BO$55,'Intermediate Data'!$CD63,0)=-99,"N/A",OFFSET(BO$55,'Intermediate Data'!$CD63,0))))</f>
        <v>N/A</v>
      </c>
      <c r="CR63" s="114" t="str">
        <f ca="1">IF($CD63="","",IF(OFFSET(BP$55,'Intermediate Data'!$CD63,0)=-98,"Unknown",IF(OFFSET(BP$55,'Intermediate Data'!$CD63,0)=-99,"N/A",OFFSET(BP$55,'Intermediate Data'!$CD63,0))))</f>
        <v>N/A</v>
      </c>
      <c r="CS63" s="114">
        <f ca="1">IF($CD63="","",IF(OFFSET(BQ$55,'Intermediate Data'!$CD63,0)=-98,"Unknown",IF(OFFSET(BQ$55,'Intermediate Data'!$CD63,0)=-99,"N/A",OFFSET(BQ$55,'Intermediate Data'!$CD63,0))))</f>
        <v>41426</v>
      </c>
      <c r="CT63" s="114" t="str">
        <f ca="1">IF($CD63="","",IF(OFFSET(BR$55,'Intermediate Data'!$CD63,0)=-98,"Unknown",IF(OFFSET(BR$55,'Intermediate Data'!$CD63,0)=-99,"N/A",OFFSET(BR$55,'Intermediate Data'!$CD63,0))))</f>
        <v>In Process</v>
      </c>
      <c r="CU63" s="114">
        <f ca="1">IF($CD63="","",IF(OFFSET(BS$55,'Intermediate Data'!$CD63,0)=-98,"Unknown",IF(OFFSET(BS$55,'Intermediate Data'!$CD63,0)=-99,"N/A",OFFSET(BS$55,'Intermediate Data'!$CD63,0))))</f>
        <v>42248</v>
      </c>
      <c r="CV63" s="114" t="str">
        <f ca="1">IF($CD63="","",IF(OFFSET(BT$55,'Intermediate Data'!$CD63,0)=-98,"Unknown",IF(OFFSET(BT$55,'Intermediate Data'!$CD63,0)=-99,"N/A",OFFSET(BT$55,'Intermediate Data'!$CD63,0))))</f>
        <v>N/A</v>
      </c>
      <c r="CW63" s="114" t="str">
        <f ca="1">IF($CD63="","",IF(OFFSET(BU$55,'Intermediate Data'!$CD63,0)=-98,"Unknown",IF(OFFSET(BU$55,'Intermediate Data'!$CD63,0)=-99,"N/A",OFFSET(BU$55,'Intermediate Data'!$CD63,0))))</f>
        <v>Unknown</v>
      </c>
      <c r="CX63" s="114">
        <f ca="1">IF($CD63="","",IF(OFFSET(BV$55,'Intermediate Data'!$CD63,0)=-98,"Unknown",IF(OFFSET(BV$55,'Intermediate Data'!$CD63,0)=-99,"N/A",OFFSET(BV$55,'Intermediate Data'!$CD63,0))))</f>
        <v>42248</v>
      </c>
      <c r="CY63" s="682" t="str">
        <f ca="1">IF($CD63="","",IF(OFFSET(BW$55,'Intermediate Data'!$CD63,0)=-98,"Unknown",IF(OFFSET(BW$55,'Intermediate Data'!$CD63,0)="N/A","",OFFSET(BW$55,'Intermediate Data'!$CD63,0))))</f>
        <v/>
      </c>
      <c r="CZ63" s="682" t="str">
        <f ca="1">IF($CD63="","",IF(OFFSET(BX$55,'Intermediate Data'!$CD63,0)=-98,"Unknown",IF(OFFSET(BX$55,'Intermediate Data'!$CD63,0)="N/A","",OFFSET(BX$55,'Intermediate Data'!$CD63,0))))</f>
        <v/>
      </c>
      <c r="DA63" s="682">
        <f ca="1">IF($CD63="","",IF(OFFSET(BY$55,'Intermediate Data'!$CD63,0)=-98,"Unknown",IF(OFFSET(BY$55,'Intermediate Data'!$CD63,0)="N/A","",OFFSET(BY$55,'Intermediate Data'!$CD63,0))))</f>
        <v>17</v>
      </c>
      <c r="DB63" s="682">
        <f ca="1">IF($CD63="","",IF(OFFSET(BZ$55,'Intermediate Data'!$CD63,0)=-98,"Unknown",IF(OFFSET(BZ$55,'Intermediate Data'!$CD63,0)="N/A","",OFFSET(BZ$55,'Intermediate Data'!$CD63,0))))</f>
        <v>0.15429999999999999</v>
      </c>
    </row>
    <row r="64" spans="1:106" x14ac:dyDescent="0.2">
      <c r="A64" s="90">
        <f ca="1">IF(OFFSET(DATA!F13,0,$D$48)='Intermediate Data'!$E$48,IF(OR($E$49=$C$27,$E$48=$B$4),DATA!A13,IF($G$49=DATA!D13,DATA!A13,"")),"")</f>
        <v>9</v>
      </c>
      <c r="B64" s="90">
        <f ca="1">IF($A64="","",DATA!EH13)</f>
        <v>133</v>
      </c>
      <c r="C64" s="90" t="str">
        <f ca="1">IF($A64="","",DATA!B13)</f>
        <v>Component audio</v>
      </c>
      <c r="D64" s="90">
        <f ca="1">IF($A64="","",OFFSET(DATA!$H13,0,($D$50*5)))</f>
        <v>-99</v>
      </c>
      <c r="E64" s="90">
        <f ca="1">IF($A64="","",OFFSET(DATA!$H13,0,($D$50*5)+1))</f>
        <v>-99</v>
      </c>
      <c r="F64" s="90">
        <f ca="1">IF($A64="","",OFFSET(DATA!$H13,0,($D$50*5)+2))</f>
        <v>-99</v>
      </c>
      <c r="G64" s="90">
        <f ca="1">IF($A64="","",OFFSET(DATA!$H13,0,($D$50*5)+3))</f>
        <v>-99</v>
      </c>
      <c r="H64" s="90">
        <f ca="1">IF($A64="","",OFFSET(DATA!$H13,0,($D$50*5)+4))</f>
        <v>-98</v>
      </c>
      <c r="I64" s="90">
        <f t="shared" ca="1" si="2"/>
        <v>-99</v>
      </c>
      <c r="J64" s="90" t="str">
        <f t="shared" ca="1" si="3"/>
        <v/>
      </c>
      <c r="K64" s="90">
        <f ca="1">IF($A64="","",OFFSET(DATA!$AG13,0,($D$50*5)))</f>
        <v>-99</v>
      </c>
      <c r="L64" s="90">
        <f ca="1">IF($A64="","",OFFSET(DATA!$AG13,0,($D$50*5)+1))</f>
        <v>-99</v>
      </c>
      <c r="M64" s="90">
        <f ca="1">IF($A64="","",OFFSET(DATA!$AG13,0,($D$50*5)+2))</f>
        <v>-99</v>
      </c>
      <c r="N64" s="90">
        <f ca="1">IF($A64="","",OFFSET(DATA!$AG13,0,($D$50*5)+3))</f>
        <v>-99</v>
      </c>
      <c r="O64" s="90">
        <f ca="1">IF($A64="","",OFFSET(DATA!$AG13,0,($D$50*5)+4))</f>
        <v>-99</v>
      </c>
      <c r="P64" s="90">
        <f t="shared" ca="1" si="4"/>
        <v>-99</v>
      </c>
      <c r="Q64" s="90" t="str">
        <f t="shared" ca="1" si="5"/>
        <v/>
      </c>
      <c r="R64" s="699">
        <f ca="1">IF($A64="","",IF(DATA!BF13="",-99,DATA!BF13))</f>
        <v>-99</v>
      </c>
      <c r="S64" s="90">
        <f ca="1">IF($A64="","",IF(DATA!BG13="",-99,DATA!BF13-DATA!BG13))</f>
        <v>-99</v>
      </c>
      <c r="T64" s="90">
        <f ca="1">IF($A64="","",DATA!BH13)</f>
        <v>0</v>
      </c>
      <c r="U64" s="90">
        <f ca="1">IF($A64="","",OFFSET(DATA!BM13,0,$D$48))</f>
        <v>18</v>
      </c>
      <c r="V64" s="90">
        <f t="shared" ca="1" si="6"/>
        <v>133</v>
      </c>
      <c r="W64" s="99">
        <f t="shared" ca="1" si="7"/>
        <v>132.99990290064</v>
      </c>
      <c r="X64" s="112">
        <f t="shared" ca="1" si="8"/>
        <v>127.99995186471527</v>
      </c>
      <c r="Y64" s="90">
        <f t="shared" ca="1" si="9"/>
        <v>68</v>
      </c>
      <c r="AA64" s="90" t="str">
        <f ca="1">IF($Y64="","",IF(OFFSET(C$55,'Intermediate Data'!$Y64,0)=-98,"Unknown",IF(OFFSET(C$55,'Intermediate Data'!$Y64,0)=-99,"N/A",OFFSET(C$55,'Intermediate Data'!$Y64,0))))</f>
        <v>Boiler</v>
      </c>
      <c r="AB64" s="90">
        <f ca="1">IF($Y64="","",IF(OFFSET(D$55,'Intermediate Data'!$Y64,0)=-98,"N/A",IF(OFFSET(D$55,'Intermediate Data'!$Y64,0)=-99,"N/A",OFFSET(D$55,'Intermediate Data'!$Y64,0))))</f>
        <v>7.5239999999999994E-3</v>
      </c>
      <c r="AC64" s="90">
        <f ca="1">IF($Y64="","",IF(OFFSET(E$55,'Intermediate Data'!$Y64,0)=-98,"N/A",IF(OFFSET(E$55,'Intermediate Data'!$Y64,0)=-99,"N/A",OFFSET(E$55,'Intermediate Data'!$Y64,0))))</f>
        <v>8.1721377068936611E-3</v>
      </c>
      <c r="AD64" s="90">
        <f ca="1">IF($Y64="","",IF(OFFSET(F$55,'Intermediate Data'!$Y64,0)=-98,"N/A",IF(OFFSET(F$55,'Intermediate Data'!$Y64,0)=-99,"N/A",OFFSET(F$55,'Intermediate Data'!$Y64,0))))</f>
        <v>5.9820000000000003E-3</v>
      </c>
      <c r="AE64" s="90">
        <f ca="1">IF($Y64="","",IF(OFFSET(G$55,'Intermediate Data'!$Y64,0)=-98,"N/A",IF(OFFSET(G$55,'Intermediate Data'!$Y64,0)=-99,"N/A",OFFSET(G$55,'Intermediate Data'!$Y64,0))))</f>
        <v>1.1238458891811822E-2</v>
      </c>
      <c r="AF64" s="90">
        <f ca="1">IF($Y64="","",IF(OFFSET(H$55,'Intermediate Data'!$Y64,0)=-98,"N/A",IF(OFFSET(H$55,'Intermediate Data'!$Y64,0)=-99,"N/A",OFFSET(H$55,'Intermediate Data'!$Y64,0))))</f>
        <v>1.473E-2</v>
      </c>
      <c r="AG64" s="90">
        <f ca="1">IF($Y64="","",IF(OFFSET(I$55,'Intermediate Data'!$Y64,0)=-98,"N/A",IF(OFFSET(I$55,'Intermediate Data'!$Y64,0)=-99,"N/A",OFFSET(I$55,'Intermediate Data'!$Y64,0))))</f>
        <v>1.473E-2</v>
      </c>
      <c r="AH64" s="90" t="str">
        <f ca="1">IF($Y64="","",IF(OFFSET(J$55,'Intermediate Data'!$Y64,0)=-98,"N/A",IF(OFFSET(J$55,'Intermediate Data'!$Y64,0)=-99,"N/A",OFFSET(J$55,'Intermediate Data'!$Y64,0))))</f>
        <v>CLASS</v>
      </c>
      <c r="AI64" s="90" t="str">
        <f ca="1">IF($Y64="","",IF(OFFSET(K$55,'Intermediate Data'!$Y64,0)=-98,"N/A",IF(OFFSET(K$55,'Intermediate Data'!$Y64,0)=-99,"N/A",OFFSET(K$55,'Intermediate Data'!$Y64,0))))</f>
        <v>N/A</v>
      </c>
      <c r="AJ64" s="90" t="str">
        <f ca="1">IF($Y64="","",IF(OFFSET(L$55,'Intermediate Data'!$Y64,0)=-98,"N/A",IF(OFFSET(L$55,'Intermediate Data'!$Y64,0)=-99,"N/A",OFFSET(L$55,'Intermediate Data'!$Y64,0))))</f>
        <v>N/A</v>
      </c>
      <c r="AK64" s="90" t="str">
        <f ca="1">IF($Y64="","",IF(OFFSET(M$55,'Intermediate Data'!$Y64,0)=-98,"N/A",IF(OFFSET(M$55,'Intermediate Data'!$Y64,0)=-99,"N/A",OFFSET(M$55,'Intermediate Data'!$Y64,0))))</f>
        <v>N/A</v>
      </c>
      <c r="AL64" s="90" t="str">
        <f ca="1">IF($Y64="","",IF(OFFSET(N$55,'Intermediate Data'!$Y64,0)=-98,"N/A",IF(OFFSET(N$55,'Intermediate Data'!$Y64,0)=-99,"N/A",OFFSET(N$55,'Intermediate Data'!$Y64,0))))</f>
        <v>N/A</v>
      </c>
      <c r="AM64" s="90" t="str">
        <f ca="1">IF($Y64="","",IF(OFFSET(O$55,'Intermediate Data'!$Y64,0)=-98,"N/A",IF(OFFSET(O$55,'Intermediate Data'!$Y64,0)=-99,"N/A",OFFSET(O$55,'Intermediate Data'!$Y64,0))))</f>
        <v>N/A</v>
      </c>
      <c r="AN64" s="90" t="str">
        <f ca="1">IF($Y64="","",IF(OFFSET(P$55,'Intermediate Data'!$Y64,0)=-98,"N/A",IF(OFFSET(P$55,'Intermediate Data'!$Y64,0)=-99,"N/A",OFFSET(P$55,'Intermediate Data'!$Y64,0))))</f>
        <v>N/A</v>
      </c>
      <c r="AO64" s="90" t="str">
        <f ca="1">IF($Y64="","",IF(OFFSET(Q$55,'Intermediate Data'!$Y64,0)=-98,"N/A",IF(OFFSET(Q$55,'Intermediate Data'!$Y64,0)=-99,"N/A",OFFSET(Q$55,'Intermediate Data'!$Y64,0))))</f>
        <v/>
      </c>
      <c r="AP64" s="697" t="str">
        <f ca="1">IF($Y64="","",IF(OFFSET(S$55,'Intermediate Data'!$Y64,0)=-98,"",IF(OFFSET(S$55,'Intermediate Data'!$Y64,0)=-99,"",OFFSET(S$55,'Intermediate Data'!$Y64,0))))</f>
        <v/>
      </c>
      <c r="AQ64" s="90">
        <f ca="1">IF($Y64="","",IF(OFFSET(T$55,'Intermediate Data'!$Y64,0)=-98,"Not published",IF(OFFSET(T$55,'Intermediate Data'!$Y64,0)=-99,"",OFFSET(T$55,'Intermediate Data'!$Y64,0))))</f>
        <v>0.57999999999999996</v>
      </c>
      <c r="AR64" s="90">
        <f ca="1">IF($Y64="","",IF(OFFSET(U$55,'Intermediate Data'!$Y64,0)=-98,"Unknown",IF(OFFSET(U$55,'Intermediate Data'!$Y64,0)=-99,"",OFFSET(U$55,'Intermediate Data'!$Y64,0))))</f>
        <v>13</v>
      </c>
      <c r="AU64" s="112">
        <f ca="1">IF(AND(OFFSET(DATA!$F13,0,$AX$48)='Intermediate Data'!$AY$48,DATA!$E13="Tier 1"),IF(OR($AX$49=0,$AX$48=1),DATA!A13,IF(AND($AX$49=1,INDEX('Intermediate Data'!$AY$25:$AY$44,MATCH(DATA!$B13,'Intermediate Data'!$AX$25:$AX$44,0))=TRUE),DATA!A13,"")),"")</f>
        <v>9</v>
      </c>
      <c r="AV64" s="112" t="str">
        <f ca="1">IF($AU64="","",DATA!B13)</f>
        <v>Component audio</v>
      </c>
      <c r="AW64" s="112">
        <f ca="1">IF(OR($AU64="",DATA!BI13=""),"",DATA!BI13)</f>
        <v>65</v>
      </c>
      <c r="AX64" s="112">
        <f ca="1">IF(OR($AU64="",OFFSET(DATA!BK13,0,$AX$48)=""),"",OFFSET(DATA!BK13,0,$AX$48))</f>
        <v>47</v>
      </c>
      <c r="AY64" s="112">
        <f ca="1">IF(OR($AU64="",OFFSET(DATA!BM13,0,$AX$48)=""),"",OFFSET(DATA!BM13,0,$AX$48))</f>
        <v>18</v>
      </c>
      <c r="AZ64" s="112" t="str">
        <f ca="1">IF(OR($AU64="",OFFSET(DATA!BO13,0,'Intermediate Data'!$AX$48)=""),"",OFFSET(DATA!BO13,0,$AX$48))</f>
        <v/>
      </c>
      <c r="BA64" s="112" t="str">
        <f ca="1">IF(OR($AU64="",DATA!BQ13=""),"",DATA!BQ13)</f>
        <v/>
      </c>
      <c r="BB64" s="112" t="str">
        <f ca="1">IF($AU64="","",OFFSET(DATA!BS13,0,$AX$48))</f>
        <v>N/A</v>
      </c>
      <c r="BC64" s="112" t="str">
        <f ca="1">IF($AU64="","",OFFSET(DATA!BU13,0,$AX$48))</f>
        <v>N/A</v>
      </c>
      <c r="BD64" s="112" t="str">
        <f ca="1">IF($AU64="","",OFFSET(DATA!BW13,0,$AX$48))</f>
        <v>N/A</v>
      </c>
      <c r="BE64" s="112" t="str">
        <f ca="1">IF($AU64="","",OFFSET(DATA!BY13,0,$AX$48))</f>
        <v>N/A</v>
      </c>
      <c r="BF64" s="112" t="str">
        <f ca="1">IF($AU64="","",OFFSET(DATA!CA13,0,$AX$48))</f>
        <v>N/A</v>
      </c>
      <c r="BG64" s="112" t="str">
        <f ca="1">IF($AU64="","",DATA!CC13)</f>
        <v>N/A</v>
      </c>
      <c r="BH64" s="112" t="str">
        <f ca="1">IF($AU64="","",OFFSET(DATA!CE13,0,$AX$48))</f>
        <v>N/A</v>
      </c>
      <c r="BI64" s="112" t="str">
        <f ca="1">IF($AU64="","",OFFSET(DATA!CG13,0,$AX$48))</f>
        <v>N/A</v>
      </c>
      <c r="BJ64" s="112" t="str">
        <f ca="1">IF($AU64="","",OFFSET(DATA!CI13,0,$AX$48))</f>
        <v>N/A</v>
      </c>
      <c r="BK64" s="112" t="str">
        <f ca="1">IF($AU64="","",OFFSET(DATA!CK13,0,$AX$48))</f>
        <v>N/A</v>
      </c>
      <c r="BL64" s="112" t="str">
        <f ca="1">IF($AU64="","",OFFSET(DATA!CM13,0,$AX$48))</f>
        <v>N/A</v>
      </c>
      <c r="BM64" s="112">
        <f ca="1">IF($AU64="","",DATA!BH13)</f>
        <v>0</v>
      </c>
      <c r="BN64" s="112" t="str">
        <f ca="1">IF($AU64="","",DATA!DS13)</f>
        <v>N/A</v>
      </c>
      <c r="BO64" s="112" t="str">
        <f ca="1">IF($AU64="","",DATA!DU13)</f>
        <v>N/A</v>
      </c>
      <c r="BP64" s="112" t="str">
        <f ca="1">IF($AU64="","",DATA!DV13)</f>
        <v>N/A</v>
      </c>
      <c r="BQ64" s="112">
        <f ca="1">IF($AU64="","",DATA!DX13)</f>
        <v>41395</v>
      </c>
      <c r="BR64" s="112" t="str">
        <f ca="1">IF($AU64="","",DATA!DZ13)</f>
        <v>N/A</v>
      </c>
      <c r="BS64" s="171" t="str">
        <f ca="1">IF($AU64="","",DATA!EA13)</f>
        <v>N/A</v>
      </c>
      <c r="BT64" s="171" t="str">
        <f ca="1">IF($AU64="","",DATA!EC13)</f>
        <v>N/A</v>
      </c>
      <c r="BU64" s="171" t="str">
        <f ca="1">IF($AU64="","",DATA!EF13)</f>
        <v>N/A</v>
      </c>
      <c r="BV64" s="113" t="str">
        <f t="shared" ca="1" si="10"/>
        <v/>
      </c>
      <c r="BW64" s="680" t="str">
        <f ca="1">IF(AU64="","",OFFSET(DATA!DC13,0,'Intermediate Data'!$AX$48))</f>
        <v>N/A</v>
      </c>
      <c r="BX64" s="681" t="str">
        <f ca="1">IF($AU64="","",DATA!DG13)</f>
        <v>N/A</v>
      </c>
      <c r="BY64" s="680" t="str">
        <f ca="1">IF($AU64="","",OFFSET(DATA!DE13,0,'Intermediate Data'!$AX$48))</f>
        <v>N/A</v>
      </c>
      <c r="BZ64" s="681" t="str">
        <f ca="1">IF($AU64="","",DATA!DH13)</f>
        <v>N/A</v>
      </c>
      <c r="CA64" s="90">
        <f t="shared" ca="1" si="11"/>
        <v>47</v>
      </c>
      <c r="CB64" s="99">
        <f t="shared" ca="1" si="12"/>
        <v>47.000639999999997</v>
      </c>
      <c r="CC64" s="90">
        <f t="shared" ca="1" si="13"/>
        <v>57.800649999999997</v>
      </c>
      <c r="CD64" s="90">
        <f t="shared" ca="1" si="14"/>
        <v>10</v>
      </c>
      <c r="CF64" s="90" t="str">
        <f ca="1">IF($CD64="","",IF(OFFSET(AV$55,'Intermediate Data'!$CD64,0)=-98,"Unknown",IF(OFFSET(AV$55,'Intermediate Data'!$CD64,0)=-99,"N/A",OFFSET(AV$55,'Intermediate Data'!$CD64,0))))</f>
        <v>Notebook (portable computer)</v>
      </c>
      <c r="CG64" s="90">
        <f ca="1">IF($CD64="","",IF(OFFSET(AW$55,'Intermediate Data'!$CD64,0)=-98,"",IF(OFFSET(AW$55,'Intermediate Data'!$CD64,0)=-99,"N/A",OFFSET(AW$55,'Intermediate Data'!$CD64,0))))</f>
        <v>70</v>
      </c>
      <c r="CH64" s="90">
        <f ca="1">IF($CD64="","",IF(OFFSET(AX$55,'Intermediate Data'!$CD64,0)=-98,"Unknown",IF(OFFSET(AX$55,'Intermediate Data'!$CD64,0)=-99,"N/A",OFFSET(AX$55,'Intermediate Data'!$CD64,0))))</f>
        <v>57.8</v>
      </c>
      <c r="CI64" s="125">
        <f ca="1">IF($CD64="","",IF(OFFSET(AY$55,'Intermediate Data'!$CD64,0)=-98,"Unknown",IF(OFFSET(AY$55,'Intermediate Data'!$CD64,0)=-99,"No spec",OFFSET(AY$55,'Intermediate Data'!$CD64,0))))</f>
        <v>12</v>
      </c>
      <c r="CJ64" s="125" t="str">
        <f ca="1">IF($CD64="","",IF(OFFSET(AZ$55,'Intermediate Data'!$CD64,0)=-98,"Unknown",IF(OFFSET(AZ$55,'Intermediate Data'!$CD64,0)=-99,"N/A",OFFSET(AZ$55,'Intermediate Data'!$CD64,0))))</f>
        <v/>
      </c>
      <c r="CK64" s="90" t="str">
        <f ca="1">IF($CD64="","",IF(OFFSET(BA$55,'Intermediate Data'!$CD64,0)=-98,"Unknown",IF(OFFSET(BA$55,'Intermediate Data'!$CD64,0)=-99,"N/A",OFFSET(BA$55,'Intermediate Data'!$CD64,0))))</f>
        <v/>
      </c>
      <c r="CL64" s="90" t="str">
        <f ca="1">IF($CD64="","",IF(OFFSET(BB$55,'Intermediate Data'!$CD64,$AX$50)=-98,"Unknown",IF(OFFSET(BB$55,'Intermediate Data'!$CD64,$AX$50)="N/A","",OFFSET(BB$55,'Intermediate Data'!$CD64,$AX$50))))</f>
        <v/>
      </c>
      <c r="CM64" s="90" t="str">
        <f ca="1">IF($CD64="","",IF(OFFSET(BG$55,'Intermediate Data'!$CD64,0)="ET","ET",""))</f>
        <v/>
      </c>
      <c r="CN64" s="90" t="str">
        <f ca="1">IF($CD64="","",IF(OFFSET(BH$55,'Intermediate Data'!$CD64,$AX$50)=-98,"Unknown",IF(OFFSET(BH$55,'Intermediate Data'!$CD64,$AX$50)="N/A","",OFFSET(BH$55,'Intermediate Data'!$CD64,$AX$50))))</f>
        <v/>
      </c>
      <c r="CO64" s="90">
        <f ca="1">IF($CD64="","",IF(OFFSET(BM$55,'Intermediate Data'!$CD64,0)=-98,"Not published",IF(OFFSET(BM$55,'Intermediate Data'!$CD64,0)=-99,"No spec",OFFSET(BM$55,'Intermediate Data'!$CD64,0))))</f>
        <v>0.74</v>
      </c>
      <c r="CP64" s="114" t="str">
        <f ca="1">IF($CD64="","",IF(OFFSET(BN$55,'Intermediate Data'!$CD64,0)=-98,"Unknown",IF(OFFSET(BN$55,'Intermediate Data'!$CD64,0)=-99,"N/A",OFFSET(BN$55,'Intermediate Data'!$CD64,0))))</f>
        <v>N/A</v>
      </c>
      <c r="CQ64" s="114" t="str">
        <f ca="1">IF($CD64="","",IF(OFFSET(BO$55,'Intermediate Data'!$CD64,0)=-98,"Unknown",IF(OFFSET(BO$55,'Intermediate Data'!$CD64,0)=-99,"N/A",OFFSET(BO$55,'Intermediate Data'!$CD64,0))))</f>
        <v>N/A</v>
      </c>
      <c r="CR64" s="114" t="str">
        <f ca="1">IF($CD64="","",IF(OFFSET(BP$55,'Intermediate Data'!$CD64,0)=-98,"Unknown",IF(OFFSET(BP$55,'Intermediate Data'!$CD64,0)=-99,"N/A",OFFSET(BP$55,'Intermediate Data'!$CD64,0))))</f>
        <v>N/A</v>
      </c>
      <c r="CS64" s="114">
        <f ca="1">IF($CD64="","",IF(OFFSET(BQ$55,'Intermediate Data'!$CD64,0)=-98,"Unknown",IF(OFFSET(BQ$55,'Intermediate Data'!$CD64,0)=-99,"N/A",OFFSET(BQ$55,'Intermediate Data'!$CD64,0))))</f>
        <v>41792</v>
      </c>
      <c r="CT64" s="114" t="str">
        <f ca="1">IF($CD64="","",IF(OFFSET(BR$55,'Intermediate Data'!$CD64,0)=-98,"Unknown",IF(OFFSET(BR$55,'Intermediate Data'!$CD64,0)=-99,"N/A",OFFSET(BR$55,'Intermediate Data'!$CD64,0))))</f>
        <v>N/A</v>
      </c>
      <c r="CU64" s="114" t="str">
        <f ca="1">IF($CD64="","",IF(OFFSET(BS$55,'Intermediate Data'!$CD64,0)=-98,"Unknown",IF(OFFSET(BS$55,'Intermediate Data'!$CD64,0)=-99,"N/A",OFFSET(BS$55,'Intermediate Data'!$CD64,0))))</f>
        <v>N/A</v>
      </c>
      <c r="CV64" s="114" t="str">
        <f ca="1">IF($CD64="","",IF(OFFSET(BT$55,'Intermediate Data'!$CD64,0)=-98,"Unknown",IF(OFFSET(BT$55,'Intermediate Data'!$CD64,0)=-99,"N/A",OFFSET(BT$55,'Intermediate Data'!$CD64,0))))</f>
        <v>N/A</v>
      </c>
      <c r="CW64" s="114">
        <f ca="1">IF($CD64="","",IF(OFFSET(BU$55,'Intermediate Data'!$CD64,0)=-98,"Unknown",IF(OFFSET(BU$55,'Intermediate Data'!$CD64,0)=-99,"N/A",OFFSET(BU$55,'Intermediate Data'!$CD64,0))))</f>
        <v>42370</v>
      </c>
      <c r="CX64" s="114">
        <f ca="1">IF($CD64="","",IF(OFFSET(BV$55,'Intermediate Data'!$CD64,0)=-98,"Unknown",IF(OFFSET(BV$55,'Intermediate Data'!$CD64,0)=-99,"N/A",OFFSET(BV$55,'Intermediate Data'!$CD64,0))))</f>
        <v>42370</v>
      </c>
      <c r="CY64" s="682" t="str">
        <f ca="1">IF($CD64="","",IF(OFFSET(BW$55,'Intermediate Data'!$CD64,0)=-98,"Unknown",IF(OFFSET(BW$55,'Intermediate Data'!$CD64,0)="N/A","",OFFSET(BW$55,'Intermediate Data'!$CD64,0))))</f>
        <v/>
      </c>
      <c r="CZ64" s="682" t="str">
        <f ca="1">IF($CD64="","",IF(OFFSET(BX$55,'Intermediate Data'!$CD64,0)=-98,"Unknown",IF(OFFSET(BX$55,'Intermediate Data'!$CD64,0)="N/A","",OFFSET(BX$55,'Intermediate Data'!$CD64,0))))</f>
        <v/>
      </c>
      <c r="DA64" s="682">
        <f ca="1">IF($CD64="","",IF(OFFSET(BY$55,'Intermediate Data'!$CD64,0)=-98,"Unknown",IF(OFFSET(BY$55,'Intermediate Data'!$CD64,0)="N/A","",OFFSET(BY$55,'Intermediate Data'!$CD64,0))))</f>
        <v>50</v>
      </c>
      <c r="DB64" s="682">
        <f ca="1">IF($CD64="","",IF(OFFSET(BZ$55,'Intermediate Data'!$CD64,0)=-98,"Unknown",IF(OFFSET(BZ$55,'Intermediate Data'!$CD64,0)="N/A","",OFFSET(BZ$55,'Intermediate Data'!$CD64,0))))</f>
        <v>0.15429999999999999</v>
      </c>
    </row>
    <row r="65" spans="1:106" x14ac:dyDescent="0.2">
      <c r="A65" s="90">
        <f ca="1">IF(OFFSET(DATA!F14,0,$D$48)='Intermediate Data'!$E$48,IF(OR($E$49=$C$27,$E$48=$B$4),DATA!A14,IF($G$49=DATA!D14,DATA!A14,"")),"")</f>
        <v>10</v>
      </c>
      <c r="B65" s="90">
        <f ca="1">IF($A65="","",DATA!EH14)</f>
        <v>61</v>
      </c>
      <c r="C65" s="90" t="str">
        <f ca="1">IF($A65="","",DATA!B14)</f>
        <v>Notebook (portable computer)</v>
      </c>
      <c r="D65" s="90">
        <f ca="1">IF($A65="","",OFFSET(DATA!$H14,0,($D$50*5)))</f>
        <v>-99</v>
      </c>
      <c r="E65" s="90">
        <f ca="1">IF($A65="","",OFFSET(DATA!$H14,0,($D$50*5)+1))</f>
        <v>-98</v>
      </c>
      <c r="F65" s="90">
        <f ca="1">IF($A65="","",OFFSET(DATA!$H14,0,($D$50*5)+2))</f>
        <v>-99</v>
      </c>
      <c r="G65" s="90">
        <f ca="1">IF($A65="","",OFFSET(DATA!$H14,0,($D$50*5)+3))</f>
        <v>0.53859045289216145</v>
      </c>
      <c r="H65" s="90">
        <f ca="1">IF($A65="","",OFFSET(DATA!$H14,0,($D$50*5)+4))</f>
        <v>0.40990600000000005</v>
      </c>
      <c r="I65" s="90">
        <f t="shared" ca="1" si="2"/>
        <v>0.40990600000000005</v>
      </c>
      <c r="J65" s="90" t="str">
        <f t="shared" ca="1" si="3"/>
        <v>CLASS</v>
      </c>
      <c r="K65" s="90">
        <f ca="1">IF($A65="","",OFFSET(DATA!$AG14,0,($D$50*5)))</f>
        <v>-99</v>
      </c>
      <c r="L65" s="90">
        <f ca="1">IF($A65="","",OFFSET(DATA!$AG14,0,($D$50*5)+1))</f>
        <v>-98</v>
      </c>
      <c r="M65" s="90">
        <f ca="1">IF($A65="","",OFFSET(DATA!$AG14,0,($D$50*5)+2))</f>
        <v>-99</v>
      </c>
      <c r="N65" s="90">
        <f ca="1">IF($A65="","",OFFSET(DATA!$AG14,0,($D$50*5)+3))</f>
        <v>0.75254778096811481</v>
      </c>
      <c r="O65" s="90">
        <f ca="1">IF($A65="","",OFFSET(DATA!$AG14,0,($D$50*5)+4))</f>
        <v>-99</v>
      </c>
      <c r="P65" s="90">
        <f t="shared" ca="1" si="4"/>
        <v>0.75254778096811481</v>
      </c>
      <c r="Q65" s="90" t="str">
        <f t="shared" ca="1" si="5"/>
        <v>RASS</v>
      </c>
      <c r="R65" s="699">
        <f ca="1">IF($A65="","",IF(DATA!BF14="",-99,DATA!BF14))</f>
        <v>-99</v>
      </c>
      <c r="S65" s="90">
        <f ca="1">IF($A65="","",IF(DATA!BG14="",-99,DATA!BF14-DATA!BG14))</f>
        <v>-99</v>
      </c>
      <c r="T65" s="90">
        <f ca="1">IF($A65="","",DATA!BH14)</f>
        <v>0.74</v>
      </c>
      <c r="U65" s="90">
        <f ca="1">IF($A65="","",OFFSET(DATA!BM14,0,$D$48))</f>
        <v>12</v>
      </c>
      <c r="V65" s="90">
        <f t="shared" ca="1" si="6"/>
        <v>61</v>
      </c>
      <c r="W65" s="99">
        <f t="shared" ca="1" si="7"/>
        <v>60.999942285745021</v>
      </c>
      <c r="X65" s="112">
        <f t="shared" ca="1" si="8"/>
        <v>126.99988120177001</v>
      </c>
      <c r="Y65" s="90">
        <f t="shared" ca="1" si="9"/>
        <v>122</v>
      </c>
      <c r="AA65" s="90" t="str">
        <f ca="1">IF($Y65="","",IF(OFFSET(C$55,'Intermediate Data'!$Y65,0)=-98,"Unknown",IF(OFFSET(C$55,'Intermediate Data'!$Y65,0)=-99,"N/A",OFFSET(C$55,'Intermediate Data'!$Y65,0))))</f>
        <v>Carbon monoxide detector</v>
      </c>
      <c r="AB65" s="90" t="str">
        <f ca="1">IF($Y65="","",IF(OFFSET(D$55,'Intermediate Data'!$Y65,0)=-98,"N/A",IF(OFFSET(D$55,'Intermediate Data'!$Y65,0)=-99,"N/A",OFFSET(D$55,'Intermediate Data'!$Y65,0))))</f>
        <v>N/A</v>
      </c>
      <c r="AC65" s="90" t="str">
        <f ca="1">IF($Y65="","",IF(OFFSET(E$55,'Intermediate Data'!$Y65,0)=-98,"N/A",IF(OFFSET(E$55,'Intermediate Data'!$Y65,0)=-99,"N/A",OFFSET(E$55,'Intermediate Data'!$Y65,0))))</f>
        <v>N/A</v>
      </c>
      <c r="AD65" s="90" t="str">
        <f ca="1">IF($Y65="","",IF(OFFSET(F$55,'Intermediate Data'!$Y65,0)=-98,"N/A",IF(OFFSET(F$55,'Intermediate Data'!$Y65,0)=-99,"N/A",OFFSET(F$55,'Intermediate Data'!$Y65,0))))</f>
        <v>N/A</v>
      </c>
      <c r="AE65" s="90" t="str">
        <f ca="1">IF($Y65="","",IF(OFFSET(G$55,'Intermediate Data'!$Y65,0)=-98,"N/A",IF(OFFSET(G$55,'Intermediate Data'!$Y65,0)=-99,"N/A",OFFSET(G$55,'Intermediate Data'!$Y65,0))))</f>
        <v>N/A</v>
      </c>
      <c r="AF65" s="90" t="str">
        <f ca="1">IF($Y65="","",IF(OFFSET(H$55,'Intermediate Data'!$Y65,0)=-98,"N/A",IF(OFFSET(H$55,'Intermediate Data'!$Y65,0)=-99,"N/A",OFFSET(H$55,'Intermediate Data'!$Y65,0))))</f>
        <v>N/A</v>
      </c>
      <c r="AG65" s="90" t="str">
        <f ca="1">IF($Y65="","",IF(OFFSET(I$55,'Intermediate Data'!$Y65,0)=-98,"N/A",IF(OFFSET(I$55,'Intermediate Data'!$Y65,0)=-99,"N/A",OFFSET(I$55,'Intermediate Data'!$Y65,0))))</f>
        <v>N/A</v>
      </c>
      <c r="AH65" s="90" t="str">
        <f ca="1">IF($Y65="","",IF(OFFSET(J$55,'Intermediate Data'!$Y65,0)=-98,"N/A",IF(OFFSET(J$55,'Intermediate Data'!$Y65,0)=-99,"N/A",OFFSET(J$55,'Intermediate Data'!$Y65,0))))</f>
        <v/>
      </c>
      <c r="AI65" s="90" t="str">
        <f ca="1">IF($Y65="","",IF(OFFSET(K$55,'Intermediate Data'!$Y65,0)=-98,"N/A",IF(OFFSET(K$55,'Intermediate Data'!$Y65,0)=-99,"N/A",OFFSET(K$55,'Intermediate Data'!$Y65,0))))</f>
        <v>N/A</v>
      </c>
      <c r="AJ65" s="90" t="str">
        <f ca="1">IF($Y65="","",IF(OFFSET(L$55,'Intermediate Data'!$Y65,0)=-98,"N/A",IF(OFFSET(L$55,'Intermediate Data'!$Y65,0)=-99,"N/A",OFFSET(L$55,'Intermediate Data'!$Y65,0))))</f>
        <v>N/A</v>
      </c>
      <c r="AK65" s="90" t="str">
        <f ca="1">IF($Y65="","",IF(OFFSET(M$55,'Intermediate Data'!$Y65,0)=-98,"N/A",IF(OFFSET(M$55,'Intermediate Data'!$Y65,0)=-99,"N/A",OFFSET(M$55,'Intermediate Data'!$Y65,0))))</f>
        <v>N/A</v>
      </c>
      <c r="AL65" s="90" t="str">
        <f ca="1">IF($Y65="","",IF(OFFSET(N$55,'Intermediate Data'!$Y65,0)=-98,"N/A",IF(OFFSET(N$55,'Intermediate Data'!$Y65,0)=-99,"N/A",OFFSET(N$55,'Intermediate Data'!$Y65,0))))</f>
        <v>N/A</v>
      </c>
      <c r="AM65" s="90" t="str">
        <f ca="1">IF($Y65="","",IF(OFFSET(O$55,'Intermediate Data'!$Y65,0)=-98,"N/A",IF(OFFSET(O$55,'Intermediate Data'!$Y65,0)=-99,"N/A",OFFSET(O$55,'Intermediate Data'!$Y65,0))))</f>
        <v>N/A</v>
      </c>
      <c r="AN65" s="90" t="str">
        <f ca="1">IF($Y65="","",IF(OFFSET(P$55,'Intermediate Data'!$Y65,0)=-98,"N/A",IF(OFFSET(P$55,'Intermediate Data'!$Y65,0)=-99,"N/A",OFFSET(P$55,'Intermediate Data'!$Y65,0))))</f>
        <v>N/A</v>
      </c>
      <c r="AO65" s="90" t="str">
        <f ca="1">IF($Y65="","",IF(OFFSET(Q$55,'Intermediate Data'!$Y65,0)=-98,"N/A",IF(OFFSET(Q$55,'Intermediate Data'!$Y65,0)=-99,"N/A",OFFSET(Q$55,'Intermediate Data'!$Y65,0))))</f>
        <v/>
      </c>
      <c r="AP65" s="697" t="str">
        <f ca="1">IF($Y65="","",IF(OFFSET(S$55,'Intermediate Data'!$Y65,0)=-98,"",IF(OFFSET(S$55,'Intermediate Data'!$Y65,0)=-99,"",OFFSET(S$55,'Intermediate Data'!$Y65,0))))</f>
        <v/>
      </c>
      <c r="AQ65" s="90" t="str">
        <f ca="1">IF($Y65="","",IF(OFFSET(T$55,'Intermediate Data'!$Y65,0)=-98,"Not published",IF(OFFSET(T$55,'Intermediate Data'!$Y65,0)=-99,"",OFFSET(T$55,'Intermediate Data'!$Y65,0))))</f>
        <v/>
      </c>
      <c r="AR65" s="90" t="str">
        <f ca="1">IF($Y65="","",IF(OFFSET(U$55,'Intermediate Data'!$Y65,0)=-98,"Unknown",IF(OFFSET(U$55,'Intermediate Data'!$Y65,0)=-99,"",OFFSET(U$55,'Intermediate Data'!$Y65,0))))</f>
        <v/>
      </c>
      <c r="AU65" s="112">
        <f ca="1">IF(AND(OFFSET(DATA!$F14,0,$AX$48)='Intermediate Data'!$AY$48,DATA!$E14="Tier 1"),IF(OR($AX$49=0,$AX$48=1),DATA!A14,IF(AND($AX$49=1,INDEX('Intermediate Data'!$AY$25:$AY$44,MATCH(DATA!$B14,'Intermediate Data'!$AX$25:$AX$44,0))=TRUE),DATA!A14,"")),"")</f>
        <v>10</v>
      </c>
      <c r="AV65" s="112" t="str">
        <f ca="1">IF($AU65="","",DATA!B14)</f>
        <v>Notebook (portable computer)</v>
      </c>
      <c r="AW65" s="112">
        <f ca="1">IF(OR($AU65="",DATA!BI14=""),"",DATA!BI14)</f>
        <v>70</v>
      </c>
      <c r="AX65" s="112">
        <f ca="1">IF(OR($AU65="",OFFSET(DATA!BK14,0,$AX$48)=""),"",OFFSET(DATA!BK14,0,$AX$48))</f>
        <v>57.8</v>
      </c>
      <c r="AY65" s="112">
        <f ca="1">IF(OR($AU65="",OFFSET(DATA!BM14,0,$AX$48)=""),"",OFFSET(DATA!BM14,0,$AX$48))</f>
        <v>12</v>
      </c>
      <c r="AZ65" s="112" t="str">
        <f ca="1">IF(OR($AU65="",OFFSET(DATA!BO14,0,'Intermediate Data'!$AX$48)=""),"",OFFSET(DATA!BO14,0,$AX$48))</f>
        <v/>
      </c>
      <c r="BA65" s="112" t="str">
        <f ca="1">IF(OR($AU65="",DATA!BQ14=""),"",DATA!BQ14)</f>
        <v/>
      </c>
      <c r="BB65" s="112" t="str">
        <f ca="1">IF($AU65="","",OFFSET(DATA!BS14,0,$AX$48))</f>
        <v>N/A</v>
      </c>
      <c r="BC65" s="112" t="str">
        <f ca="1">IF($AU65="","",OFFSET(DATA!BU14,0,$AX$48))</f>
        <v>N/A</v>
      </c>
      <c r="BD65" s="112" t="str">
        <f ca="1">IF($AU65="","",OFFSET(DATA!BW14,0,$AX$48))</f>
        <v>N/A</v>
      </c>
      <c r="BE65" s="112" t="str">
        <f ca="1">IF($AU65="","",OFFSET(DATA!BY14,0,$AX$48))</f>
        <v>N/A</v>
      </c>
      <c r="BF65" s="112" t="str">
        <f ca="1">IF($AU65="","",OFFSET(DATA!CA14,0,$AX$48))</f>
        <v>N/A</v>
      </c>
      <c r="BG65" s="112" t="str">
        <f ca="1">IF($AU65="","",DATA!CC14)</f>
        <v>N/A</v>
      </c>
      <c r="BH65" s="112" t="str">
        <f ca="1">IF($AU65="","",OFFSET(DATA!CE14,0,$AX$48))</f>
        <v>N/A</v>
      </c>
      <c r="BI65" s="112" t="str">
        <f ca="1">IF($AU65="","",OFFSET(DATA!CG14,0,$AX$48))</f>
        <v>N/A</v>
      </c>
      <c r="BJ65" s="112" t="str">
        <f ca="1">IF($AU65="","",OFFSET(DATA!CI14,0,$AX$48))</f>
        <v>N/A</v>
      </c>
      <c r="BK65" s="112" t="str">
        <f ca="1">IF($AU65="","",OFFSET(DATA!CK14,0,$AX$48))</f>
        <v>N/A</v>
      </c>
      <c r="BL65" s="112" t="str">
        <f ca="1">IF($AU65="","",OFFSET(DATA!CM14,0,$AX$48))</f>
        <v>N/A</v>
      </c>
      <c r="BM65" s="112">
        <f ca="1">IF($AU65="","",DATA!BH14)</f>
        <v>0.74</v>
      </c>
      <c r="BN65" s="112" t="str">
        <f ca="1">IF($AU65="","",DATA!DS14)</f>
        <v>N/A</v>
      </c>
      <c r="BO65" s="112" t="str">
        <f ca="1">IF($AU65="","",DATA!DU14)</f>
        <v>N/A</v>
      </c>
      <c r="BP65" s="112" t="str">
        <f ca="1">IF($AU65="","",DATA!DV14)</f>
        <v>N/A</v>
      </c>
      <c r="BQ65" s="112">
        <f ca="1">IF($AU65="","",DATA!DX14)</f>
        <v>41792</v>
      </c>
      <c r="BR65" s="112" t="str">
        <f ca="1">IF($AU65="","",DATA!DZ14)</f>
        <v>N/A</v>
      </c>
      <c r="BS65" s="171" t="str">
        <f ca="1">IF($AU65="","",DATA!EA14)</f>
        <v>N/A</v>
      </c>
      <c r="BT65" s="171" t="str">
        <f ca="1">IF($AU65="","",DATA!EC14)</f>
        <v>N/A</v>
      </c>
      <c r="BU65" s="171">
        <f ca="1">IF($AU65="","",DATA!EF14)</f>
        <v>42370</v>
      </c>
      <c r="BV65" s="113">
        <f t="shared" ca="1" si="10"/>
        <v>42370</v>
      </c>
      <c r="BW65" s="680" t="str">
        <f ca="1">IF(AU65="","",OFFSET(DATA!DC14,0,'Intermediate Data'!$AX$48))</f>
        <v>N/A</v>
      </c>
      <c r="BX65" s="681" t="str">
        <f ca="1">IF($AU65="","",DATA!DG14)</f>
        <v>N/A</v>
      </c>
      <c r="BY65" s="680">
        <f ca="1">IF($AU65="","",OFFSET(DATA!DE14,0,'Intermediate Data'!$AX$48))</f>
        <v>50</v>
      </c>
      <c r="BZ65" s="681">
        <f ca="1">IF($AU65="","",DATA!DH14)</f>
        <v>0.15429999999999999</v>
      </c>
      <c r="CA65" s="90">
        <f t="shared" ca="1" si="11"/>
        <v>57.8</v>
      </c>
      <c r="CB65" s="99">
        <f t="shared" ca="1" si="12"/>
        <v>57.800649999999997</v>
      </c>
      <c r="CC65" s="90">
        <f t="shared" ca="1" si="13"/>
        <v>47.000639999999997</v>
      </c>
      <c r="CD65" s="90">
        <f t="shared" ca="1" si="14"/>
        <v>9</v>
      </c>
      <c r="CF65" s="90" t="str">
        <f ca="1">IF($CD65="","",IF(OFFSET(AV$55,'Intermediate Data'!$CD65,0)=-98,"Unknown",IF(OFFSET(AV$55,'Intermediate Data'!$CD65,0)=-99,"N/A",OFFSET(AV$55,'Intermediate Data'!$CD65,0))))</f>
        <v>Component audio</v>
      </c>
      <c r="CG65" s="90">
        <f ca="1">IF($CD65="","",IF(OFFSET(AW$55,'Intermediate Data'!$CD65,0)=-98,"",IF(OFFSET(AW$55,'Intermediate Data'!$CD65,0)=-99,"N/A",OFFSET(AW$55,'Intermediate Data'!$CD65,0))))</f>
        <v>65</v>
      </c>
      <c r="CH65" s="90">
        <f ca="1">IF($CD65="","",IF(OFFSET(AX$55,'Intermediate Data'!$CD65,0)=-98,"Unknown",IF(OFFSET(AX$55,'Intermediate Data'!$CD65,0)=-99,"N/A",OFFSET(AX$55,'Intermediate Data'!$CD65,0))))</f>
        <v>47</v>
      </c>
      <c r="CI65" s="125">
        <f ca="1">IF($CD65="","",IF(OFFSET(AY$55,'Intermediate Data'!$CD65,0)=-98,"Unknown",IF(OFFSET(AY$55,'Intermediate Data'!$CD65,0)=-99,"No spec",OFFSET(AY$55,'Intermediate Data'!$CD65,0))))</f>
        <v>18</v>
      </c>
      <c r="CJ65" s="125" t="str">
        <f ca="1">IF($CD65="","",IF(OFFSET(AZ$55,'Intermediate Data'!$CD65,0)=-98,"Unknown",IF(OFFSET(AZ$55,'Intermediate Data'!$CD65,0)=-99,"N/A",OFFSET(AZ$55,'Intermediate Data'!$CD65,0))))</f>
        <v/>
      </c>
      <c r="CK65" s="90" t="str">
        <f ca="1">IF($CD65="","",IF(OFFSET(BA$55,'Intermediate Data'!$CD65,0)=-98,"Unknown",IF(OFFSET(BA$55,'Intermediate Data'!$CD65,0)=-99,"N/A",OFFSET(BA$55,'Intermediate Data'!$CD65,0))))</f>
        <v/>
      </c>
      <c r="CL65" s="90" t="str">
        <f ca="1">IF($CD65="","",IF(OFFSET(BB$55,'Intermediate Data'!$CD65,$AX$50)=-98,"Unknown",IF(OFFSET(BB$55,'Intermediate Data'!$CD65,$AX$50)="N/A","",OFFSET(BB$55,'Intermediate Data'!$CD65,$AX$50))))</f>
        <v/>
      </c>
      <c r="CM65" s="90" t="str">
        <f ca="1">IF($CD65="","",IF(OFFSET(BG$55,'Intermediate Data'!$CD65,0)="ET","ET",""))</f>
        <v/>
      </c>
      <c r="CN65" s="90" t="str">
        <f ca="1">IF($CD65="","",IF(OFFSET(BH$55,'Intermediate Data'!$CD65,$AX$50)=-98,"Unknown",IF(OFFSET(BH$55,'Intermediate Data'!$CD65,$AX$50)="N/A","",OFFSET(BH$55,'Intermediate Data'!$CD65,$AX$50))))</f>
        <v/>
      </c>
      <c r="CO65" s="90">
        <f ca="1">IF($CD65="","",IF(OFFSET(BM$55,'Intermediate Data'!$CD65,0)=-98,"Not published",IF(OFFSET(BM$55,'Intermediate Data'!$CD65,0)=-99,"No spec",OFFSET(BM$55,'Intermediate Data'!$CD65,0))))</f>
        <v>0</v>
      </c>
      <c r="CP65" s="114" t="str">
        <f ca="1">IF($CD65="","",IF(OFFSET(BN$55,'Intermediate Data'!$CD65,0)=-98,"Unknown",IF(OFFSET(BN$55,'Intermediate Data'!$CD65,0)=-99,"N/A",OFFSET(BN$55,'Intermediate Data'!$CD65,0))))</f>
        <v>N/A</v>
      </c>
      <c r="CQ65" s="114" t="str">
        <f ca="1">IF($CD65="","",IF(OFFSET(BO$55,'Intermediate Data'!$CD65,0)=-98,"Unknown",IF(OFFSET(BO$55,'Intermediate Data'!$CD65,0)=-99,"N/A",OFFSET(BO$55,'Intermediate Data'!$CD65,0))))</f>
        <v>N/A</v>
      </c>
      <c r="CR65" s="114" t="str">
        <f ca="1">IF($CD65="","",IF(OFFSET(BP$55,'Intermediate Data'!$CD65,0)=-98,"Unknown",IF(OFFSET(BP$55,'Intermediate Data'!$CD65,0)=-99,"N/A",OFFSET(BP$55,'Intermediate Data'!$CD65,0))))</f>
        <v>N/A</v>
      </c>
      <c r="CS65" s="114">
        <f ca="1">IF($CD65="","",IF(OFFSET(BQ$55,'Intermediate Data'!$CD65,0)=-98,"Unknown",IF(OFFSET(BQ$55,'Intermediate Data'!$CD65,0)=-99,"N/A",OFFSET(BQ$55,'Intermediate Data'!$CD65,0))))</f>
        <v>41395</v>
      </c>
      <c r="CT65" s="114" t="str">
        <f ca="1">IF($CD65="","",IF(OFFSET(BR$55,'Intermediate Data'!$CD65,0)=-98,"Unknown",IF(OFFSET(BR$55,'Intermediate Data'!$CD65,0)=-99,"N/A",OFFSET(BR$55,'Intermediate Data'!$CD65,0))))</f>
        <v>N/A</v>
      </c>
      <c r="CU65" s="114" t="str">
        <f ca="1">IF($CD65="","",IF(OFFSET(BS$55,'Intermediate Data'!$CD65,0)=-98,"Unknown",IF(OFFSET(BS$55,'Intermediate Data'!$CD65,0)=-99,"N/A",OFFSET(BS$55,'Intermediate Data'!$CD65,0))))</f>
        <v>N/A</v>
      </c>
      <c r="CV65" s="114" t="str">
        <f ca="1">IF($CD65="","",IF(OFFSET(BT$55,'Intermediate Data'!$CD65,0)=-98,"Unknown",IF(OFFSET(BT$55,'Intermediate Data'!$CD65,0)=-99,"N/A",OFFSET(BT$55,'Intermediate Data'!$CD65,0))))</f>
        <v>N/A</v>
      </c>
      <c r="CW65" s="114" t="str">
        <f ca="1">IF($CD65="","",IF(OFFSET(BU$55,'Intermediate Data'!$CD65,0)=-98,"Unknown",IF(OFFSET(BU$55,'Intermediate Data'!$CD65,0)=-99,"N/A",OFFSET(BU$55,'Intermediate Data'!$CD65,0))))</f>
        <v>N/A</v>
      </c>
      <c r="CX65" s="114" t="str">
        <f ca="1">IF($CD65="","",IF(OFFSET(BV$55,'Intermediate Data'!$CD65,0)=-98,"Unknown",IF(OFFSET(BV$55,'Intermediate Data'!$CD65,0)=-99,"N/A",OFFSET(BV$55,'Intermediate Data'!$CD65,0))))</f>
        <v/>
      </c>
      <c r="CY65" s="682" t="str">
        <f ca="1">IF($CD65="","",IF(OFFSET(BW$55,'Intermediate Data'!$CD65,0)=-98,"Unknown",IF(OFFSET(BW$55,'Intermediate Data'!$CD65,0)="N/A","",OFFSET(BW$55,'Intermediate Data'!$CD65,0))))</f>
        <v/>
      </c>
      <c r="CZ65" s="682" t="str">
        <f ca="1">IF($CD65="","",IF(OFFSET(BX$55,'Intermediate Data'!$CD65,0)=-98,"Unknown",IF(OFFSET(BX$55,'Intermediate Data'!$CD65,0)="N/A","",OFFSET(BX$55,'Intermediate Data'!$CD65,0))))</f>
        <v/>
      </c>
      <c r="DA65" s="682" t="str">
        <f ca="1">IF($CD65="","",IF(OFFSET(BY$55,'Intermediate Data'!$CD65,0)=-98,"Unknown",IF(OFFSET(BY$55,'Intermediate Data'!$CD65,0)="N/A","",OFFSET(BY$55,'Intermediate Data'!$CD65,0))))</f>
        <v/>
      </c>
      <c r="DB65" s="682" t="str">
        <f ca="1">IF($CD65="","",IF(OFFSET(BZ$55,'Intermediate Data'!$CD65,0)=-98,"Unknown",IF(OFFSET(BZ$55,'Intermediate Data'!$CD65,0)="N/A","",OFFSET(BZ$55,'Intermediate Data'!$CD65,0))))</f>
        <v/>
      </c>
    </row>
    <row r="66" spans="1:106" x14ac:dyDescent="0.2">
      <c r="A66" s="90">
        <f ca="1">IF(OFFSET(DATA!F15,0,$D$48)='Intermediate Data'!$E$48,IF(OR($E$49=$C$27,$E$48=$B$4),DATA!A15,IF($G$49=DATA!D15,DATA!A15,"")),"")</f>
        <v>11</v>
      </c>
      <c r="B66" s="90">
        <f ca="1">IF($A66="","",DATA!EH15)</f>
        <v>78</v>
      </c>
      <c r="C66" s="90" t="str">
        <f ca="1">IF($A66="","",DATA!B15)</f>
        <v>Hot tub/Spa - Electric</v>
      </c>
      <c r="D66" s="90">
        <f ca="1">IF($A66="","",OFFSET(DATA!$H15,0,($D$50*5)))</f>
        <v>-99</v>
      </c>
      <c r="E66" s="90">
        <f ca="1">IF($A66="","",OFFSET(DATA!$H15,0,($D$50*5)+1))</f>
        <v>9.3362613442261322E-2</v>
      </c>
      <c r="F66" s="90">
        <f ca="1">IF($A66="","",OFFSET(DATA!$H15,0,($D$50*5)+2))</f>
        <v>3.04E-2</v>
      </c>
      <c r="G66" s="90">
        <f ca="1">IF($A66="","",OFFSET(DATA!$H15,0,($D$50*5)+3))</f>
        <v>0.1074153783658072</v>
      </c>
      <c r="H66" s="90">
        <f ca="1">IF($A66="","",OFFSET(DATA!$H15,0,($D$50*5)+4))</f>
        <v>4.6955999999999998E-2</v>
      </c>
      <c r="I66" s="90">
        <f t="shared" ca="1" si="2"/>
        <v>4.6955999999999998E-2</v>
      </c>
      <c r="J66" s="90" t="str">
        <f t="shared" ca="1" si="3"/>
        <v>CLASS</v>
      </c>
      <c r="K66" s="90">
        <f ca="1">IF($A66="","",OFFSET(DATA!$AG15,0,($D$50*5)))</f>
        <v>-99</v>
      </c>
      <c r="L66" s="90">
        <f ca="1">IF($A66="","",OFFSET(DATA!$AG15,0,($D$50*5)+1))</f>
        <v>-99</v>
      </c>
      <c r="M66" s="90">
        <f ca="1">IF($A66="","",OFFSET(DATA!$AG15,0,($D$50*5)+2))</f>
        <v>-99</v>
      </c>
      <c r="N66" s="90">
        <f ca="1">IF($A66="","",OFFSET(DATA!$AG15,0,($D$50*5)+3))</f>
        <v>-99</v>
      </c>
      <c r="O66" s="90">
        <f ca="1">IF($A66="","",OFFSET(DATA!$AG15,0,($D$50*5)+4))</f>
        <v>-99</v>
      </c>
      <c r="P66" s="90">
        <f t="shared" ca="1" si="4"/>
        <v>-99</v>
      </c>
      <c r="Q66" s="90" t="str">
        <f t="shared" ca="1" si="5"/>
        <v/>
      </c>
      <c r="R66" s="699">
        <f ca="1">IF($A66="","",IF(DATA!BF15="",-99,DATA!BF15))</f>
        <v>-99</v>
      </c>
      <c r="S66" s="90">
        <f ca="1">IF($A66="","",IF(DATA!BG15="",-99,DATA!BF15-DATA!BG15))</f>
        <v>-99</v>
      </c>
      <c r="T66" s="90">
        <f ca="1">IF($A66="","",DATA!BH15)</f>
        <v>-99</v>
      </c>
      <c r="U66" s="90">
        <f ca="1">IF($A66="","",OFFSET(DATA!BM15,0,$D$48))</f>
        <v>-99</v>
      </c>
      <c r="V66" s="90">
        <f t="shared" ca="1" si="6"/>
        <v>78</v>
      </c>
      <c r="W66" s="99">
        <f t="shared" ca="1" si="7"/>
        <v>77.999930733168995</v>
      </c>
      <c r="X66" s="112">
        <f t="shared" ca="1" si="8"/>
        <v>125.99996741226859</v>
      </c>
      <c r="Y66" s="90">
        <f t="shared" ca="1" si="9"/>
        <v>69</v>
      </c>
      <c r="AA66" s="90" t="str">
        <f ca="1">IF($Y66="","",IF(OFFSET(C$55,'Intermediate Data'!$Y66,0)=-98,"Unknown",IF(OFFSET(C$55,'Intermediate Data'!$Y66,0)=-99,"N/A",OFFSET(C$55,'Intermediate Data'!$Y66,0))))</f>
        <v>Ceiling fan</v>
      </c>
      <c r="AB66" s="90" t="str">
        <f ca="1">IF($Y66="","",IF(OFFSET(D$55,'Intermediate Data'!$Y66,0)=-98,"N/A",IF(OFFSET(D$55,'Intermediate Data'!$Y66,0)=-99,"N/A",OFFSET(D$55,'Intermediate Data'!$Y66,0))))</f>
        <v>N/A</v>
      </c>
      <c r="AC66" s="90">
        <f ca="1">IF($Y66="","",IF(OFFSET(E$55,'Intermediate Data'!$Y66,0)=-98,"N/A",IF(OFFSET(E$55,'Intermediate Data'!$Y66,0)=-99,"N/A",OFFSET(E$55,'Intermediate Data'!$Y66,0))))</f>
        <v>0.54472503026679209</v>
      </c>
      <c r="AD66" s="90" t="str">
        <f ca="1">IF($Y66="","",IF(OFFSET(F$55,'Intermediate Data'!$Y66,0)=-98,"N/A",IF(OFFSET(F$55,'Intermediate Data'!$Y66,0)=-99,"N/A",OFFSET(F$55,'Intermediate Data'!$Y66,0))))</f>
        <v>N/A</v>
      </c>
      <c r="AE66" s="90">
        <f ca="1">IF($Y66="","",IF(OFFSET(G$55,'Intermediate Data'!$Y66,0)=-98,"N/A",IF(OFFSET(G$55,'Intermediate Data'!$Y66,0)=-99,"N/A",OFFSET(G$55,'Intermediate Data'!$Y66,0))))</f>
        <v>0.56739042252992744</v>
      </c>
      <c r="AF66" s="90" t="str">
        <f ca="1">IF($Y66="","",IF(OFFSET(H$55,'Intermediate Data'!$Y66,0)=-98,"N/A",IF(OFFSET(H$55,'Intermediate Data'!$Y66,0)=-99,"N/A",OFFSET(H$55,'Intermediate Data'!$Y66,0))))</f>
        <v>N/A</v>
      </c>
      <c r="AG66" s="90">
        <f ca="1">IF($Y66="","",IF(OFFSET(I$55,'Intermediate Data'!$Y66,0)=-98,"N/A",IF(OFFSET(I$55,'Intermediate Data'!$Y66,0)=-99,"N/A",OFFSET(I$55,'Intermediate Data'!$Y66,0))))</f>
        <v>0.56739042252992744</v>
      </c>
      <c r="AH66" s="90" t="str">
        <f ca="1">IF($Y66="","",IF(OFFSET(J$55,'Intermediate Data'!$Y66,0)=-98,"N/A",IF(OFFSET(J$55,'Intermediate Data'!$Y66,0)=-99,"N/A",OFFSET(J$55,'Intermediate Data'!$Y66,0))))</f>
        <v>RASS</v>
      </c>
      <c r="AI66" s="90" t="str">
        <f ca="1">IF($Y66="","",IF(OFFSET(K$55,'Intermediate Data'!$Y66,0)=-98,"N/A",IF(OFFSET(K$55,'Intermediate Data'!$Y66,0)=-99,"N/A",OFFSET(K$55,'Intermediate Data'!$Y66,0))))</f>
        <v>N/A</v>
      </c>
      <c r="AJ66" s="90">
        <f ca="1">IF($Y66="","",IF(OFFSET(L$55,'Intermediate Data'!$Y66,0)=-98,"N/A",IF(OFFSET(L$55,'Intermediate Data'!$Y66,0)=-99,"N/A",OFFSET(L$55,'Intermediate Data'!$Y66,0))))</f>
        <v>1.032643385886048</v>
      </c>
      <c r="AK66" s="90" t="str">
        <f ca="1">IF($Y66="","",IF(OFFSET(M$55,'Intermediate Data'!$Y66,0)=-98,"N/A",IF(OFFSET(M$55,'Intermediate Data'!$Y66,0)=-99,"N/A",OFFSET(M$55,'Intermediate Data'!$Y66,0))))</f>
        <v>N/A</v>
      </c>
      <c r="AL66" s="90">
        <f ca="1">IF($Y66="","",IF(OFFSET(N$55,'Intermediate Data'!$Y66,0)=-98,"N/A",IF(OFFSET(N$55,'Intermediate Data'!$Y66,0)=-99,"N/A",OFFSET(N$55,'Intermediate Data'!$Y66,0))))</f>
        <v>1.1281365978062037</v>
      </c>
      <c r="AM66" s="90" t="str">
        <f ca="1">IF($Y66="","",IF(OFFSET(O$55,'Intermediate Data'!$Y66,0)=-98,"N/A",IF(OFFSET(O$55,'Intermediate Data'!$Y66,0)=-99,"N/A",OFFSET(O$55,'Intermediate Data'!$Y66,0))))</f>
        <v>N/A</v>
      </c>
      <c r="AN66" s="90">
        <f ca="1">IF($Y66="","",IF(OFFSET(P$55,'Intermediate Data'!$Y66,0)=-98,"N/A",IF(OFFSET(P$55,'Intermediate Data'!$Y66,0)=-99,"N/A",OFFSET(P$55,'Intermediate Data'!$Y66,0))))</f>
        <v>1.1281365978062037</v>
      </c>
      <c r="AO66" s="90" t="str">
        <f ca="1">IF($Y66="","",IF(OFFSET(Q$55,'Intermediate Data'!$Y66,0)=-98,"N/A",IF(OFFSET(Q$55,'Intermediate Data'!$Y66,0)=-99,"N/A",OFFSET(Q$55,'Intermediate Data'!$Y66,0))))</f>
        <v>RASS</v>
      </c>
      <c r="AP66" s="697" t="str">
        <f ca="1">IF($Y66="","",IF(OFFSET(S$55,'Intermediate Data'!$Y66,0)=-98,"",IF(OFFSET(S$55,'Intermediate Data'!$Y66,0)=-99,"",OFFSET(S$55,'Intermediate Data'!$Y66,0))))</f>
        <v/>
      </c>
      <c r="AQ66" s="90">
        <f ca="1">IF($Y66="","",IF(OFFSET(T$55,'Intermediate Data'!$Y66,0)=-98,"Not published",IF(OFFSET(T$55,'Intermediate Data'!$Y66,0)=-99,"",OFFSET(T$55,'Intermediate Data'!$Y66,0))))</f>
        <v>0.27</v>
      </c>
      <c r="AR66" s="90">
        <f ca="1">IF($Y66="","",IF(OFFSET(U$55,'Intermediate Data'!$Y66,0)=-98,"Unknown",IF(OFFSET(U$55,'Intermediate Data'!$Y66,0)=-99,"",OFFSET(U$55,'Intermediate Data'!$Y66,0))))</f>
        <v>165</v>
      </c>
      <c r="AU66" s="112">
        <f ca="1">IF(AND(OFFSET(DATA!$F15,0,$AX$48)='Intermediate Data'!$AY$48,DATA!$E15="Tier 1"),IF(OR($AX$49=0,$AX$48=1),DATA!A15,IF(AND($AX$49=1,INDEX('Intermediate Data'!$AY$25:$AY$44,MATCH(DATA!$B15,'Intermediate Data'!$AX$25:$AX$44,0))=TRUE),DATA!A15,"")),"")</f>
        <v>11</v>
      </c>
      <c r="AV66" s="112" t="str">
        <f ca="1">IF($AU66="","",DATA!B15)</f>
        <v>Hot tub/Spa - Electric</v>
      </c>
      <c r="AW66" s="112">
        <f ca="1">IF(OR($AU66="",DATA!BI15=""),"",DATA!BI15)</f>
        <v>-98</v>
      </c>
      <c r="AX66" s="112">
        <f ca="1">IF(OR($AU66="",OFFSET(DATA!BK15,0,$AX$48)=""),"",OFFSET(DATA!BK15,0,$AX$48))</f>
        <v>900</v>
      </c>
      <c r="AY66" s="112">
        <f ca="1">IF(OR($AU66="",OFFSET(DATA!BM15,0,$AX$48)=""),"",OFFSET(DATA!BM15,0,$AX$48))</f>
        <v>-99</v>
      </c>
      <c r="AZ66" s="112">
        <f ca="1">IF(OR($AU66="",OFFSET(DATA!BO15,0,'Intermediate Data'!$AX$48)=""),"",OFFSET(DATA!BO15,0,$AX$48))</f>
        <v>750</v>
      </c>
      <c r="BA66" s="112" t="str">
        <f ca="1">IF(OR($AU66="",DATA!BQ15=""),"",DATA!BQ15)</f>
        <v>Max Tech</v>
      </c>
      <c r="BB66" s="112" t="str">
        <f ca="1">IF($AU66="","",OFFSET(DATA!BS15,0,$AX$48))</f>
        <v>N/A</v>
      </c>
      <c r="BC66" s="112" t="str">
        <f ca="1">IF($AU66="","",OFFSET(DATA!BU15,0,$AX$48))</f>
        <v>N/A</v>
      </c>
      <c r="BD66" s="112" t="str">
        <f ca="1">IF($AU66="","",OFFSET(DATA!BW15,0,$AX$48))</f>
        <v>N/A</v>
      </c>
      <c r="BE66" s="112" t="str">
        <f ca="1">IF($AU66="","",OFFSET(DATA!BY15,0,$AX$48))</f>
        <v>N/A</v>
      </c>
      <c r="BF66" s="112" t="str">
        <f ca="1">IF($AU66="","",OFFSET(DATA!CA15,0,$AX$48))</f>
        <v>N/A</v>
      </c>
      <c r="BG66" s="112" t="str">
        <f ca="1">IF($AU66="","",DATA!CC15)</f>
        <v>N/A</v>
      </c>
      <c r="BH66" s="112" t="str">
        <f ca="1">IF($AU66="","",OFFSET(DATA!CE15,0,$AX$48))</f>
        <v>N/A</v>
      </c>
      <c r="BI66" s="112" t="str">
        <f ca="1">IF($AU66="","",OFFSET(DATA!CG15,0,$AX$48))</f>
        <v>N/A</v>
      </c>
      <c r="BJ66" s="112" t="str">
        <f ca="1">IF($AU66="","",OFFSET(DATA!CI15,0,$AX$48))</f>
        <v>N/A</v>
      </c>
      <c r="BK66" s="112" t="str">
        <f ca="1">IF($AU66="","",OFFSET(DATA!CK15,0,$AX$48))</f>
        <v>N/A</v>
      </c>
      <c r="BL66" s="112" t="str">
        <f ca="1">IF($AU66="","",OFFSET(DATA!CM15,0,$AX$48))</f>
        <v>N/A</v>
      </c>
      <c r="BM66" s="112">
        <f ca="1">IF($AU66="","",DATA!BH15)</f>
        <v>-99</v>
      </c>
      <c r="BN66" s="112" t="str">
        <f ca="1">IF($AU66="","",DATA!DS15)</f>
        <v>N/A</v>
      </c>
      <c r="BO66" s="112" t="str">
        <f ca="1">IF($AU66="","",DATA!DU15)</f>
        <v>N/A</v>
      </c>
      <c r="BP66" s="112" t="str">
        <f ca="1">IF($AU66="","",DATA!DV15)</f>
        <v>N/A</v>
      </c>
      <c r="BQ66" s="112" t="str">
        <f ca="1">IF($AU66="","",DATA!DX15)</f>
        <v>N/A</v>
      </c>
      <c r="BR66" s="112" t="str">
        <f ca="1">IF($AU66="","",DATA!DZ15)</f>
        <v>N/A</v>
      </c>
      <c r="BS66" s="171" t="str">
        <f ca="1">IF($AU66="","",DATA!EA15)</f>
        <v>N/A</v>
      </c>
      <c r="BT66" s="171">
        <f ca="1">IF($AU66="","",DATA!EC15)</f>
        <v>38718</v>
      </c>
      <c r="BU66" s="171">
        <f ca="1">IF($AU66="","",DATA!EF15)</f>
        <v>42370</v>
      </c>
      <c r="BV66" s="113">
        <f t="shared" ca="1" si="10"/>
        <v>42370</v>
      </c>
      <c r="BW66" s="680">
        <f ca="1">IF(AU66="","",OFFSET(DATA!DC15,0,'Intermediate Data'!$AX$48))</f>
        <v>375.8</v>
      </c>
      <c r="BX66" s="681">
        <f ca="1">IF($AU66="","",DATA!DG15)</f>
        <v>0.3</v>
      </c>
      <c r="BY66" s="680">
        <f ca="1">IF($AU66="","",OFFSET(DATA!DE15,0,'Intermediate Data'!$AX$48))</f>
        <v>240</v>
      </c>
      <c r="BZ66" s="681">
        <f ca="1">IF($AU66="","",DATA!DH15)</f>
        <v>0.15429999999999999</v>
      </c>
      <c r="CA66" s="90">
        <f t="shared" ca="1" si="11"/>
        <v>900</v>
      </c>
      <c r="CB66" s="99">
        <f t="shared" ca="1" si="12"/>
        <v>900.00066000000004</v>
      </c>
      <c r="CC66" s="90">
        <f t="shared" ca="1" si="13"/>
        <v>36.00067</v>
      </c>
      <c r="CD66" s="90">
        <f t="shared" ca="1" si="14"/>
        <v>12</v>
      </c>
      <c r="CF66" s="90" t="str">
        <f ca="1">IF($CD66="","",IF(OFFSET(AV$55,'Intermediate Data'!$CD66,0)=-98,"Unknown",IF(OFFSET(AV$55,'Intermediate Data'!$CD66,0)=-99,"N/A",OFFSET(AV$55,'Intermediate Data'!$CD66,0))))</f>
        <v>Compact audio</v>
      </c>
      <c r="CG66" s="90">
        <f ca="1">IF($CD66="","",IF(OFFSET(AW$55,'Intermediate Data'!$CD66,0)=-98,"",IF(OFFSET(AW$55,'Intermediate Data'!$CD66,0)=-99,"N/A",OFFSET(AW$55,'Intermediate Data'!$CD66,0))))</f>
        <v>105</v>
      </c>
      <c r="CH66" s="90">
        <f ca="1">IF($CD66="","",IF(OFFSET(AX$55,'Intermediate Data'!$CD66,0)=-98,"Unknown",IF(OFFSET(AX$55,'Intermediate Data'!$CD66,0)=-99,"N/A",OFFSET(AX$55,'Intermediate Data'!$CD66,0))))</f>
        <v>36</v>
      </c>
      <c r="CI66" s="125">
        <f ca="1">IF($CD66="","",IF(OFFSET(AY$55,'Intermediate Data'!$CD66,0)=-98,"Unknown",IF(OFFSET(AY$55,'Intermediate Data'!$CD66,0)=-99,"No spec",OFFSET(AY$55,'Intermediate Data'!$CD66,0))))</f>
        <v>70</v>
      </c>
      <c r="CJ66" s="125" t="str">
        <f ca="1">IF($CD66="","",IF(OFFSET(AZ$55,'Intermediate Data'!$CD66,0)=-98,"Unknown",IF(OFFSET(AZ$55,'Intermediate Data'!$CD66,0)=-99,"N/A",OFFSET(AZ$55,'Intermediate Data'!$CD66,0))))</f>
        <v/>
      </c>
      <c r="CK66" s="90" t="str">
        <f ca="1">IF($CD66="","",IF(OFFSET(BA$55,'Intermediate Data'!$CD66,0)=-98,"Unknown",IF(OFFSET(BA$55,'Intermediate Data'!$CD66,0)=-99,"N/A",OFFSET(BA$55,'Intermediate Data'!$CD66,0))))</f>
        <v/>
      </c>
      <c r="CL66" s="90" t="str">
        <f ca="1">IF($CD66="","",IF(OFFSET(BB$55,'Intermediate Data'!$CD66,$AX$50)=-98,"Unknown",IF(OFFSET(BB$55,'Intermediate Data'!$CD66,$AX$50)="N/A","",OFFSET(BB$55,'Intermediate Data'!$CD66,$AX$50))))</f>
        <v/>
      </c>
      <c r="CM66" s="90" t="str">
        <f ca="1">IF($CD66="","",IF(OFFSET(BG$55,'Intermediate Data'!$CD66,0)="ET","ET",""))</f>
        <v/>
      </c>
      <c r="CN66" s="90" t="str">
        <f ca="1">IF($CD66="","",IF(OFFSET(BH$55,'Intermediate Data'!$CD66,$AX$50)=-98,"Unknown",IF(OFFSET(BH$55,'Intermediate Data'!$CD66,$AX$50)="N/A","",OFFSET(BH$55,'Intermediate Data'!$CD66,$AX$50))))</f>
        <v/>
      </c>
      <c r="CO66" s="90">
        <f ca="1">IF($CD66="","",IF(OFFSET(BM$55,'Intermediate Data'!$CD66,0)=-98,"Not published",IF(OFFSET(BM$55,'Intermediate Data'!$CD66,0)=-99,"No spec",OFFSET(BM$55,'Intermediate Data'!$CD66,0))))</f>
        <v>0.02</v>
      </c>
      <c r="CP66" s="114" t="str">
        <f ca="1">IF($CD66="","",IF(OFFSET(BN$55,'Intermediate Data'!$CD66,0)=-98,"Unknown",IF(OFFSET(BN$55,'Intermediate Data'!$CD66,0)=-99,"N/A",OFFSET(BN$55,'Intermediate Data'!$CD66,0))))</f>
        <v>N/A</v>
      </c>
      <c r="CQ66" s="114" t="str">
        <f ca="1">IF($CD66="","",IF(OFFSET(BO$55,'Intermediate Data'!$CD66,0)=-98,"Unknown",IF(OFFSET(BO$55,'Intermediate Data'!$CD66,0)=-99,"N/A",OFFSET(BO$55,'Intermediate Data'!$CD66,0))))</f>
        <v>N/A</v>
      </c>
      <c r="CR66" s="114" t="str">
        <f ca="1">IF($CD66="","",IF(OFFSET(BP$55,'Intermediate Data'!$CD66,0)=-98,"Unknown",IF(OFFSET(BP$55,'Intermediate Data'!$CD66,0)=-99,"N/A",OFFSET(BP$55,'Intermediate Data'!$CD66,0))))</f>
        <v>N/A</v>
      </c>
      <c r="CS66" s="114">
        <f ca="1">IF($CD66="","",IF(OFFSET(BQ$55,'Intermediate Data'!$CD66,0)=-98,"Unknown",IF(OFFSET(BQ$55,'Intermediate Data'!$CD66,0)=-99,"N/A",OFFSET(BQ$55,'Intermediate Data'!$CD66,0))))</f>
        <v>41395</v>
      </c>
      <c r="CT66" s="114" t="str">
        <f ca="1">IF($CD66="","",IF(OFFSET(BR$55,'Intermediate Data'!$CD66,0)=-98,"Unknown",IF(OFFSET(BR$55,'Intermediate Data'!$CD66,0)=-99,"N/A",OFFSET(BR$55,'Intermediate Data'!$CD66,0))))</f>
        <v>N/A</v>
      </c>
      <c r="CU66" s="114" t="str">
        <f ca="1">IF($CD66="","",IF(OFFSET(BS$55,'Intermediate Data'!$CD66,0)=-98,"Unknown",IF(OFFSET(BS$55,'Intermediate Data'!$CD66,0)=-99,"N/A",OFFSET(BS$55,'Intermediate Data'!$CD66,0))))</f>
        <v>N/A</v>
      </c>
      <c r="CV66" s="114">
        <f ca="1">IF($CD66="","",IF(OFFSET(BT$55,'Intermediate Data'!$CD66,0)=-98,"Unknown",IF(OFFSET(BT$55,'Intermediate Data'!$CD66,0)=-99,"N/A",OFFSET(BT$55,'Intermediate Data'!$CD66,0))))</f>
        <v>39083</v>
      </c>
      <c r="CW66" s="114" t="str">
        <f ca="1">IF($CD66="","",IF(OFFSET(BU$55,'Intermediate Data'!$CD66,0)=-98,"Unknown",IF(OFFSET(BU$55,'Intermediate Data'!$CD66,0)=-99,"N/A",OFFSET(BU$55,'Intermediate Data'!$CD66,0))))</f>
        <v>N/A</v>
      </c>
      <c r="CX66" s="114" t="str">
        <f ca="1">IF($CD66="","",IF(OFFSET(BV$55,'Intermediate Data'!$CD66,0)=-98,"Unknown",IF(OFFSET(BV$55,'Intermediate Data'!$CD66,0)=-99,"N/A",OFFSET(BV$55,'Intermediate Data'!$CD66,0))))</f>
        <v/>
      </c>
      <c r="CY66" s="682">
        <f ca="1">IF($CD66="","",IF(OFFSET(BW$55,'Intermediate Data'!$CD66,0)=-98,"Unknown",IF(OFFSET(BW$55,'Intermediate Data'!$CD66,0)="N/A","",OFFSET(BW$55,'Intermediate Data'!$CD66,0))))</f>
        <v>44.676000000000002</v>
      </c>
      <c r="CZ66" s="682">
        <f ca="1">IF($CD66="","",IF(OFFSET(BX$55,'Intermediate Data'!$CD66,0)=-98,"Unknown",IF(OFFSET(BX$55,'Intermediate Data'!$CD66,0)="N/A","",OFFSET(BX$55,'Intermediate Data'!$CD66,0))))</f>
        <v>0</v>
      </c>
      <c r="DA66" s="682" t="str">
        <f ca="1">IF($CD66="","",IF(OFFSET(BY$55,'Intermediate Data'!$CD66,0)=-98,"Unknown",IF(OFFSET(BY$55,'Intermediate Data'!$CD66,0)="N/A","",OFFSET(BY$55,'Intermediate Data'!$CD66,0))))</f>
        <v/>
      </c>
      <c r="DB66" s="682" t="str">
        <f ca="1">IF($CD66="","",IF(OFFSET(BZ$55,'Intermediate Data'!$CD66,0)=-98,"Unknown",IF(OFFSET(BZ$55,'Intermediate Data'!$CD66,0)="N/A","",OFFSET(BZ$55,'Intermediate Data'!$CD66,0))))</f>
        <v/>
      </c>
    </row>
    <row r="67" spans="1:106" x14ac:dyDescent="0.2">
      <c r="A67" s="90">
        <f ca="1">IF(OFFSET(DATA!F16,0,$D$48)='Intermediate Data'!$E$48,IF(OR($E$49=$C$27,$E$48=$B$4),DATA!A16,IF($G$49=DATA!D16,DATA!A16,"")),"")</f>
        <v>12</v>
      </c>
      <c r="B67" s="90">
        <f ca="1">IF($A67="","",DATA!EH16)</f>
        <v>114</v>
      </c>
      <c r="C67" s="90" t="str">
        <f ca="1">IF($A67="","",DATA!B16)</f>
        <v>Compact audio</v>
      </c>
      <c r="D67" s="90">
        <f ca="1">IF($A67="","",OFFSET(DATA!$H16,0,($D$50*5)))</f>
        <v>-99</v>
      </c>
      <c r="E67" s="90">
        <f ca="1">IF($A67="","",OFFSET(DATA!$H16,0,($D$50*5)+1))</f>
        <v>0.66939067709045774</v>
      </c>
      <c r="F67" s="90">
        <f ca="1">IF($A67="","",OFFSET(DATA!$H16,0,($D$50*5)+2))</f>
        <v>-99</v>
      </c>
      <c r="G67" s="90">
        <f ca="1">IF($A67="","",OFFSET(DATA!$H16,0,($D$50*5)+3))</f>
        <v>0.32373509479064932</v>
      </c>
      <c r="H67" s="90">
        <f ca="1">IF($A67="","",OFFSET(DATA!$H16,0,($D$50*5)+4))</f>
        <v>-99</v>
      </c>
      <c r="I67" s="90">
        <f t="shared" ca="1" si="2"/>
        <v>0.32373509479064932</v>
      </c>
      <c r="J67" s="90" t="str">
        <f t="shared" ca="1" si="3"/>
        <v>RASS</v>
      </c>
      <c r="K67" s="90">
        <f ca="1">IF($A67="","",OFFSET(DATA!$AG16,0,($D$50*5)))</f>
        <v>-99</v>
      </c>
      <c r="L67" s="90">
        <f ca="1">IF($A67="","",OFFSET(DATA!$AG16,0,($D$50*5)+1))</f>
        <v>0.88662016732526805</v>
      </c>
      <c r="M67" s="90">
        <f ca="1">IF($A67="","",OFFSET(DATA!$AG16,0,($D$50*5)+2))</f>
        <v>-99</v>
      </c>
      <c r="N67" s="90">
        <f ca="1">IF($A67="","",OFFSET(DATA!$AG16,0,($D$50*5)+3))</f>
        <v>0.4418494481165896</v>
      </c>
      <c r="O67" s="90">
        <f ca="1">IF($A67="","",OFFSET(DATA!$AG16,0,($D$50*5)+4))</f>
        <v>-99</v>
      </c>
      <c r="P67" s="90">
        <f t="shared" ca="1" si="4"/>
        <v>0.4418494481165896</v>
      </c>
      <c r="Q67" s="90" t="str">
        <f t="shared" ca="1" si="5"/>
        <v>RASS</v>
      </c>
      <c r="R67" s="699">
        <f ca="1">IF($A67="","",IF(DATA!BF16="",-99,DATA!BF16))</f>
        <v>-99</v>
      </c>
      <c r="S67" s="90">
        <f ca="1">IF($A67="","",IF(DATA!BG16="",-99,DATA!BF16-DATA!BG16))</f>
        <v>-99</v>
      </c>
      <c r="T67" s="90">
        <f ca="1">IF($A67="","",DATA!BH16)</f>
        <v>0.02</v>
      </c>
      <c r="U67" s="90">
        <f ca="1">IF($A67="","",OFFSET(DATA!BM16,0,$D$48))</f>
        <v>70</v>
      </c>
      <c r="V67" s="90">
        <f t="shared" ca="1" si="6"/>
        <v>114</v>
      </c>
      <c r="W67" s="99">
        <f t="shared" ca="1" si="7"/>
        <v>113.99995776720304</v>
      </c>
      <c r="X67" s="112">
        <f t="shared" ca="1" si="8"/>
        <v>124.99988120156</v>
      </c>
      <c r="Y67" s="90">
        <f t="shared" ca="1" si="9"/>
        <v>101</v>
      </c>
      <c r="AA67" s="90" t="str">
        <f ca="1">IF($Y67="","",IF(OFFSET(C$55,'Intermediate Data'!$Y67,0)=-98,"Unknown",IF(OFFSET(C$55,'Intermediate Data'!$Y67,0)=-99,"N/A",OFFSET(C$55,'Intermediate Data'!$Y67,0))))</f>
        <v>Cell phone charger</v>
      </c>
      <c r="AB67" s="90" t="str">
        <f ca="1">IF($Y67="","",IF(OFFSET(D$55,'Intermediate Data'!$Y67,0)=-98,"N/A",IF(OFFSET(D$55,'Intermediate Data'!$Y67,0)=-99,"N/A",OFFSET(D$55,'Intermediate Data'!$Y67,0))))</f>
        <v>N/A</v>
      </c>
      <c r="AC67" s="90" t="str">
        <f ca="1">IF($Y67="","",IF(OFFSET(E$55,'Intermediate Data'!$Y67,0)=-98,"N/A",IF(OFFSET(E$55,'Intermediate Data'!$Y67,0)=-99,"N/A",OFFSET(E$55,'Intermediate Data'!$Y67,0))))</f>
        <v>N/A</v>
      </c>
      <c r="AD67" s="90" t="str">
        <f ca="1">IF($Y67="","",IF(OFFSET(F$55,'Intermediate Data'!$Y67,0)=-98,"N/A",IF(OFFSET(F$55,'Intermediate Data'!$Y67,0)=-99,"N/A",OFFSET(F$55,'Intermediate Data'!$Y67,0))))</f>
        <v>N/A</v>
      </c>
      <c r="AE67" s="90" t="str">
        <f ca="1">IF($Y67="","",IF(OFFSET(G$55,'Intermediate Data'!$Y67,0)=-98,"N/A",IF(OFFSET(G$55,'Intermediate Data'!$Y67,0)=-99,"N/A",OFFSET(G$55,'Intermediate Data'!$Y67,0))))</f>
        <v>N/A</v>
      </c>
      <c r="AF67" s="90" t="str">
        <f ca="1">IF($Y67="","",IF(OFFSET(H$55,'Intermediate Data'!$Y67,0)=-98,"N/A",IF(OFFSET(H$55,'Intermediate Data'!$Y67,0)=-99,"N/A",OFFSET(H$55,'Intermediate Data'!$Y67,0))))</f>
        <v>N/A</v>
      </c>
      <c r="AG67" s="90" t="str">
        <f ca="1">IF($Y67="","",IF(OFFSET(I$55,'Intermediate Data'!$Y67,0)=-98,"N/A",IF(OFFSET(I$55,'Intermediate Data'!$Y67,0)=-99,"N/A",OFFSET(I$55,'Intermediate Data'!$Y67,0))))</f>
        <v>N/A</v>
      </c>
      <c r="AH67" s="90" t="str">
        <f ca="1">IF($Y67="","",IF(OFFSET(J$55,'Intermediate Data'!$Y67,0)=-98,"N/A",IF(OFFSET(J$55,'Intermediate Data'!$Y67,0)=-99,"N/A",OFFSET(J$55,'Intermediate Data'!$Y67,0))))</f>
        <v/>
      </c>
      <c r="AI67" s="90" t="str">
        <f ca="1">IF($Y67="","",IF(OFFSET(K$55,'Intermediate Data'!$Y67,0)=-98,"N/A",IF(OFFSET(K$55,'Intermediate Data'!$Y67,0)=-99,"N/A",OFFSET(K$55,'Intermediate Data'!$Y67,0))))</f>
        <v>N/A</v>
      </c>
      <c r="AJ67" s="90" t="str">
        <f ca="1">IF($Y67="","",IF(OFFSET(L$55,'Intermediate Data'!$Y67,0)=-98,"N/A",IF(OFFSET(L$55,'Intermediate Data'!$Y67,0)=-99,"N/A",OFFSET(L$55,'Intermediate Data'!$Y67,0))))</f>
        <v>N/A</v>
      </c>
      <c r="AK67" s="90" t="str">
        <f ca="1">IF($Y67="","",IF(OFFSET(M$55,'Intermediate Data'!$Y67,0)=-98,"N/A",IF(OFFSET(M$55,'Intermediate Data'!$Y67,0)=-99,"N/A",OFFSET(M$55,'Intermediate Data'!$Y67,0))))</f>
        <v>N/A</v>
      </c>
      <c r="AL67" s="90" t="str">
        <f ca="1">IF($Y67="","",IF(OFFSET(N$55,'Intermediate Data'!$Y67,0)=-98,"N/A",IF(OFFSET(N$55,'Intermediate Data'!$Y67,0)=-99,"N/A",OFFSET(N$55,'Intermediate Data'!$Y67,0))))</f>
        <v>N/A</v>
      </c>
      <c r="AM67" s="90" t="str">
        <f ca="1">IF($Y67="","",IF(OFFSET(O$55,'Intermediate Data'!$Y67,0)=-98,"N/A",IF(OFFSET(O$55,'Intermediate Data'!$Y67,0)=-99,"N/A",OFFSET(O$55,'Intermediate Data'!$Y67,0))))</f>
        <v>N/A</v>
      </c>
      <c r="AN67" s="90" t="str">
        <f ca="1">IF($Y67="","",IF(OFFSET(P$55,'Intermediate Data'!$Y67,0)=-98,"N/A",IF(OFFSET(P$55,'Intermediate Data'!$Y67,0)=-99,"N/A",OFFSET(P$55,'Intermediate Data'!$Y67,0))))</f>
        <v>N/A</v>
      </c>
      <c r="AO67" s="90" t="str">
        <f ca="1">IF($Y67="","",IF(OFFSET(Q$55,'Intermediate Data'!$Y67,0)=-98,"N/A",IF(OFFSET(Q$55,'Intermediate Data'!$Y67,0)=-99,"N/A",OFFSET(Q$55,'Intermediate Data'!$Y67,0))))</f>
        <v/>
      </c>
      <c r="AP67" s="697" t="str">
        <f ca="1">IF($Y67="","",IF(OFFSET(S$55,'Intermediate Data'!$Y67,0)=-98,"",IF(OFFSET(S$55,'Intermediate Data'!$Y67,0)=-99,"",OFFSET(S$55,'Intermediate Data'!$Y67,0))))</f>
        <v/>
      </c>
      <c r="AQ67" s="90" t="str">
        <f ca="1">IF($Y67="","",IF(OFFSET(T$55,'Intermediate Data'!$Y67,0)=-98,"Not published",IF(OFFSET(T$55,'Intermediate Data'!$Y67,0)=-99,"",OFFSET(T$55,'Intermediate Data'!$Y67,0))))</f>
        <v/>
      </c>
      <c r="AR67" s="90" t="str">
        <f ca="1">IF($Y67="","",IF(OFFSET(U$55,'Intermediate Data'!$Y67,0)=-98,"Unknown",IF(OFFSET(U$55,'Intermediate Data'!$Y67,0)=-99,"",OFFSET(U$55,'Intermediate Data'!$Y67,0))))</f>
        <v/>
      </c>
      <c r="AU67" s="112">
        <f ca="1">IF(AND(OFFSET(DATA!$F16,0,$AX$48)='Intermediate Data'!$AY$48,DATA!$E16="Tier 1"),IF(OR($AX$49=0,$AX$48=1),DATA!A16,IF(AND($AX$49=1,INDEX('Intermediate Data'!$AY$25:$AY$44,MATCH(DATA!$B16,'Intermediate Data'!$AX$25:$AX$44,0))=TRUE),DATA!A16,"")),"")</f>
        <v>12</v>
      </c>
      <c r="AV67" s="112" t="str">
        <f ca="1">IF($AU67="","",DATA!B16)</f>
        <v>Compact audio</v>
      </c>
      <c r="AW67" s="112">
        <f ca="1">IF(OR($AU67="",DATA!BI16=""),"",DATA!BI16)</f>
        <v>105</v>
      </c>
      <c r="AX67" s="112">
        <f ca="1">IF(OR($AU67="",OFFSET(DATA!BK16,0,$AX$48)=""),"",OFFSET(DATA!BK16,0,$AX$48))</f>
        <v>36</v>
      </c>
      <c r="AY67" s="112">
        <f ca="1">IF(OR($AU67="",OFFSET(DATA!BM16,0,$AX$48)=""),"",OFFSET(DATA!BM16,0,$AX$48))</f>
        <v>70</v>
      </c>
      <c r="AZ67" s="112" t="str">
        <f ca="1">IF(OR($AU67="",OFFSET(DATA!BO16,0,'Intermediate Data'!$AX$48)=""),"",OFFSET(DATA!BO16,0,$AX$48))</f>
        <v/>
      </c>
      <c r="BA67" s="112" t="str">
        <f ca="1">IF(OR($AU67="",DATA!BQ16=""),"",DATA!BQ16)</f>
        <v/>
      </c>
      <c r="BB67" s="112" t="str">
        <f ca="1">IF($AU67="","",OFFSET(DATA!BS16,0,$AX$48))</f>
        <v>N/A</v>
      </c>
      <c r="BC67" s="112" t="str">
        <f ca="1">IF($AU67="","",OFFSET(DATA!BU16,0,$AX$48))</f>
        <v>N/A</v>
      </c>
      <c r="BD67" s="112" t="str">
        <f ca="1">IF($AU67="","",OFFSET(DATA!BW16,0,$AX$48))</f>
        <v>N/A</v>
      </c>
      <c r="BE67" s="112" t="str">
        <f ca="1">IF($AU67="","",OFFSET(DATA!BY16,0,$AX$48))</f>
        <v>N/A</v>
      </c>
      <c r="BF67" s="112" t="str">
        <f ca="1">IF($AU67="","",OFFSET(DATA!CA16,0,$AX$48))</f>
        <v>N/A</v>
      </c>
      <c r="BG67" s="112" t="str">
        <f ca="1">IF($AU67="","",DATA!CC16)</f>
        <v>N/A</v>
      </c>
      <c r="BH67" s="112" t="str">
        <f ca="1">IF($AU67="","",OFFSET(DATA!CE16,0,$AX$48))</f>
        <v>N/A</v>
      </c>
      <c r="BI67" s="112" t="str">
        <f ca="1">IF($AU67="","",OFFSET(DATA!CG16,0,$AX$48))</f>
        <v>N/A</v>
      </c>
      <c r="BJ67" s="112" t="str">
        <f ca="1">IF($AU67="","",OFFSET(DATA!CI16,0,$AX$48))</f>
        <v>N/A</v>
      </c>
      <c r="BK67" s="112" t="str">
        <f ca="1">IF($AU67="","",OFFSET(DATA!CK16,0,$AX$48))</f>
        <v>N/A</v>
      </c>
      <c r="BL67" s="112" t="str">
        <f ca="1">IF($AU67="","",OFFSET(DATA!CM16,0,$AX$48))</f>
        <v>N/A</v>
      </c>
      <c r="BM67" s="112">
        <f ca="1">IF($AU67="","",DATA!BH16)</f>
        <v>0.02</v>
      </c>
      <c r="BN67" s="112" t="str">
        <f ca="1">IF($AU67="","",DATA!DS16)</f>
        <v>N/A</v>
      </c>
      <c r="BO67" s="112" t="str">
        <f ca="1">IF($AU67="","",DATA!DU16)</f>
        <v>N/A</v>
      </c>
      <c r="BP67" s="112" t="str">
        <f ca="1">IF($AU67="","",DATA!DV16)</f>
        <v>N/A</v>
      </c>
      <c r="BQ67" s="112">
        <f ca="1">IF($AU67="","",DATA!DX16)</f>
        <v>41395</v>
      </c>
      <c r="BR67" s="112" t="str">
        <f ca="1">IF($AU67="","",DATA!DZ16)</f>
        <v>N/A</v>
      </c>
      <c r="BS67" s="171" t="str">
        <f ca="1">IF($AU67="","",DATA!EA16)</f>
        <v>N/A</v>
      </c>
      <c r="BT67" s="171">
        <f ca="1">IF($AU67="","",DATA!EC16)</f>
        <v>39083</v>
      </c>
      <c r="BU67" s="171" t="str">
        <f ca="1">IF($AU67="","",DATA!EF16)</f>
        <v>N/A</v>
      </c>
      <c r="BV67" s="113" t="str">
        <f t="shared" ca="1" si="10"/>
        <v/>
      </c>
      <c r="BW67" s="680">
        <f ca="1">IF(AU67="","",OFFSET(DATA!DC16,0,'Intermediate Data'!$AX$48))</f>
        <v>44.676000000000002</v>
      </c>
      <c r="BX67" s="681">
        <f ca="1">IF($AU67="","",DATA!DG16)</f>
        <v>0</v>
      </c>
      <c r="BY67" s="680" t="str">
        <f ca="1">IF($AU67="","",OFFSET(DATA!DE16,0,'Intermediate Data'!$AX$48))</f>
        <v>N/A</v>
      </c>
      <c r="BZ67" s="681" t="str">
        <f ca="1">IF($AU67="","",DATA!DH16)</f>
        <v>N/A</v>
      </c>
      <c r="CA67" s="90">
        <f t="shared" ca="1" si="11"/>
        <v>36</v>
      </c>
      <c r="CB67" s="99">
        <f t="shared" ca="1" si="12"/>
        <v>36.00067</v>
      </c>
      <c r="CC67" s="90">
        <f t="shared" ca="1" si="13"/>
        <v>7.6000000000000004E-4</v>
      </c>
      <c r="CD67" s="90">
        <f t="shared" ca="1" si="14"/>
        <v>21</v>
      </c>
      <c r="CF67" s="90" t="str">
        <f ca="1">IF($CD67="","",IF(OFFSET(AV$55,'Intermediate Data'!$CD67,0)=-98,"Unknown",IF(OFFSET(AV$55,'Intermediate Data'!$CD67,0)=-99,"N/A",OFFSET(AV$55,'Intermediate Data'!$CD67,0))))</f>
        <v>Hot water heater - Gas</v>
      </c>
      <c r="CG67" s="90" t="str">
        <f ca="1">IF($CD67="","",IF(OFFSET(AW$55,'Intermediate Data'!$CD67,0)=-98,"",IF(OFFSET(AW$55,'Intermediate Data'!$CD67,0)=-99,"N/A",OFFSET(AW$55,'Intermediate Data'!$CD67,0))))</f>
        <v/>
      </c>
      <c r="CH67" s="90">
        <f ca="1">IF($CD67="","",IF(OFFSET(AX$55,'Intermediate Data'!$CD67,0)=-98,"Unknown",IF(OFFSET(AX$55,'Intermediate Data'!$CD67,0)=-99,"N/A",OFFSET(AX$55,'Intermediate Data'!$CD67,0))))</f>
        <v>0</v>
      </c>
      <c r="CI67" s="125">
        <f ca="1">IF($CD67="","",IF(OFFSET(AY$55,'Intermediate Data'!$CD67,0)=-98,"Unknown",IF(OFFSET(AY$55,'Intermediate Data'!$CD67,0)=-99,"No spec",OFFSET(AY$55,'Intermediate Data'!$CD67,0))))</f>
        <v>0</v>
      </c>
      <c r="CJ67" s="125" t="str">
        <f ca="1">IF($CD67="","",IF(OFFSET(AZ$55,'Intermediate Data'!$CD67,0)=-98,"Unknown",IF(OFFSET(AZ$55,'Intermediate Data'!$CD67,0)=-99,"N/A",OFFSET(AZ$55,'Intermediate Data'!$CD67,0))))</f>
        <v/>
      </c>
      <c r="CK67" s="90" t="str">
        <f ca="1">IF($CD67="","",IF(OFFSET(BA$55,'Intermediate Data'!$CD67,0)=-98,"Unknown",IF(OFFSET(BA$55,'Intermediate Data'!$CD67,0)=-99,"N/A",OFFSET(BA$55,'Intermediate Data'!$CD67,0))))</f>
        <v/>
      </c>
      <c r="CL67" s="90">
        <f ca="1">IF($CD67="","",IF(OFFSET(BB$55,'Intermediate Data'!$CD67,$AX$50)=-98,"Unknown",IF(OFFSET(BB$55,'Intermediate Data'!$CD67,$AX$50)="N/A","",OFFSET(BB$55,'Intermediate Data'!$CD67,$AX$50))))</f>
        <v>0</v>
      </c>
      <c r="CM67" s="90" t="str">
        <f ca="1">IF($CD67="","",IF(OFFSET(BG$55,'Intermediate Data'!$CD67,0)="ET","ET",""))</f>
        <v>ET</v>
      </c>
      <c r="CN67" s="90">
        <f ca="1">IF($CD67="","",IF(OFFSET(BH$55,'Intermediate Data'!$CD67,$AX$50)=-98,"Unknown",IF(OFFSET(BH$55,'Intermediate Data'!$CD67,$AX$50)="N/A","",OFFSET(BH$55,'Intermediate Data'!$CD67,$AX$50))))</f>
        <v>0</v>
      </c>
      <c r="CO67" s="90">
        <f ca="1">IF($CD67="","",IF(OFFSET(BM$55,'Intermediate Data'!$CD67,0)=-98,"Not published",IF(OFFSET(BM$55,'Intermediate Data'!$CD67,0)=-99,"No spec",OFFSET(BM$55,'Intermediate Data'!$CD67,0))))</f>
        <v>0.04</v>
      </c>
      <c r="CP67" s="114">
        <f ca="1">IF($CD67="","",IF(OFFSET(BN$55,'Intermediate Data'!$CD67,0)=-98,"Unknown",IF(OFFSET(BN$55,'Intermediate Data'!$CD67,0)=-99,"N/A",OFFSET(BN$55,'Intermediate Data'!$CD67,0))))</f>
        <v>36908</v>
      </c>
      <c r="CQ67" s="114" t="str">
        <f ca="1">IF($CD67="","",IF(OFFSET(BO$55,'Intermediate Data'!$CD67,0)=-98,"Unknown",IF(OFFSET(BO$55,'Intermediate Data'!$CD67,0)=-99,"N/A",OFFSET(BO$55,'Intermediate Data'!$CD67,0))))</f>
        <v>Final</v>
      </c>
      <c r="CR67" s="114">
        <f ca="1">IF($CD67="","",IF(OFFSET(BP$55,'Intermediate Data'!$CD67,0)=-98,"Unknown",IF(OFFSET(BP$55,'Intermediate Data'!$CD67,0)=-99,"N/A",OFFSET(BP$55,'Intermediate Data'!$CD67,0))))</f>
        <v>42110</v>
      </c>
      <c r="CS67" s="114">
        <f ca="1">IF($CD67="","",IF(OFFSET(BQ$55,'Intermediate Data'!$CD67,0)=-98,"Unknown",IF(OFFSET(BQ$55,'Intermediate Data'!$CD67,0)=-99,"N/A",OFFSET(BQ$55,'Intermediate Data'!$CD67,0))))</f>
        <v>41456</v>
      </c>
      <c r="CT67" s="114" t="str">
        <f ca="1">IF($CD67="","",IF(OFFSET(BR$55,'Intermediate Data'!$CD67,0)=-98,"Unknown",IF(OFFSET(BR$55,'Intermediate Data'!$CD67,0)=-99,"N/A",OFFSET(BR$55,'Intermediate Data'!$CD67,0))))</f>
        <v>In Process</v>
      </c>
      <c r="CU67" s="114">
        <f ca="1">IF($CD67="","",IF(OFFSET(BS$55,'Intermediate Data'!$CD67,0)=-98,"Unknown",IF(OFFSET(BS$55,'Intermediate Data'!$CD67,0)=-99,"N/A",OFFSET(BS$55,'Intermediate Data'!$CD67,0))))</f>
        <v>42110</v>
      </c>
      <c r="CV67" s="114" t="str">
        <f ca="1">IF($CD67="","",IF(OFFSET(BT$55,'Intermediate Data'!$CD67,0)=-98,"Unknown",IF(OFFSET(BT$55,'Intermediate Data'!$CD67,0)=-99,"N/A",OFFSET(BT$55,'Intermediate Data'!$CD67,0))))</f>
        <v>Federal</v>
      </c>
      <c r="CW67" s="114" t="str">
        <f ca="1">IF($CD67="","",IF(OFFSET(BU$55,'Intermediate Data'!$CD67,0)=-98,"Unknown",IF(OFFSET(BU$55,'Intermediate Data'!$CD67,0)=-99,"N/A",OFFSET(BU$55,'Intermediate Data'!$CD67,0))))</f>
        <v>N/A</v>
      </c>
      <c r="CX67" s="114">
        <f ca="1">IF($CD67="","",IF(OFFSET(BV$55,'Intermediate Data'!$CD67,0)=-98,"Unknown",IF(OFFSET(BV$55,'Intermediate Data'!$CD67,0)=-99,"N/A",OFFSET(BV$55,'Intermediate Data'!$CD67,0))))</f>
        <v>42110</v>
      </c>
      <c r="CY67" s="682" t="str">
        <f ca="1">IF($CD67="","",IF(OFFSET(BW$55,'Intermediate Data'!$CD67,0)=-98,"Unknown",IF(OFFSET(BW$55,'Intermediate Data'!$CD67,0)="N/A","",OFFSET(BW$55,'Intermediate Data'!$CD67,0))))</f>
        <v/>
      </c>
      <c r="CZ67" s="682" t="str">
        <f ca="1">IF($CD67="","",IF(OFFSET(BX$55,'Intermediate Data'!$CD67,0)=-98,"Unknown",IF(OFFSET(BX$55,'Intermediate Data'!$CD67,0)="N/A","",OFFSET(BX$55,'Intermediate Data'!$CD67,0))))</f>
        <v/>
      </c>
      <c r="DA67" s="682" t="str">
        <f ca="1">IF($CD67="","",IF(OFFSET(BY$55,'Intermediate Data'!$CD67,0)=-98,"Unknown",IF(OFFSET(BY$55,'Intermediate Data'!$CD67,0)="N/A","",OFFSET(BY$55,'Intermediate Data'!$CD67,0))))</f>
        <v/>
      </c>
      <c r="DB67" s="682" t="str">
        <f ca="1">IF($CD67="","",IF(OFFSET(BZ$55,'Intermediate Data'!$CD67,0)=-98,"Unknown",IF(OFFSET(BZ$55,'Intermediate Data'!$CD67,0)="N/A","",OFFSET(BZ$55,'Intermediate Data'!$CD67,0))))</f>
        <v/>
      </c>
    </row>
    <row r="68" spans="1:106" x14ac:dyDescent="0.2">
      <c r="A68" s="90">
        <f ca="1">IF(OFFSET(DATA!F17,0,$D$48)='Intermediate Data'!$E$48,IF(OR($E$49=$C$27,$E$48=$B$4),DATA!A17,IF($G$49=DATA!D17,DATA!A17,"")),"")</f>
        <v>13</v>
      </c>
      <c r="B68" s="90">
        <f ca="1">IF($A68="","",DATA!EH17)</f>
        <v>35</v>
      </c>
      <c r="C68" s="90" t="str">
        <f ca="1">IF($A68="","",DATA!B17)</f>
        <v>Set top box</v>
      </c>
      <c r="D68" s="90">
        <f ca="1">IF($A68="","",OFFSET(DATA!$H17,0,($D$50*5)))</f>
        <v>-99</v>
      </c>
      <c r="E68" s="90">
        <f ca="1">IF($A68="","",OFFSET(DATA!$H17,0,($D$50*5)+1))</f>
        <v>-98</v>
      </c>
      <c r="F68" s="90">
        <f ca="1">IF($A68="","",OFFSET(DATA!$H17,0,($D$50*5)+2))</f>
        <v>-99</v>
      </c>
      <c r="G68" s="90">
        <f ca="1">IF($A68="","",OFFSET(DATA!$H17,0,($D$50*5)+3))</f>
        <v>-98</v>
      </c>
      <c r="H68" s="90">
        <f ca="1">IF($A68="","",OFFSET(DATA!$H17,0,($D$50*5)+4))</f>
        <v>-98</v>
      </c>
      <c r="I68" s="90">
        <f t="shared" ca="1" si="2"/>
        <v>-99</v>
      </c>
      <c r="J68" s="90" t="str">
        <f t="shared" ca="1" si="3"/>
        <v/>
      </c>
      <c r="K68" s="90">
        <f ca="1">IF($A68="","",OFFSET(DATA!$AG17,0,($D$50*5)))</f>
        <v>-99</v>
      </c>
      <c r="L68" s="90">
        <f ca="1">IF($A68="","",OFFSET(DATA!$AG17,0,($D$50*5)+1))</f>
        <v>0.84714932044525826</v>
      </c>
      <c r="M68" s="90">
        <f ca="1">IF($A68="","",OFFSET(DATA!$AG17,0,($D$50*5)+2))</f>
        <v>-99</v>
      </c>
      <c r="N68" s="90">
        <f ca="1">IF($A68="","",OFFSET(DATA!$AG17,0,($D$50*5)+3))</f>
        <v>1.582170066925229</v>
      </c>
      <c r="O68" s="90">
        <f ca="1">IF($A68="","",OFFSET(DATA!$AG17,0,($D$50*5)+4))</f>
        <v>1.6160000000000001</v>
      </c>
      <c r="P68" s="90">
        <f t="shared" ca="1" si="4"/>
        <v>1.6160000000000001</v>
      </c>
      <c r="Q68" s="90" t="str">
        <f t="shared" ca="1" si="5"/>
        <v>CLASS</v>
      </c>
      <c r="R68" s="699">
        <f ca="1">IF($A68="","",IF(DATA!BF17="",-99,DATA!BF17))</f>
        <v>-99</v>
      </c>
      <c r="S68" s="90">
        <f ca="1">IF($A68="","",IF(DATA!BG17="",-99,DATA!BF17-DATA!BG17))</f>
        <v>-99</v>
      </c>
      <c r="T68" s="90">
        <f ca="1">IF($A68="","",DATA!BH17)</f>
        <v>0.89</v>
      </c>
      <c r="U68" s="90">
        <f ca="1">IF($A68="","",OFFSET(DATA!BM17,0,$D$48))</f>
        <v>115</v>
      </c>
      <c r="V68" s="90">
        <f t="shared" ca="1" si="6"/>
        <v>35</v>
      </c>
      <c r="W68" s="99">
        <f t="shared" ca="1" si="7"/>
        <v>34.999942994211935</v>
      </c>
      <c r="X68" s="112">
        <f t="shared" ca="1" si="8"/>
        <v>123.99999487894193</v>
      </c>
      <c r="Y68" s="90">
        <f t="shared" ca="1" si="9"/>
        <v>70</v>
      </c>
      <c r="AA68" s="90" t="str">
        <f ca="1">IF($Y68="","",IF(OFFSET(C$55,'Intermediate Data'!$Y68,0)=-98,"Unknown",IF(OFFSET(C$55,'Intermediate Data'!$Y68,0)=-99,"N/A",OFFSET(C$55,'Intermediate Data'!$Y68,0))))</f>
        <v>Central AC</v>
      </c>
      <c r="AB68" s="90">
        <f ca="1">IF($Y68="","",IF(OFFSET(D$55,'Intermediate Data'!$Y68,0)=-98,"N/A",IF(OFFSET(D$55,'Intermediate Data'!$Y68,0)=-99,"N/A",OFFSET(D$55,'Intermediate Data'!$Y68,0))))</f>
        <v>0.29399999999999998</v>
      </c>
      <c r="AC68" s="90">
        <f ca="1">IF($Y68="","",IF(OFFSET(E$55,'Intermediate Data'!$Y68,0)=-98,"N/A",IF(OFFSET(E$55,'Intermediate Data'!$Y68,0)=-99,"N/A",OFFSET(E$55,'Intermediate Data'!$Y68,0))))</f>
        <v>0.45629088951766317</v>
      </c>
      <c r="AD68" s="90" t="str">
        <f ca="1">IF($Y68="","",IF(OFFSET(F$55,'Intermediate Data'!$Y68,0)=-98,"N/A",IF(OFFSET(F$55,'Intermediate Data'!$Y68,0)=-99,"N/A",OFFSET(F$55,'Intermediate Data'!$Y68,0))))</f>
        <v>N/A</v>
      </c>
      <c r="AE68" s="90">
        <f ca="1">IF($Y68="","",IF(OFFSET(G$55,'Intermediate Data'!$Y68,0)=-98,"N/A",IF(OFFSET(G$55,'Intermediate Data'!$Y68,0)=-99,"N/A",OFFSET(G$55,'Intermediate Data'!$Y68,0))))</f>
        <v>0.5441207733508614</v>
      </c>
      <c r="AF68" s="90" t="str">
        <f ca="1">IF($Y68="","",IF(OFFSET(H$55,'Intermediate Data'!$Y68,0)=-98,"N/A",IF(OFFSET(H$55,'Intermediate Data'!$Y68,0)=-99,"N/A",OFFSET(H$55,'Intermediate Data'!$Y68,0))))</f>
        <v>N/A</v>
      </c>
      <c r="AG68" s="90">
        <f ca="1">IF($Y68="","",IF(OFFSET(I$55,'Intermediate Data'!$Y68,0)=-98,"N/A",IF(OFFSET(I$55,'Intermediate Data'!$Y68,0)=-99,"N/A",OFFSET(I$55,'Intermediate Data'!$Y68,0))))</f>
        <v>0.5441207733508614</v>
      </c>
      <c r="AH68" s="90" t="str">
        <f ca="1">IF($Y68="","",IF(OFFSET(J$55,'Intermediate Data'!$Y68,0)=-98,"N/A",IF(OFFSET(J$55,'Intermediate Data'!$Y68,0)=-99,"N/A",OFFSET(J$55,'Intermediate Data'!$Y68,0))))</f>
        <v>RASS</v>
      </c>
      <c r="AI68" s="90" t="str">
        <f ca="1">IF($Y68="","",IF(OFFSET(K$55,'Intermediate Data'!$Y68,0)=-98,"N/A",IF(OFFSET(K$55,'Intermediate Data'!$Y68,0)=-99,"N/A",OFFSET(K$55,'Intermediate Data'!$Y68,0))))</f>
        <v>N/A</v>
      </c>
      <c r="AJ68" s="90">
        <f ca="1">IF($Y68="","",IF(OFFSET(L$55,'Intermediate Data'!$Y68,0)=-98,"N/A",IF(OFFSET(L$55,'Intermediate Data'!$Y68,0)=-99,"N/A",OFFSET(L$55,'Intermediate Data'!$Y68,0))))</f>
        <v>0.47891956990484952</v>
      </c>
      <c r="AK68" s="90" t="str">
        <f ca="1">IF($Y68="","",IF(OFFSET(M$55,'Intermediate Data'!$Y68,0)=-98,"N/A",IF(OFFSET(M$55,'Intermediate Data'!$Y68,0)=-99,"N/A",OFFSET(M$55,'Intermediate Data'!$Y68,0))))</f>
        <v>N/A</v>
      </c>
      <c r="AL68" s="90">
        <f ca="1">IF($Y68="","",IF(OFFSET(N$55,'Intermediate Data'!$Y68,0)=-98,"N/A",IF(OFFSET(N$55,'Intermediate Data'!$Y68,0)=-99,"N/A",OFFSET(N$55,'Intermediate Data'!$Y68,0))))</f>
        <v>0.57346727671045294</v>
      </c>
      <c r="AM68" s="90" t="str">
        <f ca="1">IF($Y68="","",IF(OFFSET(O$55,'Intermediate Data'!$Y68,0)=-98,"N/A",IF(OFFSET(O$55,'Intermediate Data'!$Y68,0)=-99,"N/A",OFFSET(O$55,'Intermediate Data'!$Y68,0))))</f>
        <v>N/A</v>
      </c>
      <c r="AN68" s="90">
        <f ca="1">IF($Y68="","",IF(OFFSET(P$55,'Intermediate Data'!$Y68,0)=-98,"N/A",IF(OFFSET(P$55,'Intermediate Data'!$Y68,0)=-99,"N/A",OFFSET(P$55,'Intermediate Data'!$Y68,0))))</f>
        <v>0.57346727671045294</v>
      </c>
      <c r="AO68" s="90" t="str">
        <f ca="1">IF($Y68="","",IF(OFFSET(Q$55,'Intermediate Data'!$Y68,0)=-98,"N/A",IF(OFFSET(Q$55,'Intermediate Data'!$Y68,0)=-99,"N/A",OFFSET(Q$55,'Intermediate Data'!$Y68,0))))</f>
        <v>RASS</v>
      </c>
      <c r="AP68" s="697" t="str">
        <f ca="1">IF($Y68="","",IF(OFFSET(S$55,'Intermediate Data'!$Y68,0)=-98,"",IF(OFFSET(S$55,'Intermediate Data'!$Y68,0)=-99,"",OFFSET(S$55,'Intermediate Data'!$Y68,0))))</f>
        <v/>
      </c>
      <c r="AQ68" s="90">
        <f ca="1">IF($Y68="","",IF(OFFSET(T$55,'Intermediate Data'!$Y68,0)=-98,"Not published",IF(OFFSET(T$55,'Intermediate Data'!$Y68,0)=-99,"",OFFSET(T$55,'Intermediate Data'!$Y68,0))))</f>
        <v>0.18</v>
      </c>
      <c r="AR68" s="90">
        <f ca="1">IF($Y68="","",IF(OFFSET(U$55,'Intermediate Data'!$Y68,0)=-98,"Unknown",IF(OFFSET(U$55,'Intermediate Data'!$Y68,0)=-99,"",OFFSET(U$55,'Intermediate Data'!$Y68,0))))</f>
        <v>440</v>
      </c>
      <c r="AU68" s="112">
        <f ca="1">IF(AND(OFFSET(DATA!$F17,0,$AX$48)='Intermediate Data'!$AY$48,DATA!$E17="Tier 1"),IF(OR($AX$49=0,$AX$48=1),DATA!A17,IF(AND($AX$49=1,INDEX('Intermediate Data'!$AY$25:$AY$44,MATCH(DATA!$B17,'Intermediate Data'!$AX$25:$AX$44,0))=TRUE),DATA!A17,"")),"")</f>
        <v>13</v>
      </c>
      <c r="AV68" s="112" t="str">
        <f ca="1">IF($AU68="","",DATA!B17)</f>
        <v>Set top box</v>
      </c>
      <c r="AW68" s="112">
        <f ca="1">IF(OR($AU68="",DATA!BI17=""),"",DATA!BI17)</f>
        <v>138</v>
      </c>
      <c r="AX68" s="112" t="str">
        <f ca="1">IF(OR($AU68="",OFFSET(DATA!BK17,0,$AX$48)=""),"",OFFSET(DATA!BK17,0,$AX$48))</f>
        <v/>
      </c>
      <c r="AY68" s="112">
        <f ca="1">IF(OR($AU68="",OFFSET(DATA!BM17,0,$AX$48)=""),"",OFFSET(DATA!BM17,0,$AX$48))</f>
        <v>115</v>
      </c>
      <c r="AZ68" s="112">
        <f ca="1">IF(OR($AU68="",OFFSET(DATA!BO17,0,'Intermediate Data'!$AX$48)=""),"",OFFSET(DATA!BO17,0,$AX$48))</f>
        <v>92</v>
      </c>
      <c r="BA68" s="112" t="str">
        <f ca="1">IF(OR($AU68="",DATA!BQ17=""),"",DATA!BQ17)</f>
        <v>Efficient components</v>
      </c>
      <c r="BB68" s="112" t="str">
        <f ca="1">IF($AU68="","",OFFSET(DATA!BS17,0,$AX$48))</f>
        <v>N/A</v>
      </c>
      <c r="BC68" s="112" t="str">
        <f ca="1">IF($AU68="","",OFFSET(DATA!BU17,0,$AX$48))</f>
        <v>N/A</v>
      </c>
      <c r="BD68" s="112" t="str">
        <f ca="1">IF($AU68="","",OFFSET(DATA!BW17,0,$AX$48))</f>
        <v>N/A</v>
      </c>
      <c r="BE68" s="112" t="str">
        <f ca="1">IF($AU68="","",OFFSET(DATA!BY17,0,$AX$48))</f>
        <v>N/A</v>
      </c>
      <c r="BF68" s="112" t="str">
        <f ca="1">IF($AU68="","",OFFSET(DATA!CA17,0,$AX$48))</f>
        <v>N/A</v>
      </c>
      <c r="BG68" s="112" t="str">
        <f ca="1">IF($AU68="","",DATA!CC17)</f>
        <v>N/A</v>
      </c>
      <c r="BH68" s="112" t="str">
        <f ca="1">IF($AU68="","",OFFSET(DATA!CE17,0,$AX$48))</f>
        <v>N/A</v>
      </c>
      <c r="BI68" s="112" t="str">
        <f ca="1">IF($AU68="","",OFFSET(DATA!CG17,0,$AX$48))</f>
        <v>N/A</v>
      </c>
      <c r="BJ68" s="112" t="str">
        <f ca="1">IF($AU68="","",OFFSET(DATA!CI17,0,$AX$48))</f>
        <v>N/A</v>
      </c>
      <c r="BK68" s="112" t="str">
        <f ca="1">IF($AU68="","",OFFSET(DATA!CK17,0,$AX$48))</f>
        <v>N/A</v>
      </c>
      <c r="BL68" s="112" t="str">
        <f ca="1">IF($AU68="","",OFFSET(DATA!CM17,0,$AX$48))</f>
        <v>N/A</v>
      </c>
      <c r="BM68" s="112">
        <f ca="1">IF($AU68="","",DATA!BH17)</f>
        <v>0.89</v>
      </c>
      <c r="BN68" s="112" t="str">
        <f ca="1">IF($AU68="","",DATA!DS17)</f>
        <v>N/A</v>
      </c>
      <c r="BO68" s="112" t="str">
        <f ca="1">IF($AU68="","",DATA!DU17)</f>
        <v>N/A</v>
      </c>
      <c r="BP68" s="112" t="str">
        <f ca="1">IF($AU68="","",DATA!DV17)</f>
        <v>N/A</v>
      </c>
      <c r="BQ68" s="112">
        <f ca="1">IF($AU68="","",DATA!DX17)</f>
        <v>40787</v>
      </c>
      <c r="BR68" s="112" t="str">
        <f ca="1">IF($AU68="","",DATA!DZ17)</f>
        <v>Final</v>
      </c>
      <c r="BS68" s="171">
        <f ca="1">IF($AU68="","",DATA!EA17)</f>
        <v>41974</v>
      </c>
      <c r="BT68" s="171" t="str">
        <f ca="1">IF($AU68="","",DATA!EC17)</f>
        <v>N/A</v>
      </c>
      <c r="BU68" s="171">
        <f ca="1">IF($AU68="","",DATA!EF17)</f>
        <v>42370</v>
      </c>
      <c r="BV68" s="113">
        <f t="shared" ca="1" si="10"/>
        <v>42370</v>
      </c>
      <c r="BW68" s="680" t="str">
        <f ca="1">IF(AU68="","",OFFSET(DATA!DC17,0,'Intermediate Data'!$AX$48))</f>
        <v>N/A</v>
      </c>
      <c r="BX68" s="681" t="str">
        <f ca="1">IF($AU68="","",DATA!DG17)</f>
        <v>N/A</v>
      </c>
      <c r="BY68" s="680">
        <f ca="1">IF($AU68="","",OFFSET(DATA!DE17,0,'Intermediate Data'!$AX$48))</f>
        <v>37.26</v>
      </c>
      <c r="BZ68" s="681">
        <f ca="1">IF($AU68="","",DATA!DH17)</f>
        <v>0.15429999999999999</v>
      </c>
      <c r="CA68" s="90" t="str">
        <f t="shared" ca="1" si="11"/>
        <v/>
      </c>
      <c r="CB68" s="99">
        <f t="shared" ca="1" si="12"/>
        <v>6.7999999999999999E-5</v>
      </c>
      <c r="CC68" s="90">
        <f t="shared" ca="1" si="13"/>
        <v>7.2000000000000002E-5</v>
      </c>
      <c r="CD68" s="90">
        <f t="shared" ca="1" si="14"/>
        <v>17</v>
      </c>
      <c r="CF68" s="90" t="str">
        <f ca="1">IF($CD68="","",IF(OFFSET(AV$55,'Intermediate Data'!$CD68,0)=-98,"Unknown",IF(OFFSET(AV$55,'Intermediate Data'!$CD68,0)=-99,"N/A",OFFSET(AV$55,'Intermediate Data'!$CD68,0))))</f>
        <v>Furnace - Fan</v>
      </c>
      <c r="CG68" s="90" t="str">
        <f ca="1">IF($CD68="","",IF(OFFSET(AW$55,'Intermediate Data'!$CD68,0)=-98,"",IF(OFFSET(AW$55,'Intermediate Data'!$CD68,0)=-99,"N/A",OFFSET(AW$55,'Intermediate Data'!$CD68,0))))</f>
        <v/>
      </c>
      <c r="CH68" s="90" t="str">
        <f ca="1">IF($CD68="","",IF(OFFSET(AX$55,'Intermediate Data'!$CD68,0)=-98,"Unknown",IF(OFFSET(AX$55,'Intermediate Data'!$CD68,0)=-99,"N/A",OFFSET(AX$55,'Intermediate Data'!$CD68,0))))</f>
        <v/>
      </c>
      <c r="CI68" s="125">
        <f ca="1">IF($CD68="","",IF(OFFSET(AY$55,'Intermediate Data'!$CD68,0)=-98,"Unknown",IF(OFFSET(AY$55,'Intermediate Data'!$CD68,0)=-99,"No spec",OFFSET(AY$55,'Intermediate Data'!$CD68,0))))</f>
        <v>55</v>
      </c>
      <c r="CJ68" s="125">
        <f ca="1">IF($CD68="","",IF(OFFSET(AZ$55,'Intermediate Data'!$CD68,0)=-98,"Unknown",IF(OFFSET(AZ$55,'Intermediate Data'!$CD68,0)=-99,"N/A",OFFSET(AZ$55,'Intermediate Data'!$CD68,0))))</f>
        <v>249</v>
      </c>
      <c r="CK68" s="90" t="str">
        <f ca="1">IF($CD68="","",IF(OFFSET(BA$55,'Intermediate Data'!$CD68,0)=-98,"Unknown",IF(OFFSET(BA$55,'Intermediate Data'!$CD68,0)=-99,"N/A",OFFSET(BA$55,'Intermediate Data'!$CD68,0))))</f>
        <v>Max Tech</v>
      </c>
      <c r="CL68" s="90" t="str">
        <f ca="1">IF($CD68="","",IF(OFFSET(BB$55,'Intermediate Data'!$CD68,$AX$50)=-98,"Unknown",IF(OFFSET(BB$55,'Intermediate Data'!$CD68,$AX$50)="N/A","",OFFSET(BB$55,'Intermediate Data'!$CD68,$AX$50))))</f>
        <v/>
      </c>
      <c r="CM68" s="90" t="str">
        <f ca="1">IF($CD68="","",IF(OFFSET(BG$55,'Intermediate Data'!$CD68,0)="ET","ET",""))</f>
        <v/>
      </c>
      <c r="CN68" s="90" t="str">
        <f ca="1">IF($CD68="","",IF(OFFSET(BH$55,'Intermediate Data'!$CD68,$AX$50)=-98,"Unknown",IF(OFFSET(BH$55,'Intermediate Data'!$CD68,$AX$50)="N/A","",OFFSET(BH$55,'Intermediate Data'!$CD68,$AX$50))))</f>
        <v/>
      </c>
      <c r="CO68" s="90" t="str">
        <f ca="1">IF($CD68="","",IF(OFFSET(BM$55,'Intermediate Data'!$CD68,0)=-98,"Not published",IF(OFFSET(BM$55,'Intermediate Data'!$CD68,0)=-99,"No spec",OFFSET(BM$55,'Intermediate Data'!$CD68,0))))</f>
        <v>Not published</v>
      </c>
      <c r="CP68" s="114" t="str">
        <f ca="1">IF($CD68="","",IF(OFFSET(BN$55,'Intermediate Data'!$CD68,0)=-98,"Unknown",IF(OFFSET(BN$55,'Intermediate Data'!$CD68,0)=-99,"N/A",OFFSET(BN$55,'Intermediate Data'!$CD68,0))))</f>
        <v>N/A</v>
      </c>
      <c r="CQ68" s="114" t="str">
        <f ca="1">IF($CD68="","",IF(OFFSET(BO$55,'Intermediate Data'!$CD68,0)=-98,"Unknown",IF(OFFSET(BO$55,'Intermediate Data'!$CD68,0)=-99,"N/A",OFFSET(BO$55,'Intermediate Data'!$CD68,0))))</f>
        <v>Final</v>
      </c>
      <c r="CR68" s="114">
        <f ca="1">IF($CD68="","",IF(OFFSET(BP$55,'Intermediate Data'!$CD68,0)=-98,"Unknown",IF(OFFSET(BP$55,'Intermediate Data'!$CD68,0)=-99,"N/A",OFFSET(BP$55,'Intermediate Data'!$CD68,0))))</f>
        <v>44197</v>
      </c>
      <c r="CS68" s="114" t="str">
        <f ca="1">IF($CD68="","",IF(OFFSET(BQ$55,'Intermediate Data'!$CD68,0)=-98,"Unknown",IF(OFFSET(BQ$55,'Intermediate Data'!$CD68,0)=-99,"N/A",OFFSET(BQ$55,'Intermediate Data'!$CD68,0))))</f>
        <v>N/A</v>
      </c>
      <c r="CT68" s="114" t="str">
        <f ca="1">IF($CD68="","",IF(OFFSET(BR$55,'Intermediate Data'!$CD68,0)=-98,"Unknown",IF(OFFSET(BR$55,'Intermediate Data'!$CD68,0)=-99,"N/A",OFFSET(BR$55,'Intermediate Data'!$CD68,0))))</f>
        <v>N/A</v>
      </c>
      <c r="CU68" s="114" t="str">
        <f ca="1">IF($CD68="","",IF(OFFSET(BS$55,'Intermediate Data'!$CD68,0)=-98,"Unknown",IF(OFFSET(BS$55,'Intermediate Data'!$CD68,0)=-99,"N/A",OFFSET(BS$55,'Intermediate Data'!$CD68,0))))</f>
        <v>N/A</v>
      </c>
      <c r="CV68" s="114" t="str">
        <f ca="1">IF($CD68="","",IF(OFFSET(BT$55,'Intermediate Data'!$CD68,0)=-98,"Unknown",IF(OFFSET(BT$55,'Intermediate Data'!$CD68,0)=-99,"N/A",OFFSET(BT$55,'Intermediate Data'!$CD68,0))))</f>
        <v>N/A</v>
      </c>
      <c r="CW68" s="114" t="str">
        <f ca="1">IF($CD68="","",IF(OFFSET(BU$55,'Intermediate Data'!$CD68,0)=-98,"Unknown",IF(OFFSET(BU$55,'Intermediate Data'!$CD68,0)=-99,"N/A",OFFSET(BU$55,'Intermediate Data'!$CD68,0))))</f>
        <v>N/A</v>
      </c>
      <c r="CX68" s="114">
        <f ca="1">IF($CD68="","",IF(OFFSET(BV$55,'Intermediate Data'!$CD68,0)=-98,"Unknown",IF(OFFSET(BV$55,'Intermediate Data'!$CD68,0)=-99,"N/A",OFFSET(BV$55,'Intermediate Data'!$CD68,0))))</f>
        <v>44197</v>
      </c>
      <c r="CY68" s="682" t="str">
        <f ca="1">IF($CD68="","",IF(OFFSET(BW$55,'Intermediate Data'!$CD68,0)=-98,"Unknown",IF(OFFSET(BW$55,'Intermediate Data'!$CD68,0)="N/A","",OFFSET(BW$55,'Intermediate Data'!$CD68,0))))</f>
        <v/>
      </c>
      <c r="CZ68" s="682" t="str">
        <f ca="1">IF($CD68="","",IF(OFFSET(BX$55,'Intermediate Data'!$CD68,0)=-98,"Unknown",IF(OFFSET(BX$55,'Intermediate Data'!$CD68,0)="N/A","",OFFSET(BX$55,'Intermediate Data'!$CD68,0))))</f>
        <v/>
      </c>
      <c r="DA68" s="682" t="str">
        <f ca="1">IF($CD68="","",IF(OFFSET(BY$55,'Intermediate Data'!$CD68,0)=-98,"Unknown",IF(OFFSET(BY$55,'Intermediate Data'!$CD68,0)="N/A","",OFFSET(BY$55,'Intermediate Data'!$CD68,0))))</f>
        <v/>
      </c>
      <c r="DB68" s="682" t="str">
        <f ca="1">IF($CD68="","",IF(OFFSET(BZ$55,'Intermediate Data'!$CD68,0)=-98,"Unknown",IF(OFFSET(BZ$55,'Intermediate Data'!$CD68,0)="N/A","",OFFSET(BZ$55,'Intermediate Data'!$CD68,0))))</f>
        <v/>
      </c>
    </row>
    <row r="69" spans="1:106" x14ac:dyDescent="0.2">
      <c r="A69" s="90">
        <f ca="1">IF(OFFSET(DATA!F18,0,$D$48)='Intermediate Data'!$E$48,IF(OR($E$49=$C$27,$E$48=$B$4),DATA!A18,IF($G$49=DATA!D18,DATA!A18,"")),"")</f>
        <v>14</v>
      </c>
      <c r="B69" s="90">
        <f ca="1">IF($A69="","",DATA!EH18)</f>
        <v>22</v>
      </c>
      <c r="C69" s="90" t="str">
        <f ca="1">IF($A69="","",DATA!B18)</f>
        <v>Television</v>
      </c>
      <c r="D69" s="90">
        <f ca="1">IF($A69="","",OFFSET(DATA!$H18,0,($D$50*5)))</f>
        <v>-99</v>
      </c>
      <c r="E69" s="90">
        <f ca="1">IF($A69="","",OFFSET(DATA!$H18,0,($D$50*5)+1))</f>
        <v>0.94825099025602044</v>
      </c>
      <c r="F69" s="90">
        <f ca="1">IF($A69="","",OFFSET(DATA!$H18,0,($D$50*5)+2))</f>
        <v>-99</v>
      </c>
      <c r="G69" s="90">
        <f ca="1">IF($A69="","",OFFSET(DATA!$H18,0,($D$50*5)+3))</f>
        <v>0.96754869853464853</v>
      </c>
      <c r="H69" s="90">
        <f ca="1">IF($A69="","",OFFSET(DATA!$H18,0,($D$50*5)+4))</f>
        <v>0.98699999999999999</v>
      </c>
      <c r="I69" s="90">
        <f t="shared" ca="1" si="2"/>
        <v>0.98699999999999999</v>
      </c>
      <c r="J69" s="90" t="str">
        <f t="shared" ca="1" si="3"/>
        <v>CLASS</v>
      </c>
      <c r="K69" s="90">
        <f ca="1">IF($A69="","",OFFSET(DATA!$AG18,0,($D$50*5)))</f>
        <v>-99</v>
      </c>
      <c r="L69" s="90">
        <f ca="1">IF($A69="","",OFFSET(DATA!$AG18,0,($D$50*5)+1))</f>
        <v>1.9806353930334133</v>
      </c>
      <c r="M69" s="90">
        <f ca="1">IF($A69="","",OFFSET(DATA!$AG18,0,($D$50*5)+2))</f>
        <v>-99</v>
      </c>
      <c r="N69" s="90">
        <f ca="1">IF($A69="","",OFFSET(DATA!$AG18,0,($D$50*5)+3))</f>
        <v>2.3271024065605226</v>
      </c>
      <c r="O69" s="90">
        <f ca="1">IF($A69="","",OFFSET(DATA!$AG18,0,($D$50*5)+4))</f>
        <v>2.4670000000000001</v>
      </c>
      <c r="P69" s="90">
        <f t="shared" ca="1" si="4"/>
        <v>2.4670000000000001</v>
      </c>
      <c r="Q69" s="90" t="str">
        <f t="shared" ca="1" si="5"/>
        <v>CLASS</v>
      </c>
      <c r="R69" s="699">
        <f ca="1">IF($A69="","",IF(DATA!BF18="",-99,DATA!BF18))</f>
        <v>-99</v>
      </c>
      <c r="S69" s="90">
        <f ca="1">IF($A69="","",IF(DATA!BG18="",-99,DATA!BF18-DATA!BG18))</f>
        <v>-99</v>
      </c>
      <c r="T69" s="90">
        <f ca="1">IF($A69="","",DATA!BH18)</f>
        <v>0.84</v>
      </c>
      <c r="U69" s="90">
        <f ca="1">IF($A69="","",OFFSET(DATA!BM18,0,$D$48))</f>
        <v>35</v>
      </c>
      <c r="V69" s="90">
        <f t="shared" ca="1" si="6"/>
        <v>22</v>
      </c>
      <c r="W69" s="99">
        <f t="shared" ca="1" si="7"/>
        <v>21.999974951143749</v>
      </c>
      <c r="X69" s="112">
        <f t="shared" ca="1" si="8"/>
        <v>122.99991090604182</v>
      </c>
      <c r="Y69" s="90">
        <f t="shared" ca="1" si="9"/>
        <v>59</v>
      </c>
      <c r="AA69" s="90" t="str">
        <f ca="1">IF($Y69="","",IF(OFFSET(C$55,'Intermediate Data'!$Y69,0)=-98,"Unknown",IF(OFFSET(C$55,'Intermediate Data'!$Y69,0)=-99,"N/A",OFFSET(C$55,'Intermediate Data'!$Y69,0))))</f>
        <v>Ceramics - Kiln - Electric</v>
      </c>
      <c r="AB69" s="90" t="str">
        <f ca="1">IF($Y69="","",IF(OFFSET(D$55,'Intermediate Data'!$Y69,0)=-98,"N/A",IF(OFFSET(D$55,'Intermediate Data'!$Y69,0)=-99,"N/A",OFFSET(D$55,'Intermediate Data'!$Y69,0))))</f>
        <v>N/A</v>
      </c>
      <c r="AC69" s="90">
        <f ca="1">IF($Y69="","",IF(OFFSET(E$55,'Intermediate Data'!$Y69,0)=-98,"N/A",IF(OFFSET(E$55,'Intermediate Data'!$Y69,0)=-99,"N/A",OFFSET(E$55,'Intermediate Data'!$Y69,0))))</f>
        <v>1.504527058943011E-2</v>
      </c>
      <c r="AD69" s="90" t="str">
        <f ca="1">IF($Y69="","",IF(OFFSET(F$55,'Intermediate Data'!$Y69,0)=-98,"N/A",IF(OFFSET(F$55,'Intermediate Data'!$Y69,0)=-99,"N/A",OFFSET(F$55,'Intermediate Data'!$Y69,0))))</f>
        <v>N/A</v>
      </c>
      <c r="AE69" s="90">
        <f ca="1">IF($Y69="","",IF(OFFSET(G$55,'Intermediate Data'!$Y69,0)=-98,"N/A",IF(OFFSET(G$55,'Intermediate Data'!$Y69,0)=-99,"N/A",OFFSET(G$55,'Intermediate Data'!$Y69,0))))</f>
        <v>1.6986509075526315E-2</v>
      </c>
      <c r="AF69" s="90" t="str">
        <f ca="1">IF($Y69="","",IF(OFFSET(H$55,'Intermediate Data'!$Y69,0)=-98,"N/A",IF(OFFSET(H$55,'Intermediate Data'!$Y69,0)=-99,"N/A",OFFSET(H$55,'Intermediate Data'!$Y69,0))))</f>
        <v>N/A</v>
      </c>
      <c r="AG69" s="90">
        <f ca="1">IF($Y69="","",IF(OFFSET(I$55,'Intermediate Data'!$Y69,0)=-98,"N/A",IF(OFFSET(I$55,'Intermediate Data'!$Y69,0)=-99,"N/A",OFFSET(I$55,'Intermediate Data'!$Y69,0))))</f>
        <v>1.6986509075526315E-2</v>
      </c>
      <c r="AH69" s="90" t="str">
        <f ca="1">IF($Y69="","",IF(OFFSET(J$55,'Intermediate Data'!$Y69,0)=-98,"N/A",IF(OFFSET(J$55,'Intermediate Data'!$Y69,0)=-99,"N/A",OFFSET(J$55,'Intermediate Data'!$Y69,0))))</f>
        <v>RASS</v>
      </c>
      <c r="AI69" s="90" t="str">
        <f ca="1">IF($Y69="","",IF(OFFSET(K$55,'Intermediate Data'!$Y69,0)=-98,"N/A",IF(OFFSET(K$55,'Intermediate Data'!$Y69,0)=-99,"N/A",OFFSET(K$55,'Intermediate Data'!$Y69,0))))</f>
        <v>N/A</v>
      </c>
      <c r="AJ69" s="90" t="str">
        <f ca="1">IF($Y69="","",IF(OFFSET(L$55,'Intermediate Data'!$Y69,0)=-98,"N/A",IF(OFFSET(L$55,'Intermediate Data'!$Y69,0)=-99,"N/A",OFFSET(L$55,'Intermediate Data'!$Y69,0))))</f>
        <v>N/A</v>
      </c>
      <c r="AK69" s="90" t="str">
        <f ca="1">IF($Y69="","",IF(OFFSET(M$55,'Intermediate Data'!$Y69,0)=-98,"N/A",IF(OFFSET(M$55,'Intermediate Data'!$Y69,0)=-99,"N/A",OFFSET(M$55,'Intermediate Data'!$Y69,0))))</f>
        <v>N/A</v>
      </c>
      <c r="AL69" s="90" t="str">
        <f ca="1">IF($Y69="","",IF(OFFSET(N$55,'Intermediate Data'!$Y69,0)=-98,"N/A",IF(OFFSET(N$55,'Intermediate Data'!$Y69,0)=-99,"N/A",OFFSET(N$55,'Intermediate Data'!$Y69,0))))</f>
        <v>N/A</v>
      </c>
      <c r="AM69" s="90" t="str">
        <f ca="1">IF($Y69="","",IF(OFFSET(O$55,'Intermediate Data'!$Y69,0)=-98,"N/A",IF(OFFSET(O$55,'Intermediate Data'!$Y69,0)=-99,"N/A",OFFSET(O$55,'Intermediate Data'!$Y69,0))))</f>
        <v>N/A</v>
      </c>
      <c r="AN69" s="90" t="str">
        <f ca="1">IF($Y69="","",IF(OFFSET(P$55,'Intermediate Data'!$Y69,0)=-98,"N/A",IF(OFFSET(P$55,'Intermediate Data'!$Y69,0)=-99,"N/A",OFFSET(P$55,'Intermediate Data'!$Y69,0))))</f>
        <v>N/A</v>
      </c>
      <c r="AO69" s="90" t="str">
        <f ca="1">IF($Y69="","",IF(OFFSET(Q$55,'Intermediate Data'!$Y69,0)=-98,"N/A",IF(OFFSET(Q$55,'Intermediate Data'!$Y69,0)=-99,"N/A",OFFSET(Q$55,'Intermediate Data'!$Y69,0))))</f>
        <v/>
      </c>
      <c r="AP69" s="697" t="str">
        <f ca="1">IF($Y69="","",IF(OFFSET(S$55,'Intermediate Data'!$Y69,0)=-98,"",IF(OFFSET(S$55,'Intermediate Data'!$Y69,0)=-99,"",OFFSET(S$55,'Intermediate Data'!$Y69,0))))</f>
        <v/>
      </c>
      <c r="AQ69" s="90" t="str">
        <f ca="1">IF($Y69="","",IF(OFFSET(T$55,'Intermediate Data'!$Y69,0)=-98,"Not published",IF(OFFSET(T$55,'Intermediate Data'!$Y69,0)=-99,"",OFFSET(T$55,'Intermediate Data'!$Y69,0))))</f>
        <v/>
      </c>
      <c r="AR69" s="90" t="str">
        <f ca="1">IF($Y69="","",IF(OFFSET(U$55,'Intermediate Data'!$Y69,0)=-98,"Unknown",IF(OFFSET(U$55,'Intermediate Data'!$Y69,0)=-99,"",OFFSET(U$55,'Intermediate Data'!$Y69,0))))</f>
        <v/>
      </c>
      <c r="AU69" s="112">
        <f ca="1">IF(AND(OFFSET(DATA!$F18,0,$AX$48)='Intermediate Data'!$AY$48,DATA!$E18="Tier 1"),IF(OR($AX$49=0,$AX$48=1),DATA!A18,IF(AND($AX$49=1,INDEX('Intermediate Data'!$AY$25:$AY$44,MATCH(DATA!$B18,'Intermediate Data'!$AX$25:$AX$44,0))=TRUE),DATA!A18,"")),"")</f>
        <v>14</v>
      </c>
      <c r="AV69" s="112" t="str">
        <f ca="1">IF($AU69="","",DATA!B18)</f>
        <v>Television</v>
      </c>
      <c r="AW69" s="112">
        <f ca="1">IF(OR($AU69="",DATA!BI18=""),"",DATA!BI18)</f>
        <v>230</v>
      </c>
      <c r="AX69" s="112">
        <f ca="1">IF(OR($AU69="",OFFSET(DATA!BK18,0,$AX$48)=""),"",OFFSET(DATA!BK18,0,$AX$48))</f>
        <v>166</v>
      </c>
      <c r="AY69" s="112">
        <f ca="1">IF(OR($AU69="",OFFSET(DATA!BM18,0,$AX$48)=""),"",OFFSET(DATA!BM18,0,$AX$48))</f>
        <v>35</v>
      </c>
      <c r="AZ69" s="112" t="str">
        <f ca="1">IF(OR($AU69="",OFFSET(DATA!BO18,0,'Intermediate Data'!$AX$48)=""),"",OFFSET(DATA!BO18,0,$AX$48))</f>
        <v/>
      </c>
      <c r="BA69" s="112" t="str">
        <f ca="1">IF(OR($AU69="",DATA!BQ18=""),"",DATA!BQ18)</f>
        <v/>
      </c>
      <c r="BB69" s="112" t="str">
        <f ca="1">IF($AU69="","",OFFSET(DATA!BS18,0,$AX$48))</f>
        <v>N/A</v>
      </c>
      <c r="BC69" s="112" t="str">
        <f ca="1">IF($AU69="","",OFFSET(DATA!BU18,0,$AX$48))</f>
        <v>N/A</v>
      </c>
      <c r="BD69" s="112" t="str">
        <f ca="1">IF($AU69="","",OFFSET(DATA!BW18,0,$AX$48))</f>
        <v>N/A</v>
      </c>
      <c r="BE69" s="112" t="str">
        <f ca="1">IF($AU69="","",OFFSET(DATA!BY18,0,$AX$48))</f>
        <v>N/A</v>
      </c>
      <c r="BF69" s="112" t="str">
        <f ca="1">IF($AU69="","",OFFSET(DATA!CA18,0,$AX$48))</f>
        <v>N/A</v>
      </c>
      <c r="BG69" s="112" t="str">
        <f ca="1">IF($AU69="","",DATA!CC18)</f>
        <v>N/A</v>
      </c>
      <c r="BH69" s="112" t="str">
        <f ca="1">IF($AU69="","",OFFSET(DATA!CE18,0,$AX$48))</f>
        <v>N/A</v>
      </c>
      <c r="BI69" s="112" t="str">
        <f ca="1">IF($AU69="","",OFFSET(DATA!CG18,0,$AX$48))</f>
        <v>N/A</v>
      </c>
      <c r="BJ69" s="112" t="str">
        <f ca="1">IF($AU69="","",OFFSET(DATA!CI18,0,$AX$48))</f>
        <v>N/A</v>
      </c>
      <c r="BK69" s="112" t="str">
        <f ca="1">IF($AU69="","",OFFSET(DATA!CK18,0,$AX$48))</f>
        <v>N/A</v>
      </c>
      <c r="BL69" s="112" t="str">
        <f ca="1">IF($AU69="","",OFFSET(DATA!CM18,0,$AX$48))</f>
        <v>N/A</v>
      </c>
      <c r="BM69" s="112">
        <f ca="1">IF($AU69="","",DATA!BH18)</f>
        <v>0.84</v>
      </c>
      <c r="BN69" s="112" t="str">
        <f ca="1">IF($AU69="","",DATA!DS18)</f>
        <v>N/A</v>
      </c>
      <c r="BO69" s="112" t="str">
        <f ca="1">IF($AU69="","",DATA!DU18)</f>
        <v>N/A</v>
      </c>
      <c r="BP69" s="112" t="str">
        <f ca="1">IF($AU69="","",DATA!DV18)</f>
        <v>N/A</v>
      </c>
      <c r="BQ69" s="112">
        <f ca="1">IF($AU69="","",DATA!DX18)</f>
        <v>41426</v>
      </c>
      <c r="BR69" s="112" t="str">
        <f ca="1">IF($AU69="","",DATA!DZ18)</f>
        <v>In Process</v>
      </c>
      <c r="BS69" s="171">
        <f ca="1">IF($AU69="","",DATA!EA18)</f>
        <v>42186</v>
      </c>
      <c r="BT69" s="171">
        <f ca="1">IF($AU69="","",DATA!EC18)</f>
        <v>41275</v>
      </c>
      <c r="BU69" s="171" t="str">
        <f ca="1">IF($AU69="","",DATA!EF18)</f>
        <v>N/A</v>
      </c>
      <c r="BV69" s="113">
        <f t="shared" ca="1" si="10"/>
        <v>42186</v>
      </c>
      <c r="BW69" s="680">
        <f ca="1">IF(AU69="","",OFFSET(DATA!DC18,0,'Intermediate Data'!$AX$48))</f>
        <v>84</v>
      </c>
      <c r="BX69" s="681">
        <f ca="1">IF($AU69="","",DATA!DG18)</f>
        <v>0.15429999999999999</v>
      </c>
      <c r="BY69" s="680" t="str">
        <f ca="1">IF($AU69="","",OFFSET(DATA!DE18,0,'Intermediate Data'!$AX$48))</f>
        <v>N/A</v>
      </c>
      <c r="BZ69" s="681" t="str">
        <f ca="1">IF($AU69="","",DATA!DH18)</f>
        <v>N/A</v>
      </c>
      <c r="CA69" s="90">
        <f t="shared" ca="1" si="11"/>
        <v>166</v>
      </c>
      <c r="CB69" s="99">
        <f t="shared" ca="1" si="12"/>
        <v>166.00068999999999</v>
      </c>
      <c r="CC69" s="90">
        <f t="shared" ca="1" si="13"/>
        <v>7.1000000000000005E-5</v>
      </c>
      <c r="CD69" s="90">
        <f t="shared" ca="1" si="14"/>
        <v>16</v>
      </c>
      <c r="CF69" s="90" t="str">
        <f ca="1">IF($CD69="","",IF(OFFSET(AV$55,'Intermediate Data'!$CD69,0)=-98,"Unknown",IF(OFFSET(AV$55,'Intermediate Data'!$CD69,0)=-99,"N/A",OFFSET(AV$55,'Intermediate Data'!$CD69,0))))</f>
        <v>Pool pump</v>
      </c>
      <c r="CG69" s="90" t="str">
        <f ca="1">IF($CD69="","",IF(OFFSET(AW$55,'Intermediate Data'!$CD69,0)=-98,"",IF(OFFSET(AW$55,'Intermediate Data'!$CD69,0)=-99,"N/A",OFFSET(AW$55,'Intermediate Data'!$CD69,0))))</f>
        <v/>
      </c>
      <c r="CH69" s="90" t="str">
        <f ca="1">IF($CD69="","",IF(OFFSET(AX$55,'Intermediate Data'!$CD69,0)=-98,"Unknown",IF(OFFSET(AX$55,'Intermediate Data'!$CD69,0)=-99,"N/A",OFFSET(AX$55,'Intermediate Data'!$CD69,0))))</f>
        <v/>
      </c>
      <c r="CI69" s="125">
        <f ca="1">IF($CD69="","",IF(OFFSET(AY$55,'Intermediate Data'!$CD69,0)=-98,"Unknown",IF(OFFSET(AY$55,'Intermediate Data'!$CD69,0)=-99,"No spec",OFFSET(AY$55,'Intermediate Data'!$CD69,0))))</f>
        <v>2800</v>
      </c>
      <c r="CJ69" s="125">
        <f ca="1">IF($CD69="","",IF(OFFSET(AZ$55,'Intermediate Data'!$CD69,0)=-98,"Unknown",IF(OFFSET(AZ$55,'Intermediate Data'!$CD69,0)=-99,"N/A",OFFSET(AZ$55,'Intermediate Data'!$CD69,0))))</f>
        <v>1169</v>
      </c>
      <c r="CK69" s="90" t="str">
        <f ca="1">IF($CD69="","",IF(OFFSET(BA$55,'Intermediate Data'!$CD69,0)=-98,"Unknown",IF(OFFSET(BA$55,'Intermediate Data'!$CD69,0)=-99,"N/A",OFFSET(BA$55,'Intermediate Data'!$CD69,0))))</f>
        <v>Savings over Title 20 baseline</v>
      </c>
      <c r="CL69" s="90">
        <f ca="1">IF($CD69="","",IF(OFFSET(BB$55,'Intermediate Data'!$CD69,$AX$50)=-98,"Unknown",IF(OFFSET(BB$55,'Intermediate Data'!$CD69,$AX$50)="N/A","",OFFSET(BB$55,'Intermediate Data'!$CD69,$AX$50))))</f>
        <v>1685.9999988335173</v>
      </c>
      <c r="CM69" s="90" t="str">
        <f ca="1">IF($CD69="","",IF(OFFSET(BG$55,'Intermediate Data'!$CD69,0)="ET","ET",""))</f>
        <v/>
      </c>
      <c r="CN69" s="90">
        <f ca="1">IF($CD69="","",IF(OFFSET(BH$55,'Intermediate Data'!$CD69,$AX$50)=-98,"Unknown",IF(OFFSET(BH$55,'Intermediate Data'!$CD69,$AX$50)="N/A","",OFFSET(BH$55,'Intermediate Data'!$CD69,$AX$50))))</f>
        <v>526493249.09489399</v>
      </c>
      <c r="CO69" s="90" t="str">
        <f ca="1">IF($CD69="","",IF(OFFSET(BM$55,'Intermediate Data'!$CD69,0)=-98,"Not published",IF(OFFSET(BM$55,'Intermediate Data'!$CD69,0)=-99,"No spec",OFFSET(BM$55,'Intermediate Data'!$CD69,0))))</f>
        <v>Not published</v>
      </c>
      <c r="CP69" s="114" t="str">
        <f ca="1">IF($CD69="","",IF(OFFSET(BN$55,'Intermediate Data'!$CD69,0)=-98,"Unknown",IF(OFFSET(BN$55,'Intermediate Data'!$CD69,0)=-99,"N/A",OFFSET(BN$55,'Intermediate Data'!$CD69,0))))</f>
        <v>N/A</v>
      </c>
      <c r="CQ69" s="114" t="str">
        <f ca="1">IF($CD69="","",IF(OFFSET(BO$55,'Intermediate Data'!$CD69,0)=-98,"Unknown",IF(OFFSET(BO$55,'Intermediate Data'!$CD69,0)=-99,"N/A",OFFSET(BO$55,'Intermediate Data'!$CD69,0))))</f>
        <v>N/A</v>
      </c>
      <c r="CR69" s="114" t="str">
        <f ca="1">IF($CD69="","",IF(OFFSET(BP$55,'Intermediate Data'!$CD69,0)=-98,"Unknown",IF(OFFSET(BP$55,'Intermediate Data'!$CD69,0)=-99,"N/A",OFFSET(BP$55,'Intermediate Data'!$CD69,0))))</f>
        <v>N/A</v>
      </c>
      <c r="CS69" s="114">
        <f ca="1">IF($CD69="","",IF(OFFSET(BQ$55,'Intermediate Data'!$CD69,0)=-98,"Unknown",IF(OFFSET(BQ$55,'Intermediate Data'!$CD69,0)=-99,"N/A",OFFSET(BQ$55,'Intermediate Data'!$CD69,0))))</f>
        <v>41320</v>
      </c>
      <c r="CT69" s="114" t="str">
        <f ca="1">IF($CD69="","",IF(OFFSET(BR$55,'Intermediate Data'!$CD69,0)=-98,"Unknown",IF(OFFSET(BR$55,'Intermediate Data'!$CD69,0)=-99,"N/A",OFFSET(BR$55,'Intermediate Data'!$CD69,0))))</f>
        <v>N/A</v>
      </c>
      <c r="CU69" s="114" t="str">
        <f ca="1">IF($CD69="","",IF(OFFSET(BS$55,'Intermediate Data'!$CD69,0)=-98,"Unknown",IF(OFFSET(BS$55,'Intermediate Data'!$CD69,0)=-99,"N/A",OFFSET(BS$55,'Intermediate Data'!$CD69,0))))</f>
        <v>N/A</v>
      </c>
      <c r="CV69" s="114">
        <f ca="1">IF($CD69="","",IF(OFFSET(BT$55,'Intermediate Data'!$CD69,0)=-98,"Unknown",IF(OFFSET(BT$55,'Intermediate Data'!$CD69,0)=-99,"N/A",OFFSET(BT$55,'Intermediate Data'!$CD69,0))))</f>
        <v>39448</v>
      </c>
      <c r="CW69" s="114">
        <f ca="1">IF($CD69="","",IF(OFFSET(BU$55,'Intermediate Data'!$CD69,0)=-98,"Unknown",IF(OFFSET(BU$55,'Intermediate Data'!$CD69,0)=-99,"N/A",OFFSET(BU$55,'Intermediate Data'!$CD69,0))))</f>
        <v>42370</v>
      </c>
      <c r="CX69" s="114">
        <f ca="1">IF($CD69="","",IF(OFFSET(BV$55,'Intermediate Data'!$CD69,0)=-98,"Unknown",IF(OFFSET(BV$55,'Intermediate Data'!$CD69,0)=-99,"N/A",OFFSET(BV$55,'Intermediate Data'!$CD69,0))))</f>
        <v>42370</v>
      </c>
      <c r="CY69" s="682">
        <f ca="1">IF($CD69="","",IF(OFFSET(BW$55,'Intermediate Data'!$CD69,0)=-98,"Unknown",IF(OFFSET(BW$55,'Intermediate Data'!$CD69,0)="N/A","",OFFSET(BW$55,'Intermediate Data'!$CD69,0))))</f>
        <v>725.16</v>
      </c>
      <c r="CZ69" s="682">
        <f ca="1">IF($CD69="","",IF(OFFSET(BX$55,'Intermediate Data'!$CD69,0)=-98,"Unknown",IF(OFFSET(BX$55,'Intermediate Data'!$CD69,0)="N/A","",OFFSET(BX$55,'Intermediate Data'!$CD69,0))))</f>
        <v>6.4000000000000001E-2</v>
      </c>
      <c r="DA69" s="682">
        <f ca="1">IF($CD69="","",IF(OFFSET(BY$55,'Intermediate Data'!$CD69,0)=-98,"Unknown",IF(OFFSET(BY$55,'Intermediate Data'!$CD69,0)="N/A","",OFFSET(BY$55,'Intermediate Data'!$CD69,0))))</f>
        <v>240</v>
      </c>
      <c r="DB69" s="682">
        <f ca="1">IF($CD69="","",IF(OFFSET(BZ$55,'Intermediate Data'!$CD69,0)=-98,"Unknown",IF(OFFSET(BZ$55,'Intermediate Data'!$CD69,0)="N/A","",OFFSET(BZ$55,'Intermediate Data'!$CD69,0))))</f>
        <v>0.15429999999999999</v>
      </c>
    </row>
    <row r="70" spans="1:106" x14ac:dyDescent="0.2">
      <c r="A70" s="90">
        <f ca="1">IF(OFFSET(DATA!F19,0,$D$48)='Intermediate Data'!$E$48,IF(OR($E$49=$C$27,$E$48=$B$4),DATA!A19,IF($G$49=DATA!D19,DATA!A19,"")),"")</f>
        <v>15</v>
      </c>
      <c r="B70" s="90">
        <f ca="1">IF($A70="","",DATA!EH19)</f>
        <v>62</v>
      </c>
      <c r="C70" s="90" t="str">
        <f ca="1">IF($A70="","",DATA!B19)</f>
        <v>Network equipment</v>
      </c>
      <c r="D70" s="90">
        <f ca="1">IF($A70="","",OFFSET(DATA!$H19,0,($D$50*5)))</f>
        <v>-99</v>
      </c>
      <c r="E70" s="90">
        <f ca="1">IF($A70="","",OFFSET(DATA!$H19,0,($D$50*5)+1))</f>
        <v>0.31656002225626545</v>
      </c>
      <c r="F70" s="90">
        <f ca="1">IF($A70="","",OFFSET(DATA!$H19,0,($D$50*5)+2))</f>
        <v>-99</v>
      </c>
      <c r="G70" s="90">
        <f ca="1">IF($A70="","",OFFSET(DATA!$H19,0,($D$50*5)+3))</f>
        <v>0.6363562558276038</v>
      </c>
      <c r="H70" s="90">
        <f ca="1">IF($A70="","",OFFSET(DATA!$H19,0,($D$50*5)+4))</f>
        <v>-99</v>
      </c>
      <c r="I70" s="90">
        <f t="shared" ca="1" si="2"/>
        <v>0.6363562558276038</v>
      </c>
      <c r="J70" s="90" t="str">
        <f t="shared" ca="1" si="3"/>
        <v>RASS</v>
      </c>
      <c r="K70" s="90">
        <f ca="1">IF($A70="","",OFFSET(DATA!$AG19,0,($D$50*5)))</f>
        <v>-99</v>
      </c>
      <c r="L70" s="90">
        <f ca="1">IF($A70="","",OFFSET(DATA!$AG19,0,($D$50*5)+1))</f>
        <v>0.35040677506377932</v>
      </c>
      <c r="M70" s="90">
        <f ca="1">IF($A70="","",OFFSET(DATA!$AG19,0,($D$50*5)+2))</f>
        <v>-99</v>
      </c>
      <c r="N70" s="90">
        <f ca="1">IF($A70="","",OFFSET(DATA!$AG19,0,($D$50*5)+3))</f>
        <v>0.67710747254138626</v>
      </c>
      <c r="O70" s="90">
        <f ca="1">IF($A70="","",OFFSET(DATA!$AG19,0,($D$50*5)+4))</f>
        <v>-99</v>
      </c>
      <c r="P70" s="90">
        <f t="shared" ca="1" si="4"/>
        <v>0.67710747254138626</v>
      </c>
      <c r="Q70" s="90" t="str">
        <f t="shared" ca="1" si="5"/>
        <v>RASS</v>
      </c>
      <c r="R70" s="699">
        <f ca="1">IF($A70="","",IF(DATA!BF19="",-99,DATA!BF19))</f>
        <v>-99</v>
      </c>
      <c r="S70" s="90">
        <f ca="1">IF($A70="","",IF(DATA!BG19="",-99,DATA!BF19-DATA!BG19))</f>
        <v>-99</v>
      </c>
      <c r="T70" s="90">
        <f ca="1">IF($A70="","",DATA!BH19)</f>
        <v>-98</v>
      </c>
      <c r="U70" s="90">
        <f ca="1">IF($A70="","",OFFSET(DATA!BM19,0,$D$48))</f>
        <v>15</v>
      </c>
      <c r="V70" s="90">
        <f t="shared" ca="1" si="6"/>
        <v>62</v>
      </c>
      <c r="W70" s="99">
        <f t="shared" ca="1" si="7"/>
        <v>61.999942462378677</v>
      </c>
      <c r="X70" s="112">
        <f t="shared" ca="1" si="8"/>
        <v>120.99988120116001</v>
      </c>
      <c r="Y70" s="90">
        <f t="shared" ca="1" si="9"/>
        <v>61</v>
      </c>
      <c r="AA70" s="90" t="str">
        <f ca="1">IF($Y70="","",IF(OFFSET(C$55,'Intermediate Data'!$Y70,0)=-98,"Unknown",IF(OFFSET(C$55,'Intermediate Data'!$Y70,0)=-99,"N/A",OFFSET(C$55,'Intermediate Data'!$Y70,0))))</f>
        <v>Ceramics - Pottery wheel</v>
      </c>
      <c r="AB70" s="90" t="str">
        <f ca="1">IF($Y70="","",IF(OFFSET(D$55,'Intermediate Data'!$Y70,0)=-98,"N/A",IF(OFFSET(D$55,'Intermediate Data'!$Y70,0)=-99,"N/A",OFFSET(D$55,'Intermediate Data'!$Y70,0))))</f>
        <v>N/A</v>
      </c>
      <c r="AC70" s="90" t="str">
        <f ca="1">IF($Y70="","",IF(OFFSET(E$55,'Intermediate Data'!$Y70,0)=-98,"N/A",IF(OFFSET(E$55,'Intermediate Data'!$Y70,0)=-99,"N/A",OFFSET(E$55,'Intermediate Data'!$Y70,0))))</f>
        <v>N/A</v>
      </c>
      <c r="AD70" s="90" t="str">
        <f ca="1">IF($Y70="","",IF(OFFSET(F$55,'Intermediate Data'!$Y70,0)=-98,"N/A",IF(OFFSET(F$55,'Intermediate Data'!$Y70,0)=-99,"N/A",OFFSET(F$55,'Intermediate Data'!$Y70,0))))</f>
        <v>N/A</v>
      </c>
      <c r="AE70" s="90" t="str">
        <f ca="1">IF($Y70="","",IF(OFFSET(G$55,'Intermediate Data'!$Y70,0)=-98,"N/A",IF(OFFSET(G$55,'Intermediate Data'!$Y70,0)=-99,"N/A",OFFSET(G$55,'Intermediate Data'!$Y70,0))))</f>
        <v>N/A</v>
      </c>
      <c r="AF70" s="90" t="str">
        <f ca="1">IF($Y70="","",IF(OFFSET(H$55,'Intermediate Data'!$Y70,0)=-98,"N/A",IF(OFFSET(H$55,'Intermediate Data'!$Y70,0)=-99,"N/A",OFFSET(H$55,'Intermediate Data'!$Y70,0))))</f>
        <v>N/A</v>
      </c>
      <c r="AG70" s="90" t="str">
        <f ca="1">IF($Y70="","",IF(OFFSET(I$55,'Intermediate Data'!$Y70,0)=-98,"N/A",IF(OFFSET(I$55,'Intermediate Data'!$Y70,0)=-99,"N/A",OFFSET(I$55,'Intermediate Data'!$Y70,0))))</f>
        <v>N/A</v>
      </c>
      <c r="AH70" s="90" t="str">
        <f ca="1">IF($Y70="","",IF(OFFSET(J$55,'Intermediate Data'!$Y70,0)=-98,"N/A",IF(OFFSET(J$55,'Intermediate Data'!$Y70,0)=-99,"N/A",OFFSET(J$55,'Intermediate Data'!$Y70,0))))</f>
        <v/>
      </c>
      <c r="AI70" s="90" t="str">
        <f ca="1">IF($Y70="","",IF(OFFSET(K$55,'Intermediate Data'!$Y70,0)=-98,"N/A",IF(OFFSET(K$55,'Intermediate Data'!$Y70,0)=-99,"N/A",OFFSET(K$55,'Intermediate Data'!$Y70,0))))</f>
        <v>N/A</v>
      </c>
      <c r="AJ70" s="90" t="str">
        <f ca="1">IF($Y70="","",IF(OFFSET(L$55,'Intermediate Data'!$Y70,0)=-98,"N/A",IF(OFFSET(L$55,'Intermediate Data'!$Y70,0)=-99,"N/A",OFFSET(L$55,'Intermediate Data'!$Y70,0))))</f>
        <v>N/A</v>
      </c>
      <c r="AK70" s="90" t="str">
        <f ca="1">IF($Y70="","",IF(OFFSET(M$55,'Intermediate Data'!$Y70,0)=-98,"N/A",IF(OFFSET(M$55,'Intermediate Data'!$Y70,0)=-99,"N/A",OFFSET(M$55,'Intermediate Data'!$Y70,0))))</f>
        <v>N/A</v>
      </c>
      <c r="AL70" s="90" t="str">
        <f ca="1">IF($Y70="","",IF(OFFSET(N$55,'Intermediate Data'!$Y70,0)=-98,"N/A",IF(OFFSET(N$55,'Intermediate Data'!$Y70,0)=-99,"N/A",OFFSET(N$55,'Intermediate Data'!$Y70,0))))</f>
        <v>N/A</v>
      </c>
      <c r="AM70" s="90" t="str">
        <f ca="1">IF($Y70="","",IF(OFFSET(O$55,'Intermediate Data'!$Y70,0)=-98,"N/A",IF(OFFSET(O$55,'Intermediate Data'!$Y70,0)=-99,"N/A",OFFSET(O$55,'Intermediate Data'!$Y70,0))))</f>
        <v>N/A</v>
      </c>
      <c r="AN70" s="90" t="str">
        <f ca="1">IF($Y70="","",IF(OFFSET(P$55,'Intermediate Data'!$Y70,0)=-98,"N/A",IF(OFFSET(P$55,'Intermediate Data'!$Y70,0)=-99,"N/A",OFFSET(P$55,'Intermediate Data'!$Y70,0))))</f>
        <v>N/A</v>
      </c>
      <c r="AO70" s="90" t="str">
        <f ca="1">IF($Y70="","",IF(OFFSET(Q$55,'Intermediate Data'!$Y70,0)=-98,"N/A",IF(OFFSET(Q$55,'Intermediate Data'!$Y70,0)=-99,"N/A",OFFSET(Q$55,'Intermediate Data'!$Y70,0))))</f>
        <v/>
      </c>
      <c r="AP70" s="697" t="str">
        <f ca="1">IF($Y70="","",IF(OFFSET(S$55,'Intermediate Data'!$Y70,0)=-98,"",IF(OFFSET(S$55,'Intermediate Data'!$Y70,0)=-99,"",OFFSET(S$55,'Intermediate Data'!$Y70,0))))</f>
        <v/>
      </c>
      <c r="AQ70" s="90" t="str">
        <f ca="1">IF($Y70="","",IF(OFFSET(T$55,'Intermediate Data'!$Y70,0)=-98,"Not published",IF(OFFSET(T$55,'Intermediate Data'!$Y70,0)=-99,"",OFFSET(T$55,'Intermediate Data'!$Y70,0))))</f>
        <v/>
      </c>
      <c r="AR70" s="90" t="str">
        <f ca="1">IF($Y70="","",IF(OFFSET(U$55,'Intermediate Data'!$Y70,0)=-98,"Unknown",IF(OFFSET(U$55,'Intermediate Data'!$Y70,0)=-99,"",OFFSET(U$55,'Intermediate Data'!$Y70,0))))</f>
        <v/>
      </c>
      <c r="AU70" s="112">
        <f ca="1">IF(AND(OFFSET(DATA!$F19,0,$AX$48)='Intermediate Data'!$AY$48,DATA!$E19="Tier 1"),IF(OR($AX$49=0,$AX$48=1),DATA!A19,IF(AND($AX$49=1,INDEX('Intermediate Data'!$AY$25:$AY$44,MATCH(DATA!$B19,'Intermediate Data'!$AX$25:$AX$44,0))=TRUE),DATA!A19,"")),"")</f>
        <v>15</v>
      </c>
      <c r="AV70" s="112" t="str">
        <f ca="1">IF($AU70="","",DATA!B19)</f>
        <v>Network equipment</v>
      </c>
      <c r="AW70" s="112">
        <f ca="1">IF(OR($AU70="",DATA!BI19=""),"",DATA!BI19)</f>
        <v>59</v>
      </c>
      <c r="AX70" s="112" t="str">
        <f ca="1">IF(OR($AU70="",OFFSET(DATA!BK19,0,$AX$48)=""),"",OFFSET(DATA!BK19,0,$AX$48))</f>
        <v/>
      </c>
      <c r="AY70" s="112">
        <f ca="1">IF(OR($AU70="",OFFSET(DATA!BM19,0,$AX$48)=""),"",OFFSET(DATA!BM19,0,$AX$48))</f>
        <v>15</v>
      </c>
      <c r="AZ70" s="112">
        <f ca="1">IF(OR($AU70="",OFFSET(DATA!BO19,0,'Intermediate Data'!$AX$48)=""),"",OFFSET(DATA!BO19,0,$AX$48))</f>
        <v>25</v>
      </c>
      <c r="BA70" s="112" t="str">
        <f ca="1">IF(OR($AU70="",DATA!BQ19=""),"",DATA!BQ19)</f>
        <v>Title 20 compliance</v>
      </c>
      <c r="BB70" s="112" t="str">
        <f ca="1">IF($AU70="","",OFFSET(DATA!BS19,0,$AX$48))</f>
        <v>N/A</v>
      </c>
      <c r="BC70" s="112" t="str">
        <f ca="1">IF($AU70="","",OFFSET(DATA!BU19,0,$AX$48))</f>
        <v>N/A</v>
      </c>
      <c r="BD70" s="112" t="str">
        <f ca="1">IF($AU70="","",OFFSET(DATA!BW19,0,$AX$48))</f>
        <v>N/A</v>
      </c>
      <c r="BE70" s="112" t="str">
        <f ca="1">IF($AU70="","",OFFSET(DATA!BY19,0,$AX$48))</f>
        <v>N/A</v>
      </c>
      <c r="BF70" s="112" t="str">
        <f ca="1">IF($AU70="","",OFFSET(DATA!CA19,0,$AX$48))</f>
        <v>N/A</v>
      </c>
      <c r="BG70" s="112" t="str">
        <f ca="1">IF($AU70="","",DATA!CC19)</f>
        <v>N/A</v>
      </c>
      <c r="BH70" s="112" t="str">
        <f ca="1">IF($AU70="","",OFFSET(DATA!CE19,0,$AX$48))</f>
        <v>N/A</v>
      </c>
      <c r="BI70" s="112" t="str">
        <f ca="1">IF($AU70="","",OFFSET(DATA!CG19,0,$AX$48))</f>
        <v>N/A</v>
      </c>
      <c r="BJ70" s="112" t="str">
        <f ca="1">IF($AU70="","",OFFSET(DATA!CI19,0,$AX$48))</f>
        <v>N/A</v>
      </c>
      <c r="BK70" s="112" t="str">
        <f ca="1">IF($AU70="","",OFFSET(DATA!CK19,0,$AX$48))</f>
        <v>N/A</v>
      </c>
      <c r="BL70" s="112" t="str">
        <f ca="1">IF($AU70="","",OFFSET(DATA!CM19,0,$AX$48))</f>
        <v>N/A</v>
      </c>
      <c r="BM70" s="112">
        <f ca="1">IF($AU70="","",DATA!BH19)</f>
        <v>-98</v>
      </c>
      <c r="BN70" s="112" t="str">
        <f ca="1">IF($AU70="","",DATA!DS19)</f>
        <v>N/A</v>
      </c>
      <c r="BO70" s="112" t="str">
        <f ca="1">IF($AU70="","",DATA!DU19)</f>
        <v>N/A</v>
      </c>
      <c r="BP70" s="112" t="str">
        <f ca="1">IF($AU70="","",DATA!DV19)</f>
        <v>N/A</v>
      </c>
      <c r="BQ70" s="112">
        <f ca="1">IF($AU70="","",DATA!DX19)</f>
        <v>41520</v>
      </c>
      <c r="BR70" s="112" t="str">
        <f ca="1">IF($AU70="","",DATA!DZ19)</f>
        <v>N/A</v>
      </c>
      <c r="BS70" s="171" t="str">
        <f ca="1">IF($AU70="","",DATA!EA19)</f>
        <v>N/A</v>
      </c>
      <c r="BT70" s="171" t="str">
        <f ca="1">IF($AU70="","",DATA!EC19)</f>
        <v>N/A</v>
      </c>
      <c r="BU70" s="171">
        <f ca="1">IF($AU70="","",DATA!EF19)</f>
        <v>42370</v>
      </c>
      <c r="BV70" s="113">
        <f t="shared" ca="1" si="10"/>
        <v>42370</v>
      </c>
      <c r="BW70" s="680" t="str">
        <f ca="1">IF(AU70="","",OFFSET(DATA!DC19,0,'Intermediate Data'!$AX$48))</f>
        <v>N/A</v>
      </c>
      <c r="BX70" s="681" t="str">
        <f ca="1">IF($AU70="","",DATA!DG19)</f>
        <v>N/A</v>
      </c>
      <c r="BY70" s="680">
        <f ca="1">IF($AU70="","",OFFSET(DATA!DE19,0,'Intermediate Data'!$AX$48))</f>
        <v>35.58</v>
      </c>
      <c r="BZ70" s="681">
        <f ca="1">IF($AU70="","",DATA!DH19)</f>
        <v>0.15429999999999999</v>
      </c>
      <c r="CA70" s="90" t="str">
        <f t="shared" ca="1" si="11"/>
        <v/>
      </c>
      <c r="CB70" s="99">
        <f t="shared" ca="1" si="12"/>
        <v>6.9999999999999994E-5</v>
      </c>
      <c r="CC70" s="90">
        <f t="shared" ca="1" si="13"/>
        <v>6.9999999999999994E-5</v>
      </c>
      <c r="CD70" s="90">
        <f t="shared" ca="1" si="14"/>
        <v>15</v>
      </c>
      <c r="CF70" s="90" t="str">
        <f ca="1">IF($CD70="","",IF(OFFSET(AV$55,'Intermediate Data'!$CD70,0)=-98,"Unknown",IF(OFFSET(AV$55,'Intermediate Data'!$CD70,0)=-99,"N/A",OFFSET(AV$55,'Intermediate Data'!$CD70,0))))</f>
        <v>Network equipment</v>
      </c>
      <c r="CG70" s="90">
        <f ca="1">IF($CD70="","",IF(OFFSET(AW$55,'Intermediate Data'!$CD70,0)=-98,"",IF(OFFSET(AW$55,'Intermediate Data'!$CD70,0)=-99,"N/A",OFFSET(AW$55,'Intermediate Data'!$CD70,0))))</f>
        <v>59</v>
      </c>
      <c r="CH70" s="90" t="str">
        <f ca="1">IF($CD70="","",IF(OFFSET(AX$55,'Intermediate Data'!$CD70,0)=-98,"Unknown",IF(OFFSET(AX$55,'Intermediate Data'!$CD70,0)=-99,"N/A",OFFSET(AX$55,'Intermediate Data'!$CD70,0))))</f>
        <v/>
      </c>
      <c r="CI70" s="125">
        <f ca="1">IF($CD70="","",IF(OFFSET(AY$55,'Intermediate Data'!$CD70,0)=-98,"Unknown",IF(OFFSET(AY$55,'Intermediate Data'!$CD70,0)=-99,"No spec",OFFSET(AY$55,'Intermediate Data'!$CD70,0))))</f>
        <v>15</v>
      </c>
      <c r="CJ70" s="125">
        <f ca="1">IF($CD70="","",IF(OFFSET(AZ$55,'Intermediate Data'!$CD70,0)=-98,"Unknown",IF(OFFSET(AZ$55,'Intermediate Data'!$CD70,0)=-99,"N/A",OFFSET(AZ$55,'Intermediate Data'!$CD70,0))))</f>
        <v>25</v>
      </c>
      <c r="CK70" s="90" t="str">
        <f ca="1">IF($CD70="","",IF(OFFSET(BA$55,'Intermediate Data'!$CD70,0)=-98,"Unknown",IF(OFFSET(BA$55,'Intermediate Data'!$CD70,0)=-99,"N/A",OFFSET(BA$55,'Intermediate Data'!$CD70,0))))</f>
        <v>Title 20 compliance</v>
      </c>
      <c r="CL70" s="90" t="str">
        <f ca="1">IF($CD70="","",IF(OFFSET(BB$55,'Intermediate Data'!$CD70,$AX$50)=-98,"Unknown",IF(OFFSET(BB$55,'Intermediate Data'!$CD70,$AX$50)="N/A","",OFFSET(BB$55,'Intermediate Data'!$CD70,$AX$50))))</f>
        <v/>
      </c>
      <c r="CM70" s="90" t="str">
        <f ca="1">IF($CD70="","",IF(OFFSET(BG$55,'Intermediate Data'!$CD70,0)="ET","ET",""))</f>
        <v/>
      </c>
      <c r="CN70" s="90" t="str">
        <f ca="1">IF($CD70="","",IF(OFFSET(BH$55,'Intermediate Data'!$CD70,$AX$50)=-98,"Unknown",IF(OFFSET(BH$55,'Intermediate Data'!$CD70,$AX$50)="N/A","",OFFSET(BH$55,'Intermediate Data'!$CD70,$AX$50))))</f>
        <v/>
      </c>
      <c r="CO70" s="90" t="str">
        <f ca="1">IF($CD70="","",IF(OFFSET(BM$55,'Intermediate Data'!$CD70,0)=-98,"Not published",IF(OFFSET(BM$55,'Intermediate Data'!$CD70,0)=-99,"No spec",OFFSET(BM$55,'Intermediate Data'!$CD70,0))))</f>
        <v>Not published</v>
      </c>
      <c r="CP70" s="114" t="str">
        <f ca="1">IF($CD70="","",IF(OFFSET(BN$55,'Intermediate Data'!$CD70,0)=-98,"Unknown",IF(OFFSET(BN$55,'Intermediate Data'!$CD70,0)=-99,"N/A",OFFSET(BN$55,'Intermediate Data'!$CD70,0))))</f>
        <v>N/A</v>
      </c>
      <c r="CQ70" s="114" t="str">
        <f ca="1">IF($CD70="","",IF(OFFSET(BO$55,'Intermediate Data'!$CD70,0)=-98,"Unknown",IF(OFFSET(BO$55,'Intermediate Data'!$CD70,0)=-99,"N/A",OFFSET(BO$55,'Intermediate Data'!$CD70,0))))</f>
        <v>N/A</v>
      </c>
      <c r="CR70" s="114" t="str">
        <f ca="1">IF($CD70="","",IF(OFFSET(BP$55,'Intermediate Data'!$CD70,0)=-98,"Unknown",IF(OFFSET(BP$55,'Intermediate Data'!$CD70,0)=-99,"N/A",OFFSET(BP$55,'Intermediate Data'!$CD70,0))))</f>
        <v>N/A</v>
      </c>
      <c r="CS70" s="114">
        <f ca="1">IF($CD70="","",IF(OFFSET(BQ$55,'Intermediate Data'!$CD70,0)=-98,"Unknown",IF(OFFSET(BQ$55,'Intermediate Data'!$CD70,0)=-99,"N/A",OFFSET(BQ$55,'Intermediate Data'!$CD70,0))))</f>
        <v>41520</v>
      </c>
      <c r="CT70" s="114" t="str">
        <f ca="1">IF($CD70="","",IF(OFFSET(BR$55,'Intermediate Data'!$CD70,0)=-98,"Unknown",IF(OFFSET(BR$55,'Intermediate Data'!$CD70,0)=-99,"N/A",OFFSET(BR$55,'Intermediate Data'!$CD70,0))))</f>
        <v>N/A</v>
      </c>
      <c r="CU70" s="114" t="str">
        <f ca="1">IF($CD70="","",IF(OFFSET(BS$55,'Intermediate Data'!$CD70,0)=-98,"Unknown",IF(OFFSET(BS$55,'Intermediate Data'!$CD70,0)=-99,"N/A",OFFSET(BS$55,'Intermediate Data'!$CD70,0))))</f>
        <v>N/A</v>
      </c>
      <c r="CV70" s="114" t="str">
        <f ca="1">IF($CD70="","",IF(OFFSET(BT$55,'Intermediate Data'!$CD70,0)=-98,"Unknown",IF(OFFSET(BT$55,'Intermediate Data'!$CD70,0)=-99,"N/A",OFFSET(BT$55,'Intermediate Data'!$CD70,0))))</f>
        <v>N/A</v>
      </c>
      <c r="CW70" s="114">
        <f ca="1">IF($CD70="","",IF(OFFSET(BU$55,'Intermediate Data'!$CD70,0)=-98,"Unknown",IF(OFFSET(BU$55,'Intermediate Data'!$CD70,0)=-99,"N/A",OFFSET(BU$55,'Intermediate Data'!$CD70,0))))</f>
        <v>42370</v>
      </c>
      <c r="CX70" s="114">
        <f ca="1">IF($CD70="","",IF(OFFSET(BV$55,'Intermediate Data'!$CD70,0)=-98,"Unknown",IF(OFFSET(BV$55,'Intermediate Data'!$CD70,0)=-99,"N/A",OFFSET(BV$55,'Intermediate Data'!$CD70,0))))</f>
        <v>42370</v>
      </c>
      <c r="CY70" s="682" t="str">
        <f ca="1">IF($CD70="","",IF(OFFSET(BW$55,'Intermediate Data'!$CD70,0)=-98,"Unknown",IF(OFFSET(BW$55,'Intermediate Data'!$CD70,0)="N/A","",OFFSET(BW$55,'Intermediate Data'!$CD70,0))))</f>
        <v/>
      </c>
      <c r="CZ70" s="682" t="str">
        <f ca="1">IF($CD70="","",IF(OFFSET(BX$55,'Intermediate Data'!$CD70,0)=-98,"Unknown",IF(OFFSET(BX$55,'Intermediate Data'!$CD70,0)="N/A","",OFFSET(BX$55,'Intermediate Data'!$CD70,0))))</f>
        <v/>
      </c>
      <c r="DA70" s="682">
        <f ca="1">IF($CD70="","",IF(OFFSET(BY$55,'Intermediate Data'!$CD70,0)=-98,"Unknown",IF(OFFSET(BY$55,'Intermediate Data'!$CD70,0)="N/A","",OFFSET(BY$55,'Intermediate Data'!$CD70,0))))</f>
        <v>35.58</v>
      </c>
      <c r="DB70" s="682">
        <f ca="1">IF($CD70="","",IF(OFFSET(BZ$55,'Intermediate Data'!$CD70,0)=-98,"Unknown",IF(OFFSET(BZ$55,'Intermediate Data'!$CD70,0)="N/A","",OFFSET(BZ$55,'Intermediate Data'!$CD70,0))))</f>
        <v>0.15429999999999999</v>
      </c>
    </row>
    <row r="71" spans="1:106" x14ac:dyDescent="0.2">
      <c r="A71" s="90">
        <f ca="1">IF(OFFSET(DATA!F20,0,$D$48)='Intermediate Data'!$E$48,IF(OR($E$49=$C$27,$E$48=$B$4),DATA!A20,IF($G$49=DATA!D20,DATA!A20,"")),"")</f>
        <v>16</v>
      </c>
      <c r="B71" s="90">
        <f ca="1">IF($A71="","",DATA!EH20)</f>
        <v>54</v>
      </c>
      <c r="C71" s="90" t="str">
        <f ca="1">IF($A71="","",DATA!B20)</f>
        <v>Pool pump</v>
      </c>
      <c r="D71" s="90">
        <f ca="1">IF($A71="","",OFFSET(DATA!$H20,0,($D$50*5)))</f>
        <v>-99</v>
      </c>
      <c r="E71" s="90">
        <f ca="1">IF($A71="","",OFFSET(DATA!$H20,0,($D$50*5)+1))</f>
        <v>8.981819405146052E-2</v>
      </c>
      <c r="F71" s="90">
        <f ca="1">IF($A71="","",OFFSET(DATA!$H20,0,($D$50*5)+2))</f>
        <v>7.0588235294117646E-2</v>
      </c>
      <c r="G71" s="90">
        <f ca="1">IF($A71="","",OFFSET(DATA!$H20,0,($D$50*5)+3))</f>
        <v>0.10602847719599769</v>
      </c>
      <c r="H71" s="90">
        <f ca="1">IF($A71="","",OFFSET(DATA!$H20,0,($D$50*5)+4))</f>
        <v>8.4000000000000005E-2</v>
      </c>
      <c r="I71" s="90">
        <f ca="1">IF(A71="","",IF(SUM(D71:H71)&lt;-490,-99,IF(OR(H71=-99,H71=-98),IF(OR(G71=-99,G71=-98),E71,G71),H71)))</f>
        <v>8.4000000000000005E-2</v>
      </c>
      <c r="J71" s="90" t="str">
        <f t="shared" ca="1" si="3"/>
        <v>CLASS</v>
      </c>
      <c r="K71" s="90">
        <f ca="1">IF($A71="","",OFFSET(DATA!$AG20,0,($D$50*5)))</f>
        <v>-99</v>
      </c>
      <c r="L71" s="90">
        <f ca="1">IF($A71="","",OFFSET(DATA!$AG20,0,($D$50*5)+1))</f>
        <v>-99</v>
      </c>
      <c r="M71" s="90">
        <f ca="1">IF($A71="","",OFFSET(DATA!$AG20,0,($D$50*5)+2))</f>
        <v>-99</v>
      </c>
      <c r="N71" s="90">
        <f ca="1">IF($A71="","",OFFSET(DATA!$AG20,0,($D$50*5)+3))</f>
        <v>-99</v>
      </c>
      <c r="O71" s="90">
        <f ca="1">IF($A71="","",OFFSET(DATA!$AG20,0,($D$50*5)+4))</f>
        <v>-99</v>
      </c>
      <c r="P71" s="90">
        <f t="shared" ca="1" si="4"/>
        <v>-99</v>
      </c>
      <c r="Q71" s="90" t="str">
        <f t="shared" ca="1" si="5"/>
        <v/>
      </c>
      <c r="R71" s="699">
        <f ca="1">IF($A71="","",IF(DATA!BF20="",-99,DATA!BF20))</f>
        <v>-99</v>
      </c>
      <c r="S71" s="90">
        <f ca="1">IF($A71="","",IF(DATA!BG20="",-99,DATA!BF20-DATA!BG20))</f>
        <v>-99</v>
      </c>
      <c r="T71" s="90">
        <f ca="1">IF($A71="","",DATA!BH20)</f>
        <v>-98</v>
      </c>
      <c r="U71" s="90">
        <f ca="1">IF($A71="","",OFFSET(DATA!BM20,0,$D$48))</f>
        <v>2800</v>
      </c>
      <c r="V71" s="90">
        <f t="shared" ca="1" si="6"/>
        <v>54</v>
      </c>
      <c r="W71" s="99">
        <f t="shared" ca="1" si="7"/>
        <v>54.000220744153495</v>
      </c>
      <c r="X71" s="112">
        <f t="shared" ca="1" si="8"/>
        <v>119.99988120157001</v>
      </c>
      <c r="Y71" s="90">
        <f t="shared" ca="1" si="9"/>
        <v>102</v>
      </c>
      <c r="AA71" s="90" t="str">
        <f ca="1">IF($Y71="","",IF(OFFSET(C$55,'Intermediate Data'!$Y71,0)=-98,"Unknown",IF(OFFSET(C$55,'Intermediate Data'!$Y71,0)=-99,"N/A",OFFSET(C$55,'Intermediate Data'!$Y71,0))))</f>
        <v>Clock</v>
      </c>
      <c r="AB71" s="90" t="str">
        <f ca="1">IF($Y71="","",IF(OFFSET(D$55,'Intermediate Data'!$Y71,0)=-98,"N/A",IF(OFFSET(D$55,'Intermediate Data'!$Y71,0)=-99,"N/A",OFFSET(D$55,'Intermediate Data'!$Y71,0))))</f>
        <v>N/A</v>
      </c>
      <c r="AC71" s="90" t="str">
        <f ca="1">IF($Y71="","",IF(OFFSET(E$55,'Intermediate Data'!$Y71,0)=-98,"N/A",IF(OFFSET(E$55,'Intermediate Data'!$Y71,0)=-99,"N/A",OFFSET(E$55,'Intermediate Data'!$Y71,0))))</f>
        <v>N/A</v>
      </c>
      <c r="AD71" s="90" t="str">
        <f ca="1">IF($Y71="","",IF(OFFSET(F$55,'Intermediate Data'!$Y71,0)=-98,"N/A",IF(OFFSET(F$55,'Intermediate Data'!$Y71,0)=-99,"N/A",OFFSET(F$55,'Intermediate Data'!$Y71,0))))</f>
        <v>N/A</v>
      </c>
      <c r="AE71" s="90" t="str">
        <f ca="1">IF($Y71="","",IF(OFFSET(G$55,'Intermediate Data'!$Y71,0)=-98,"N/A",IF(OFFSET(G$55,'Intermediate Data'!$Y71,0)=-99,"N/A",OFFSET(G$55,'Intermediate Data'!$Y71,0))))</f>
        <v>N/A</v>
      </c>
      <c r="AF71" s="90" t="str">
        <f ca="1">IF($Y71="","",IF(OFFSET(H$55,'Intermediate Data'!$Y71,0)=-98,"N/A",IF(OFFSET(H$55,'Intermediate Data'!$Y71,0)=-99,"N/A",OFFSET(H$55,'Intermediate Data'!$Y71,0))))</f>
        <v>N/A</v>
      </c>
      <c r="AG71" s="90" t="str">
        <f ca="1">IF($Y71="","",IF(OFFSET(I$55,'Intermediate Data'!$Y71,0)=-98,"N/A",IF(OFFSET(I$55,'Intermediate Data'!$Y71,0)=-99,"N/A",OFFSET(I$55,'Intermediate Data'!$Y71,0))))</f>
        <v>N/A</v>
      </c>
      <c r="AH71" s="90" t="str">
        <f ca="1">IF($Y71="","",IF(OFFSET(J$55,'Intermediate Data'!$Y71,0)=-98,"N/A",IF(OFFSET(J$55,'Intermediate Data'!$Y71,0)=-99,"N/A",OFFSET(J$55,'Intermediate Data'!$Y71,0))))</f>
        <v/>
      </c>
      <c r="AI71" s="90" t="str">
        <f ca="1">IF($Y71="","",IF(OFFSET(K$55,'Intermediate Data'!$Y71,0)=-98,"N/A",IF(OFFSET(K$55,'Intermediate Data'!$Y71,0)=-99,"N/A",OFFSET(K$55,'Intermediate Data'!$Y71,0))))</f>
        <v>N/A</v>
      </c>
      <c r="AJ71" s="90" t="str">
        <f ca="1">IF($Y71="","",IF(OFFSET(L$55,'Intermediate Data'!$Y71,0)=-98,"N/A",IF(OFFSET(L$55,'Intermediate Data'!$Y71,0)=-99,"N/A",OFFSET(L$55,'Intermediate Data'!$Y71,0))))</f>
        <v>N/A</v>
      </c>
      <c r="AK71" s="90" t="str">
        <f ca="1">IF($Y71="","",IF(OFFSET(M$55,'Intermediate Data'!$Y71,0)=-98,"N/A",IF(OFFSET(M$55,'Intermediate Data'!$Y71,0)=-99,"N/A",OFFSET(M$55,'Intermediate Data'!$Y71,0))))</f>
        <v>N/A</v>
      </c>
      <c r="AL71" s="90" t="str">
        <f ca="1">IF($Y71="","",IF(OFFSET(N$55,'Intermediate Data'!$Y71,0)=-98,"N/A",IF(OFFSET(N$55,'Intermediate Data'!$Y71,0)=-99,"N/A",OFFSET(N$55,'Intermediate Data'!$Y71,0))))</f>
        <v>N/A</v>
      </c>
      <c r="AM71" s="90" t="str">
        <f ca="1">IF($Y71="","",IF(OFFSET(O$55,'Intermediate Data'!$Y71,0)=-98,"N/A",IF(OFFSET(O$55,'Intermediate Data'!$Y71,0)=-99,"N/A",OFFSET(O$55,'Intermediate Data'!$Y71,0))))</f>
        <v>N/A</v>
      </c>
      <c r="AN71" s="90" t="str">
        <f ca="1">IF($Y71="","",IF(OFFSET(P$55,'Intermediate Data'!$Y71,0)=-98,"N/A",IF(OFFSET(P$55,'Intermediate Data'!$Y71,0)=-99,"N/A",OFFSET(P$55,'Intermediate Data'!$Y71,0))))</f>
        <v>N/A</v>
      </c>
      <c r="AO71" s="90" t="str">
        <f ca="1">IF($Y71="","",IF(OFFSET(Q$55,'Intermediate Data'!$Y71,0)=-98,"N/A",IF(OFFSET(Q$55,'Intermediate Data'!$Y71,0)=-99,"N/A",OFFSET(Q$55,'Intermediate Data'!$Y71,0))))</f>
        <v/>
      </c>
      <c r="AP71" s="697" t="str">
        <f ca="1">IF($Y71="","",IF(OFFSET(S$55,'Intermediate Data'!$Y71,0)=-98,"",IF(OFFSET(S$55,'Intermediate Data'!$Y71,0)=-99,"",OFFSET(S$55,'Intermediate Data'!$Y71,0))))</f>
        <v/>
      </c>
      <c r="AQ71" s="90" t="str">
        <f ca="1">IF($Y71="","",IF(OFFSET(T$55,'Intermediate Data'!$Y71,0)=-98,"Not published",IF(OFFSET(T$55,'Intermediate Data'!$Y71,0)=-99,"",OFFSET(T$55,'Intermediate Data'!$Y71,0))))</f>
        <v/>
      </c>
      <c r="AR71" s="90" t="str">
        <f ca="1">IF($Y71="","",IF(OFFSET(U$55,'Intermediate Data'!$Y71,0)=-98,"Unknown",IF(OFFSET(U$55,'Intermediate Data'!$Y71,0)=-99,"",OFFSET(U$55,'Intermediate Data'!$Y71,0))))</f>
        <v/>
      </c>
      <c r="AU71" s="112">
        <f ca="1">IF(AND(OFFSET(DATA!$F20,0,$AX$48)='Intermediate Data'!$AY$48,DATA!$E20="Tier 1"),IF(OR($AX$49=0,$AX$48=1),DATA!A20,IF(AND($AX$49=1,INDEX('Intermediate Data'!$AY$25:$AY$44,MATCH(DATA!$B20,'Intermediate Data'!$AX$25:$AX$44,0))=TRUE),DATA!A20,"")),"")</f>
        <v>16</v>
      </c>
      <c r="AV71" s="112" t="str">
        <f ca="1">IF($AU71="","",DATA!B20)</f>
        <v>Pool pump</v>
      </c>
      <c r="AW71" s="112">
        <f ca="1">IF(OR($AU71="",DATA!BI20=""),"",DATA!BI20)</f>
        <v>-98</v>
      </c>
      <c r="AX71" s="112" t="str">
        <f ca="1">IF(OR($AU71="",OFFSET(DATA!BK20,0,$AX$48)=""),"",OFFSET(DATA!BK20,0,$AX$48))</f>
        <v/>
      </c>
      <c r="AY71" s="112">
        <f ca="1">IF(OR($AU71="",OFFSET(DATA!BM20,0,$AX$48)=""),"",OFFSET(DATA!BM20,0,$AX$48))</f>
        <v>2800</v>
      </c>
      <c r="AZ71" s="112">
        <f ca="1">IF(OR($AU71="",OFFSET(DATA!BO20,0,'Intermediate Data'!$AX$48)=""),"",OFFSET(DATA!BO20,0,$AX$48))</f>
        <v>1169</v>
      </c>
      <c r="BA71" s="112" t="str">
        <f ca="1">IF(OR($AU71="",DATA!BQ20=""),"",DATA!BQ20)</f>
        <v>Savings over Title 20 baseline</v>
      </c>
      <c r="BB71" s="112">
        <f ca="1">IF($AU71="","",OFFSET(DATA!BS20,0,$AX$48))</f>
        <v>1685.9999988335173</v>
      </c>
      <c r="BC71" s="112">
        <f ca="1">IF($AU71="","",OFFSET(DATA!BU20,0,$AX$48))</f>
        <v>1685.9999983140001</v>
      </c>
      <c r="BD71" s="112">
        <f ca="1">IF($AU71="","",OFFSET(DATA!BW20,0,$AX$48))</f>
        <v>1686</v>
      </c>
      <c r="BE71" s="112" t="str">
        <f ca="1">IF($AU71="","",OFFSET(DATA!BY20,0,$AX$48))</f>
        <v>N/A</v>
      </c>
      <c r="BF71" s="112">
        <f ca="1">IF($AU71="","",OFFSET(DATA!CA20,0,$AX$48))</f>
        <v>1685.99999662799</v>
      </c>
      <c r="BG71" s="112" t="str">
        <f ca="1">IF($AU71="","",DATA!CC20)</f>
        <v>N</v>
      </c>
      <c r="BH71" s="112">
        <f ca="1">IF($AU71="","",OFFSET(DATA!CE20,0,$AX$48))</f>
        <v>526493249.09489399</v>
      </c>
      <c r="BI71" s="112">
        <f ca="1">IF($AU71="","",OFFSET(DATA!CG20,0,$AX$48))</f>
        <v>211200844.00209501</v>
      </c>
      <c r="BJ71" s="112">
        <f ca="1">IF($AU71="","",OFFSET(DATA!CI20,0,$AX$48))</f>
        <v>232388594.480562</v>
      </c>
      <c r="BK71" s="112" t="str">
        <f ca="1">IF($AU71="","",OFFSET(DATA!CK20,0,$AX$48))</f>
        <v>N/A</v>
      </c>
      <c r="BL71" s="112">
        <f ca="1">IF($AU71="","",OFFSET(DATA!CM20,0,$AX$48))</f>
        <v>82903810.612237006</v>
      </c>
      <c r="BM71" s="112">
        <f ca="1">IF($AU71="","",DATA!BH20)</f>
        <v>-98</v>
      </c>
      <c r="BN71" s="112" t="str">
        <f ca="1">IF($AU71="","",DATA!DS20)</f>
        <v>N/A</v>
      </c>
      <c r="BO71" s="112" t="str">
        <f ca="1">IF($AU71="","",DATA!DU20)</f>
        <v>N/A</v>
      </c>
      <c r="BP71" s="112" t="str">
        <f ca="1">IF($AU71="","",DATA!DV20)</f>
        <v>N/A</v>
      </c>
      <c r="BQ71" s="112">
        <f ca="1">IF($AU71="","",DATA!DX20)</f>
        <v>41320</v>
      </c>
      <c r="BR71" s="112" t="str">
        <f ca="1">IF($AU71="","",DATA!DZ20)</f>
        <v>N/A</v>
      </c>
      <c r="BS71" s="171" t="str">
        <f ca="1">IF($AU71="","",DATA!EA20)</f>
        <v>N/A</v>
      </c>
      <c r="BT71" s="171">
        <f ca="1">IF($AU71="","",DATA!EC20)</f>
        <v>39448</v>
      </c>
      <c r="BU71" s="171">
        <f ca="1">IF($AU71="","",DATA!EF20)</f>
        <v>42370</v>
      </c>
      <c r="BV71" s="113">
        <f t="shared" ca="1" si="10"/>
        <v>42370</v>
      </c>
      <c r="BW71" s="680">
        <f ca="1">IF(AU71="","",OFFSET(DATA!DC20,0,'Intermediate Data'!$AX$48))</f>
        <v>725.16</v>
      </c>
      <c r="BX71" s="681">
        <f ca="1">IF($AU71="","",DATA!DG20)</f>
        <v>6.4000000000000001E-2</v>
      </c>
      <c r="BY71" s="680">
        <f ca="1">IF($AU71="","",OFFSET(DATA!DE20,0,'Intermediate Data'!$AX$48))</f>
        <v>240</v>
      </c>
      <c r="BZ71" s="681">
        <f ca="1">IF($AU71="","",DATA!DH20)</f>
        <v>0.15429999999999999</v>
      </c>
      <c r="CA71" s="90" t="str">
        <f t="shared" ca="1" si="11"/>
        <v/>
      </c>
      <c r="CB71" s="99">
        <f t="shared" ca="1" si="12"/>
        <v>7.1000000000000005E-5</v>
      </c>
      <c r="CC71" s="90">
        <f t="shared" ca="1" si="13"/>
        <v>6.7999999999999999E-5</v>
      </c>
      <c r="CD71" s="90">
        <f t="shared" ca="1" si="14"/>
        <v>13</v>
      </c>
      <c r="CF71" s="90" t="str">
        <f ca="1">IF($CD71="","",IF(OFFSET(AV$55,'Intermediate Data'!$CD71,0)=-98,"Unknown",IF(OFFSET(AV$55,'Intermediate Data'!$CD71,0)=-99,"N/A",OFFSET(AV$55,'Intermediate Data'!$CD71,0))))</f>
        <v>Set top box</v>
      </c>
      <c r="CG71" s="90">
        <f ca="1">IF($CD71="","",IF(OFFSET(AW$55,'Intermediate Data'!$CD71,0)=-98,"",IF(OFFSET(AW$55,'Intermediate Data'!$CD71,0)=-99,"N/A",OFFSET(AW$55,'Intermediate Data'!$CD71,0))))</f>
        <v>138</v>
      </c>
      <c r="CH71" s="90" t="str">
        <f ca="1">IF($CD71="","",IF(OFFSET(AX$55,'Intermediate Data'!$CD71,0)=-98,"Unknown",IF(OFFSET(AX$55,'Intermediate Data'!$CD71,0)=-99,"N/A",OFFSET(AX$55,'Intermediate Data'!$CD71,0))))</f>
        <v/>
      </c>
      <c r="CI71" s="125">
        <f ca="1">IF($CD71="","",IF(OFFSET(AY$55,'Intermediate Data'!$CD71,0)=-98,"Unknown",IF(OFFSET(AY$55,'Intermediate Data'!$CD71,0)=-99,"No spec",OFFSET(AY$55,'Intermediate Data'!$CD71,0))))</f>
        <v>115</v>
      </c>
      <c r="CJ71" s="125">
        <f ca="1">IF($CD71="","",IF(OFFSET(AZ$55,'Intermediate Data'!$CD71,0)=-98,"Unknown",IF(OFFSET(AZ$55,'Intermediate Data'!$CD71,0)=-99,"N/A",OFFSET(AZ$55,'Intermediate Data'!$CD71,0))))</f>
        <v>92</v>
      </c>
      <c r="CK71" s="90" t="str">
        <f ca="1">IF($CD71="","",IF(OFFSET(BA$55,'Intermediate Data'!$CD71,0)=-98,"Unknown",IF(OFFSET(BA$55,'Intermediate Data'!$CD71,0)=-99,"N/A",OFFSET(BA$55,'Intermediate Data'!$CD71,0))))</f>
        <v>Efficient components</v>
      </c>
      <c r="CL71" s="90" t="str">
        <f ca="1">IF($CD71="","",IF(OFFSET(BB$55,'Intermediate Data'!$CD71,$AX$50)=-98,"Unknown",IF(OFFSET(BB$55,'Intermediate Data'!$CD71,$AX$50)="N/A","",OFFSET(BB$55,'Intermediate Data'!$CD71,$AX$50))))</f>
        <v/>
      </c>
      <c r="CM71" s="90" t="str">
        <f ca="1">IF($CD71="","",IF(OFFSET(BG$55,'Intermediate Data'!$CD71,0)="ET","ET",""))</f>
        <v/>
      </c>
      <c r="CN71" s="90" t="str">
        <f ca="1">IF($CD71="","",IF(OFFSET(BH$55,'Intermediate Data'!$CD71,$AX$50)=-98,"Unknown",IF(OFFSET(BH$55,'Intermediate Data'!$CD71,$AX$50)="N/A","",OFFSET(BH$55,'Intermediate Data'!$CD71,$AX$50))))</f>
        <v/>
      </c>
      <c r="CO71" s="90">
        <f ca="1">IF($CD71="","",IF(OFFSET(BM$55,'Intermediate Data'!$CD71,0)=-98,"Not published",IF(OFFSET(BM$55,'Intermediate Data'!$CD71,0)=-99,"No spec",OFFSET(BM$55,'Intermediate Data'!$CD71,0))))</f>
        <v>0.89</v>
      </c>
      <c r="CP71" s="114" t="str">
        <f ca="1">IF($CD71="","",IF(OFFSET(BN$55,'Intermediate Data'!$CD71,0)=-98,"Unknown",IF(OFFSET(BN$55,'Intermediate Data'!$CD71,0)=-99,"N/A",OFFSET(BN$55,'Intermediate Data'!$CD71,0))))</f>
        <v>N/A</v>
      </c>
      <c r="CQ71" s="114" t="str">
        <f ca="1">IF($CD71="","",IF(OFFSET(BO$55,'Intermediate Data'!$CD71,0)=-98,"Unknown",IF(OFFSET(BO$55,'Intermediate Data'!$CD71,0)=-99,"N/A",OFFSET(BO$55,'Intermediate Data'!$CD71,0))))</f>
        <v>N/A</v>
      </c>
      <c r="CR71" s="114" t="str">
        <f ca="1">IF($CD71="","",IF(OFFSET(BP$55,'Intermediate Data'!$CD71,0)=-98,"Unknown",IF(OFFSET(BP$55,'Intermediate Data'!$CD71,0)=-99,"N/A",OFFSET(BP$55,'Intermediate Data'!$CD71,0))))</f>
        <v>N/A</v>
      </c>
      <c r="CS71" s="114">
        <f ca="1">IF($CD71="","",IF(OFFSET(BQ$55,'Intermediate Data'!$CD71,0)=-98,"Unknown",IF(OFFSET(BQ$55,'Intermediate Data'!$CD71,0)=-99,"N/A",OFFSET(BQ$55,'Intermediate Data'!$CD71,0))))</f>
        <v>40787</v>
      </c>
      <c r="CT71" s="114" t="str">
        <f ca="1">IF($CD71="","",IF(OFFSET(BR$55,'Intermediate Data'!$CD71,0)=-98,"Unknown",IF(OFFSET(BR$55,'Intermediate Data'!$CD71,0)=-99,"N/A",OFFSET(BR$55,'Intermediate Data'!$CD71,0))))</f>
        <v>Final</v>
      </c>
      <c r="CU71" s="114">
        <f ca="1">IF($CD71="","",IF(OFFSET(BS$55,'Intermediate Data'!$CD71,0)=-98,"Unknown",IF(OFFSET(BS$55,'Intermediate Data'!$CD71,0)=-99,"N/A",OFFSET(BS$55,'Intermediate Data'!$CD71,0))))</f>
        <v>41974</v>
      </c>
      <c r="CV71" s="114" t="str">
        <f ca="1">IF($CD71="","",IF(OFFSET(BT$55,'Intermediate Data'!$CD71,0)=-98,"Unknown",IF(OFFSET(BT$55,'Intermediate Data'!$CD71,0)=-99,"N/A",OFFSET(BT$55,'Intermediate Data'!$CD71,0))))</f>
        <v>N/A</v>
      </c>
      <c r="CW71" s="114">
        <f ca="1">IF($CD71="","",IF(OFFSET(BU$55,'Intermediate Data'!$CD71,0)=-98,"Unknown",IF(OFFSET(BU$55,'Intermediate Data'!$CD71,0)=-99,"N/A",OFFSET(BU$55,'Intermediate Data'!$CD71,0))))</f>
        <v>42370</v>
      </c>
      <c r="CX71" s="114">
        <f ca="1">IF($CD71="","",IF(OFFSET(BV$55,'Intermediate Data'!$CD71,0)=-98,"Unknown",IF(OFFSET(BV$55,'Intermediate Data'!$CD71,0)=-99,"N/A",OFFSET(BV$55,'Intermediate Data'!$CD71,0))))</f>
        <v>42370</v>
      </c>
      <c r="CY71" s="682" t="str">
        <f ca="1">IF($CD71="","",IF(OFFSET(BW$55,'Intermediate Data'!$CD71,0)=-98,"Unknown",IF(OFFSET(BW$55,'Intermediate Data'!$CD71,0)="N/A","",OFFSET(BW$55,'Intermediate Data'!$CD71,0))))</f>
        <v/>
      </c>
      <c r="CZ71" s="682" t="str">
        <f ca="1">IF($CD71="","",IF(OFFSET(BX$55,'Intermediate Data'!$CD71,0)=-98,"Unknown",IF(OFFSET(BX$55,'Intermediate Data'!$CD71,0)="N/A","",OFFSET(BX$55,'Intermediate Data'!$CD71,0))))</f>
        <v/>
      </c>
      <c r="DA71" s="682">
        <f ca="1">IF($CD71="","",IF(OFFSET(BY$55,'Intermediate Data'!$CD71,0)=-98,"Unknown",IF(OFFSET(BY$55,'Intermediate Data'!$CD71,0)="N/A","",OFFSET(BY$55,'Intermediate Data'!$CD71,0))))</f>
        <v>37.26</v>
      </c>
      <c r="DB71" s="682">
        <f ca="1">IF($CD71="","",IF(OFFSET(BZ$55,'Intermediate Data'!$CD71,0)=-98,"Unknown",IF(OFFSET(BZ$55,'Intermediate Data'!$CD71,0)="N/A","",OFFSET(BZ$55,'Intermediate Data'!$CD71,0))))</f>
        <v>0.15429999999999999</v>
      </c>
    </row>
    <row r="72" spans="1:106" x14ac:dyDescent="0.2">
      <c r="A72" s="90">
        <f ca="1">IF(OFFSET(DATA!F21,0,$D$48)='Intermediate Data'!$E$48,IF(OR($E$49=$C$27,$E$48=$B$4),DATA!A21,IF($G$49=DATA!D21,DATA!A21,"")),"")</f>
        <v>17</v>
      </c>
      <c r="B72" s="90">
        <f ca="1">IF($A72="","",DATA!EH21)</f>
        <v>88</v>
      </c>
      <c r="C72" s="90" t="str">
        <f ca="1">IF($A72="","",DATA!B21)</f>
        <v>Furnace - Fan</v>
      </c>
      <c r="D72" s="90">
        <f ca="1">IF($A72="","",OFFSET(DATA!$H21,0,($D$50*5)))</f>
        <v>0.58269199999999999</v>
      </c>
      <c r="E72" s="90">
        <f ca="1">IF($A72="","",OFFSET(DATA!$H21,0,($D$50*5)+1))</f>
        <v>0.67590187079030495</v>
      </c>
      <c r="F72" s="90">
        <f ca="1">IF($A72="","",OFFSET(DATA!$H21,0,($D$50*5)+2))</f>
        <v>0.69460800000000011</v>
      </c>
      <c r="G72" s="90">
        <f ca="1">IF($A72="","",OFFSET(DATA!$H21,0,($D$50*5)+3))</f>
        <v>0.76206924418829702</v>
      </c>
      <c r="H72" s="90">
        <f ca="1">IF($A72="","",OFFSET(DATA!$H21,0,($D$50*5)+4))</f>
        <v>0.68936399999999998</v>
      </c>
      <c r="I72" s="90">
        <f t="shared" ca="1" si="2"/>
        <v>0.68936399999999998</v>
      </c>
      <c r="J72" s="90" t="str">
        <f t="shared" ca="1" si="3"/>
        <v>CLASS</v>
      </c>
      <c r="K72" s="90">
        <f ca="1">IF($A72="","",OFFSET(DATA!$AG21,0,($D$50*5)))</f>
        <v>-99</v>
      </c>
      <c r="L72" s="90">
        <f ca="1">IF($A72="","",OFFSET(DATA!$AG21,0,($D$50*5)+1))</f>
        <v>-99</v>
      </c>
      <c r="M72" s="90">
        <f ca="1">IF($A72="","",OFFSET(DATA!$AG21,0,($D$50*5)+2))</f>
        <v>-99</v>
      </c>
      <c r="N72" s="90">
        <f ca="1">IF($A72="","",OFFSET(DATA!$AG21,0,($D$50*5)+3))</f>
        <v>-99</v>
      </c>
      <c r="O72" s="90">
        <f ca="1">IF($A72="","",OFFSET(DATA!$AG21,0,($D$50*5)+4))</f>
        <v>-99</v>
      </c>
      <c r="P72" s="90">
        <f t="shared" ca="1" si="4"/>
        <v>-99</v>
      </c>
      <c r="Q72" s="90" t="str">
        <f t="shared" ca="1" si="5"/>
        <v/>
      </c>
      <c r="R72" s="699">
        <f ca="1">IF($A72="","",IF(DATA!BF21="",-99,DATA!BF21))</f>
        <v>-99</v>
      </c>
      <c r="S72" s="90">
        <f ca="1">IF($A72="","",IF(DATA!BG21="",-99,DATA!BF21-DATA!BG21))</f>
        <v>-99</v>
      </c>
      <c r="T72" s="90">
        <f ca="1">IF($A72="","",DATA!BH21)</f>
        <v>-98</v>
      </c>
      <c r="U72" s="90">
        <f ca="1">IF($A72="","",OFFSET(DATA!BM21,0,$D$48))</f>
        <v>55</v>
      </c>
      <c r="V72" s="90">
        <f t="shared" ca="1" si="6"/>
        <v>88</v>
      </c>
      <c r="W72" s="99">
        <f t="shared" ca="1" si="7"/>
        <v>87.999946551850698</v>
      </c>
      <c r="X72" s="112">
        <f t="shared" ca="1" si="8"/>
        <v>118.99995675053401</v>
      </c>
      <c r="Y72" s="90">
        <f t="shared" ca="1" si="9"/>
        <v>6</v>
      </c>
      <c r="AA72" s="90" t="str">
        <f ca="1">IF($Y72="","",IF(OFFSET(C$55,'Intermediate Data'!$Y72,0)=-98,"Unknown",IF(OFFSET(C$55,'Intermediate Data'!$Y72,0)=-99,"N/A",OFFSET(C$55,'Intermediate Data'!$Y72,0))))</f>
        <v>Clothes dryer - Electric</v>
      </c>
      <c r="AB72" s="90">
        <f ca="1">IF($Y72="","",IF(OFFSET(D$55,'Intermediate Data'!$Y72,0)=-98,"N/A",IF(OFFSET(D$55,'Intermediate Data'!$Y72,0)=-99,"N/A",OFFSET(D$55,'Intermediate Data'!$Y72,0))))</f>
        <v>0.294904</v>
      </c>
      <c r="AC72" s="90">
        <f ca="1">IF($Y72="","",IF(OFFSET(E$55,'Intermediate Data'!$Y72,0)=-98,"N/A",IF(OFFSET(E$55,'Intermediate Data'!$Y72,0)=-99,"N/A",OFFSET(E$55,'Intermediate Data'!$Y72,0))))</f>
        <v>0.31014796666629402</v>
      </c>
      <c r="AD72" s="90">
        <f ca="1">IF($Y72="","",IF(OFFSET(F$55,'Intermediate Data'!$Y72,0)=-98,"N/A",IF(OFFSET(F$55,'Intermediate Data'!$Y72,0)=-99,"N/A",OFFSET(F$55,'Intermediate Data'!$Y72,0))))</f>
        <v>0.32840999999999998</v>
      </c>
      <c r="AE72" s="90">
        <f ca="1">IF($Y72="","",IF(OFFSET(G$55,'Intermediate Data'!$Y72,0)=-98,"N/A",IF(OFFSET(G$55,'Intermediate Data'!$Y72,0)=-99,"N/A",OFFSET(G$55,'Intermediate Data'!$Y72,0))))</f>
        <v>0.31706218820121751</v>
      </c>
      <c r="AF72" s="90">
        <f ca="1">IF($Y72="","",IF(OFFSET(H$55,'Intermediate Data'!$Y72,0)=-98,"N/A",IF(OFFSET(H$55,'Intermediate Data'!$Y72,0)=-99,"N/A",OFFSET(H$55,'Intermediate Data'!$Y72,0))))</f>
        <v>0.27181</v>
      </c>
      <c r="AG72" s="90">
        <f ca="1">IF($Y72="","",IF(OFFSET(I$55,'Intermediate Data'!$Y72,0)=-98,"N/A",IF(OFFSET(I$55,'Intermediate Data'!$Y72,0)=-99,"N/A",OFFSET(I$55,'Intermediate Data'!$Y72,0))))</f>
        <v>0.27181</v>
      </c>
      <c r="AH72" s="90" t="str">
        <f ca="1">IF($Y72="","",IF(OFFSET(J$55,'Intermediate Data'!$Y72,0)=-98,"N/A",IF(OFFSET(J$55,'Intermediate Data'!$Y72,0)=-99,"N/A",OFFSET(J$55,'Intermediate Data'!$Y72,0))))</f>
        <v>CLASS</v>
      </c>
      <c r="AI72" s="90" t="str">
        <f ca="1">IF($Y72="","",IF(OFFSET(K$55,'Intermediate Data'!$Y72,0)=-98,"N/A",IF(OFFSET(K$55,'Intermediate Data'!$Y72,0)=-99,"N/A",OFFSET(K$55,'Intermediate Data'!$Y72,0))))</f>
        <v>N/A</v>
      </c>
      <c r="AJ72" s="90" t="str">
        <f ca="1">IF($Y72="","",IF(OFFSET(L$55,'Intermediate Data'!$Y72,0)=-98,"N/A",IF(OFFSET(L$55,'Intermediate Data'!$Y72,0)=-99,"N/A",OFFSET(L$55,'Intermediate Data'!$Y72,0))))</f>
        <v>N/A</v>
      </c>
      <c r="AK72" s="90" t="str">
        <f ca="1">IF($Y72="","",IF(OFFSET(M$55,'Intermediate Data'!$Y72,0)=-98,"N/A",IF(OFFSET(M$55,'Intermediate Data'!$Y72,0)=-99,"N/A",OFFSET(M$55,'Intermediate Data'!$Y72,0))))</f>
        <v>N/A</v>
      </c>
      <c r="AL72" s="90" t="str">
        <f ca="1">IF($Y72="","",IF(OFFSET(N$55,'Intermediate Data'!$Y72,0)=-98,"N/A",IF(OFFSET(N$55,'Intermediate Data'!$Y72,0)=-99,"N/A",OFFSET(N$55,'Intermediate Data'!$Y72,0))))</f>
        <v>N/A</v>
      </c>
      <c r="AM72" s="90" t="str">
        <f ca="1">IF($Y72="","",IF(OFFSET(O$55,'Intermediate Data'!$Y72,0)=-98,"N/A",IF(OFFSET(O$55,'Intermediate Data'!$Y72,0)=-99,"N/A",OFFSET(O$55,'Intermediate Data'!$Y72,0))))</f>
        <v>N/A</v>
      </c>
      <c r="AN72" s="90" t="str">
        <f ca="1">IF($Y72="","",IF(OFFSET(P$55,'Intermediate Data'!$Y72,0)=-98,"N/A",IF(OFFSET(P$55,'Intermediate Data'!$Y72,0)=-99,"N/A",OFFSET(P$55,'Intermediate Data'!$Y72,0))))</f>
        <v>N/A</v>
      </c>
      <c r="AO72" s="90" t="str">
        <f ca="1">IF($Y72="","",IF(OFFSET(Q$55,'Intermediate Data'!$Y72,0)=-98,"N/A",IF(OFFSET(Q$55,'Intermediate Data'!$Y72,0)=-99,"N/A",OFFSET(Q$55,'Intermediate Data'!$Y72,0))))</f>
        <v/>
      </c>
      <c r="AP72" s="697" t="str">
        <f ca="1">IF($Y72="","",IF(OFFSET(S$55,'Intermediate Data'!$Y72,0)=-98,"",IF(OFFSET(S$55,'Intermediate Data'!$Y72,0)=-99,"",OFFSET(S$55,'Intermediate Data'!$Y72,0))))</f>
        <v/>
      </c>
      <c r="AQ72" s="90" t="str">
        <f ca="1">IF($Y72="","",IF(OFFSET(T$55,'Intermediate Data'!$Y72,0)=-98,"Not published",IF(OFFSET(T$55,'Intermediate Data'!$Y72,0)=-99,"",OFFSET(T$55,'Intermediate Data'!$Y72,0))))</f>
        <v/>
      </c>
      <c r="AR72" s="90">
        <f ca="1">IF($Y72="","",IF(OFFSET(U$55,'Intermediate Data'!$Y72,0)=-98,"Unknown",IF(OFFSET(U$55,'Intermediate Data'!$Y72,0)=-99,"",OFFSET(U$55,'Intermediate Data'!$Y72,0))))</f>
        <v>160</v>
      </c>
      <c r="AU72" s="112">
        <f ca="1">IF(AND(OFFSET(DATA!$F21,0,$AX$48)='Intermediate Data'!$AY$48,DATA!$E21="Tier 1"),IF(OR($AX$49=0,$AX$48=1),DATA!A21,IF(AND($AX$49=1,INDEX('Intermediate Data'!$AY$25:$AY$44,MATCH(DATA!$B21,'Intermediate Data'!$AX$25:$AX$44,0))=TRUE),DATA!A21,"")),"")</f>
        <v>17</v>
      </c>
      <c r="AV72" s="112" t="str">
        <f ca="1">IF($AU72="","",DATA!B21)</f>
        <v>Furnace - Fan</v>
      </c>
      <c r="AW72" s="112">
        <f ca="1">IF(OR($AU72="",DATA!BI21=""),"",DATA!BI21)</f>
        <v>-98</v>
      </c>
      <c r="AX72" s="112" t="str">
        <f ca="1">IF(OR($AU72="",OFFSET(DATA!BK21,0,$AX$48)=""),"",OFFSET(DATA!BK21,0,$AX$48))</f>
        <v/>
      </c>
      <c r="AY72" s="112">
        <f ca="1">IF(OR($AU72="",OFFSET(DATA!BM21,0,$AX$48)=""),"",OFFSET(DATA!BM21,0,$AX$48))</f>
        <v>55</v>
      </c>
      <c r="AZ72" s="112">
        <f ca="1">IF(OR($AU72="",OFFSET(DATA!BO21,0,'Intermediate Data'!$AX$48)=""),"",OFFSET(DATA!BO21,0,$AX$48))</f>
        <v>249</v>
      </c>
      <c r="BA72" s="112" t="str">
        <f ca="1">IF(OR($AU72="",DATA!BQ21=""),"",DATA!BQ21)</f>
        <v>Max Tech</v>
      </c>
      <c r="BB72" s="112" t="str">
        <f ca="1">IF($AU72="","",OFFSET(DATA!BS21,0,$AX$48))</f>
        <v>N/A</v>
      </c>
      <c r="BC72" s="112" t="str">
        <f ca="1">IF($AU72="","",OFFSET(DATA!BU21,0,$AX$48))</f>
        <v>N/A</v>
      </c>
      <c r="BD72" s="112" t="str">
        <f ca="1">IF($AU72="","",OFFSET(DATA!BW21,0,$AX$48))</f>
        <v>N/A</v>
      </c>
      <c r="BE72" s="112" t="str">
        <f ca="1">IF($AU72="","",OFFSET(DATA!BY21,0,$AX$48))</f>
        <v>N/A</v>
      </c>
      <c r="BF72" s="112" t="str">
        <f ca="1">IF($AU72="","",OFFSET(DATA!CA21,0,$AX$48))</f>
        <v>N/A</v>
      </c>
      <c r="BG72" s="112" t="str">
        <f ca="1">IF($AU72="","",DATA!CC21)</f>
        <v>N/A</v>
      </c>
      <c r="BH72" s="112" t="str">
        <f ca="1">IF($AU72="","",OFFSET(DATA!CE21,0,$AX$48))</f>
        <v>N/A</v>
      </c>
      <c r="BI72" s="112" t="str">
        <f ca="1">IF($AU72="","",OFFSET(DATA!CG21,0,$AX$48))</f>
        <v>N/A</v>
      </c>
      <c r="BJ72" s="112" t="str">
        <f ca="1">IF($AU72="","",OFFSET(DATA!CI21,0,$AX$48))</f>
        <v>N/A</v>
      </c>
      <c r="BK72" s="112" t="str">
        <f ca="1">IF($AU72="","",OFFSET(DATA!CK21,0,$AX$48))</f>
        <v>N/A</v>
      </c>
      <c r="BL72" s="112" t="str">
        <f ca="1">IF($AU72="","",OFFSET(DATA!CM21,0,$AX$48))</f>
        <v>N/A</v>
      </c>
      <c r="BM72" s="112">
        <f ca="1">IF($AU72="","",DATA!BH21)</f>
        <v>-98</v>
      </c>
      <c r="BN72" s="112" t="str">
        <f ca="1">IF($AU72="","",DATA!DS21)</f>
        <v>N/A</v>
      </c>
      <c r="BO72" s="112" t="str">
        <f ca="1">IF($AU72="","",DATA!DU21)</f>
        <v>Final</v>
      </c>
      <c r="BP72" s="112">
        <f ca="1">IF($AU72="","",DATA!DV21)</f>
        <v>44197</v>
      </c>
      <c r="BQ72" s="112" t="str">
        <f ca="1">IF($AU72="","",DATA!DX21)</f>
        <v>N/A</v>
      </c>
      <c r="BR72" s="112" t="str">
        <f ca="1">IF($AU72="","",DATA!DZ21)</f>
        <v>N/A</v>
      </c>
      <c r="BS72" s="171" t="str">
        <f ca="1">IF($AU72="","",DATA!EA21)</f>
        <v>N/A</v>
      </c>
      <c r="BT72" s="171" t="str">
        <f ca="1">IF($AU72="","",DATA!EC21)</f>
        <v>N/A</v>
      </c>
      <c r="BU72" s="171" t="str">
        <f ca="1">IF($AU72="","",DATA!EF21)</f>
        <v>N/A</v>
      </c>
      <c r="BV72" s="113">
        <f t="shared" ca="1" si="10"/>
        <v>44197</v>
      </c>
      <c r="BW72" s="680" t="str">
        <f ca="1">IF(AU72="","",OFFSET(DATA!DC21,0,'Intermediate Data'!$AX$48))</f>
        <v>N/A</v>
      </c>
      <c r="BX72" s="681" t="str">
        <f ca="1">IF($AU72="","",DATA!DG21)</f>
        <v>N/A</v>
      </c>
      <c r="BY72" s="680" t="str">
        <f ca="1">IF($AU72="","",OFFSET(DATA!DE21,0,'Intermediate Data'!$AX$48))</f>
        <v>N/A</v>
      </c>
      <c r="BZ72" s="681" t="str">
        <f ca="1">IF($AU72="","",DATA!DH21)</f>
        <v>N/A</v>
      </c>
      <c r="CA72" s="90" t="str">
        <f t="shared" ca="1" si="11"/>
        <v/>
      </c>
      <c r="CB72" s="99">
        <f t="shared" ca="1" si="12"/>
        <v>7.2000000000000002E-5</v>
      </c>
      <c r="CC72" s="90">
        <f t="shared" ca="1" si="13"/>
        <v>6.3E-5</v>
      </c>
      <c r="CD72" s="90">
        <f t="shared" ca="1" si="14"/>
        <v>8</v>
      </c>
      <c r="CF72" s="90" t="str">
        <f ca="1">IF($CD72="","",IF(OFFSET(AV$55,'Intermediate Data'!$CD72,0)=-98,"Unknown",IF(OFFSET(AV$55,'Intermediate Data'!$CD72,0)=-99,"N/A",OFFSET(AV$55,'Intermediate Data'!$CD72,0))))</f>
        <v>Microwave oven</v>
      </c>
      <c r="CG72" s="90">
        <f ca="1">IF($CD72="","",IF(OFFSET(AW$55,'Intermediate Data'!$CD72,0)=-98,"",IF(OFFSET(AW$55,'Intermediate Data'!$CD72,0)=-99,"N/A",OFFSET(AW$55,'Intermediate Data'!$CD72,0))))</f>
        <v>72</v>
      </c>
      <c r="CH72" s="90" t="str">
        <f ca="1">IF($CD72="","",IF(OFFSET(AX$55,'Intermediate Data'!$CD72,0)=-98,"Unknown",IF(OFFSET(AX$55,'Intermediate Data'!$CD72,0)=-99,"N/A",OFFSET(AX$55,'Intermediate Data'!$CD72,0))))</f>
        <v/>
      </c>
      <c r="CI72" s="125" t="str">
        <f ca="1">IF($CD72="","",IF(OFFSET(AY$55,'Intermediate Data'!$CD72,0)=-98,"Unknown",IF(OFFSET(AY$55,'Intermediate Data'!$CD72,0)=-99,"No spec",OFFSET(AY$55,'Intermediate Data'!$CD72,0))))</f>
        <v>No spec</v>
      </c>
      <c r="CJ72" s="125">
        <f ca="1">IF($CD72="","",IF(OFFSET(AZ$55,'Intermediate Data'!$CD72,0)=-98,"Unknown",IF(OFFSET(AZ$55,'Intermediate Data'!$CD72,0)=-99,"N/A",OFFSET(AZ$55,'Intermediate Data'!$CD72,0))))</f>
        <v>34.900000000000006</v>
      </c>
      <c r="CK72" s="90" t="str">
        <f ca="1">IF($CD72="","",IF(OFFSET(BA$55,'Intermediate Data'!$CD72,0)=-98,"Unknown",IF(OFFSET(BA$55,'Intermediate Data'!$CD72,0)=-99,"N/A",OFFSET(BA$55,'Intermediate Data'!$CD72,0))))</f>
        <v>Max Tech</v>
      </c>
      <c r="CL72" s="90" t="str">
        <f ca="1">IF($CD72="","",IF(OFFSET(BB$55,'Intermediate Data'!$CD72,$AX$50)=-98,"Unknown",IF(OFFSET(BB$55,'Intermediate Data'!$CD72,$AX$50)="N/A","",OFFSET(BB$55,'Intermediate Data'!$CD72,$AX$50))))</f>
        <v/>
      </c>
      <c r="CM72" s="90" t="str">
        <f ca="1">IF($CD72="","",IF(OFFSET(BG$55,'Intermediate Data'!$CD72,0)="ET","ET",""))</f>
        <v/>
      </c>
      <c r="CN72" s="90" t="str">
        <f ca="1">IF($CD72="","",IF(OFFSET(BH$55,'Intermediate Data'!$CD72,$AX$50)=-98,"Unknown",IF(OFFSET(BH$55,'Intermediate Data'!$CD72,$AX$50)="N/A","",OFFSET(BH$55,'Intermediate Data'!$CD72,$AX$50))))</f>
        <v/>
      </c>
      <c r="CO72" s="90" t="str">
        <f ca="1">IF($CD72="","",IF(OFFSET(BM$55,'Intermediate Data'!$CD72,0)=-98,"Not published",IF(OFFSET(BM$55,'Intermediate Data'!$CD72,0)=-99,"No spec",OFFSET(BM$55,'Intermediate Data'!$CD72,0))))</f>
        <v>No spec</v>
      </c>
      <c r="CP72" s="114" t="str">
        <f ca="1">IF($CD72="","",IF(OFFSET(BN$55,'Intermediate Data'!$CD72,0)=-98,"Unknown",IF(OFFSET(BN$55,'Intermediate Data'!$CD72,0)=-99,"N/A",OFFSET(BN$55,'Intermediate Data'!$CD72,0))))</f>
        <v>N/A</v>
      </c>
      <c r="CQ72" s="114" t="str">
        <f ca="1">IF($CD72="","",IF(OFFSET(BO$55,'Intermediate Data'!$CD72,0)=-98,"Unknown",IF(OFFSET(BO$55,'Intermediate Data'!$CD72,0)=-99,"N/A",OFFSET(BO$55,'Intermediate Data'!$CD72,0))))</f>
        <v>Final</v>
      </c>
      <c r="CR72" s="114">
        <f ca="1">IF($CD72="","",IF(OFFSET(BP$55,'Intermediate Data'!$CD72,0)=-98,"Unknown",IF(OFFSET(BP$55,'Intermediate Data'!$CD72,0)=-99,"N/A",OFFSET(BP$55,'Intermediate Data'!$CD72,0))))</f>
        <v>42538</v>
      </c>
      <c r="CS72" s="114" t="str">
        <f ca="1">IF($CD72="","",IF(OFFSET(BQ$55,'Intermediate Data'!$CD72,0)=-98,"Unknown",IF(OFFSET(BQ$55,'Intermediate Data'!$CD72,0)=-99,"N/A",OFFSET(BQ$55,'Intermediate Data'!$CD72,0))))</f>
        <v>N/A</v>
      </c>
      <c r="CT72" s="114" t="str">
        <f ca="1">IF($CD72="","",IF(OFFSET(BR$55,'Intermediate Data'!$CD72,0)=-98,"Unknown",IF(OFFSET(BR$55,'Intermediate Data'!$CD72,0)=-99,"N/A",OFFSET(BR$55,'Intermediate Data'!$CD72,0))))</f>
        <v>N/A</v>
      </c>
      <c r="CU72" s="114" t="str">
        <f ca="1">IF($CD72="","",IF(OFFSET(BS$55,'Intermediate Data'!$CD72,0)=-98,"Unknown",IF(OFFSET(BS$55,'Intermediate Data'!$CD72,0)=-99,"N/A",OFFSET(BS$55,'Intermediate Data'!$CD72,0))))</f>
        <v>N/A</v>
      </c>
      <c r="CV72" s="114" t="str">
        <f ca="1">IF($CD72="","",IF(OFFSET(BT$55,'Intermediate Data'!$CD72,0)=-98,"Unknown",IF(OFFSET(BT$55,'Intermediate Data'!$CD72,0)=-99,"N/A",OFFSET(BT$55,'Intermediate Data'!$CD72,0))))</f>
        <v>N/A</v>
      </c>
      <c r="CW72" s="114" t="str">
        <f ca="1">IF($CD72="","",IF(OFFSET(BU$55,'Intermediate Data'!$CD72,0)=-98,"Unknown",IF(OFFSET(BU$55,'Intermediate Data'!$CD72,0)=-99,"N/A",OFFSET(BU$55,'Intermediate Data'!$CD72,0))))</f>
        <v>N/A</v>
      </c>
      <c r="CX72" s="114">
        <f ca="1">IF($CD72="","",IF(OFFSET(BV$55,'Intermediate Data'!$CD72,0)=-98,"Unknown",IF(OFFSET(BV$55,'Intermediate Data'!$CD72,0)=-99,"N/A",OFFSET(BV$55,'Intermediate Data'!$CD72,0))))</f>
        <v>42538</v>
      </c>
      <c r="CY72" s="682" t="str">
        <f ca="1">IF($CD72="","",IF(OFFSET(BW$55,'Intermediate Data'!$CD72,0)=-98,"Unknown",IF(OFFSET(BW$55,'Intermediate Data'!$CD72,0)="N/A","",OFFSET(BW$55,'Intermediate Data'!$CD72,0))))</f>
        <v/>
      </c>
      <c r="CZ72" s="682" t="str">
        <f ca="1">IF($CD72="","",IF(OFFSET(BX$55,'Intermediate Data'!$CD72,0)=-98,"Unknown",IF(OFFSET(BX$55,'Intermediate Data'!$CD72,0)="N/A","",OFFSET(BX$55,'Intermediate Data'!$CD72,0))))</f>
        <v/>
      </c>
      <c r="DA72" s="682" t="str">
        <f ca="1">IF($CD72="","",IF(OFFSET(BY$55,'Intermediate Data'!$CD72,0)=-98,"Unknown",IF(OFFSET(BY$55,'Intermediate Data'!$CD72,0)="N/A","",OFFSET(BY$55,'Intermediate Data'!$CD72,0))))</f>
        <v/>
      </c>
      <c r="DB72" s="682" t="str">
        <f ca="1">IF($CD72="","",IF(OFFSET(BZ$55,'Intermediate Data'!$CD72,0)=-98,"Unknown",IF(OFFSET(BZ$55,'Intermediate Data'!$CD72,0)="N/A","",OFFSET(BZ$55,'Intermediate Data'!$CD72,0))))</f>
        <v/>
      </c>
    </row>
    <row r="73" spans="1:106" x14ac:dyDescent="0.2">
      <c r="A73" s="90">
        <f ca="1">IF(OFFSET(DATA!F22,0,$D$48)='Intermediate Data'!$E$48,IF(OR($E$49=$C$27,$E$48=$B$4),DATA!A22,IF($G$49=DATA!D22,DATA!A22,"")),"")</f>
        <v>18</v>
      </c>
      <c r="B73" s="90">
        <f ca="1">IF($A73="","",DATA!EH22)</f>
        <v>107</v>
      </c>
      <c r="C73" s="90" t="str">
        <f ca="1">IF($A73="","",DATA!B22)</f>
        <v>Desktop (non-portable computer)</v>
      </c>
      <c r="D73" s="90">
        <f ca="1">IF($A73="","",OFFSET(DATA!$H22,0,($D$50*5)))</f>
        <v>-99</v>
      </c>
      <c r="E73" s="90">
        <f ca="1">IF($A73="","",OFFSET(DATA!$H22,0,($D$50*5)+1))</f>
        <v>-98</v>
      </c>
      <c r="F73" s="90">
        <f ca="1">IF($A73="","",OFFSET(DATA!$H22,0,($D$50*5)+2))</f>
        <v>-99</v>
      </c>
      <c r="G73" s="90">
        <f ca="1">IF($A73="","",OFFSET(DATA!$H22,0,($D$50*5)+3))</f>
        <v>0.67522694191320654</v>
      </c>
      <c r="H73" s="90">
        <f ca="1">IF($A73="","",OFFSET(DATA!$H22,0,($D$50*5)+4))</f>
        <v>0.43874800000000003</v>
      </c>
      <c r="I73" s="90">
        <f t="shared" ca="1" si="2"/>
        <v>0.43874800000000003</v>
      </c>
      <c r="J73" s="90" t="str">
        <f t="shared" ca="1" si="3"/>
        <v>CLASS</v>
      </c>
      <c r="K73" s="90">
        <f ca="1">IF($A73="","",OFFSET(DATA!$AG22,0,($D$50*5)))</f>
        <v>-99</v>
      </c>
      <c r="L73" s="90">
        <f ca="1">IF($A73="","",OFFSET(DATA!$AG22,0,($D$50*5)+1))</f>
        <v>-98</v>
      </c>
      <c r="M73" s="90">
        <f ca="1">IF($A73="","",OFFSET(DATA!$AG22,0,($D$50*5)+2))</f>
        <v>-99</v>
      </c>
      <c r="N73" s="90">
        <f ca="1">IF($A73="","",OFFSET(DATA!$AG22,0,($D$50*5)+3))</f>
        <v>0.85004380227807019</v>
      </c>
      <c r="O73" s="90">
        <f ca="1">IF($A73="","",OFFSET(DATA!$AG22,0,($D$50*5)+4))</f>
        <v>-99</v>
      </c>
      <c r="P73" s="90">
        <f t="shared" ca="1" si="4"/>
        <v>0.85004380227807019</v>
      </c>
      <c r="Q73" s="90" t="str">
        <f t="shared" ca="1" si="5"/>
        <v>RASS</v>
      </c>
      <c r="R73" s="699">
        <f ca="1">IF($A73="","",IF(DATA!BF22="",-99,DATA!BF22))</f>
        <v>-99</v>
      </c>
      <c r="S73" s="90">
        <f ca="1">IF($A73="","",IF(DATA!BG22="",-99,DATA!BF22-DATA!BG22))</f>
        <v>-99</v>
      </c>
      <c r="T73" s="90">
        <f ca="1">IF($A73="","",DATA!BH22)</f>
        <v>0.25</v>
      </c>
      <c r="U73" s="90">
        <f ca="1">IF($A73="","",OFFSET(DATA!BM22,0,$D$48))</f>
        <v>66</v>
      </c>
      <c r="V73" s="90">
        <f t="shared" ca="1" si="6"/>
        <v>107</v>
      </c>
      <c r="W73" s="99">
        <f t="shared" ca="1" si="7"/>
        <v>106.99994766600668</v>
      </c>
      <c r="X73" s="112">
        <f t="shared" ca="1" si="8"/>
        <v>117.99994382900672</v>
      </c>
      <c r="Y73" s="90">
        <f t="shared" ca="1" si="9"/>
        <v>7</v>
      </c>
      <c r="AA73" s="90" t="str">
        <f ca="1">IF($Y73="","",IF(OFFSET(C$55,'Intermediate Data'!$Y73,0)=-98,"Unknown",IF(OFFSET(C$55,'Intermediate Data'!$Y73,0)=-99,"N/A",OFFSET(C$55,'Intermediate Data'!$Y73,0))))</f>
        <v>Clothes dryer - Gas</v>
      </c>
      <c r="AB73" s="90">
        <f ca="1">IF($Y73="","",IF(OFFSET(D$55,'Intermediate Data'!$Y73,0)=-98,"N/A",IF(OFFSET(D$55,'Intermediate Data'!$Y73,0)=-99,"N/A",OFFSET(D$55,'Intermediate Data'!$Y73,0))))</f>
        <v>0.46069199999999999</v>
      </c>
      <c r="AC73" s="90">
        <f ca="1">IF($Y73="","",IF(OFFSET(E$55,'Intermediate Data'!$Y73,0)=-98,"N/A",IF(OFFSET(E$55,'Intermediate Data'!$Y73,0)=-99,"N/A",OFFSET(E$55,'Intermediate Data'!$Y73,0))))</f>
        <v>0.40553722744741555</v>
      </c>
      <c r="AD73" s="90">
        <f ca="1">IF($Y73="","",IF(OFFSET(F$55,'Intermediate Data'!$Y73,0)=-98,"N/A",IF(OFFSET(F$55,'Intermediate Data'!$Y73,0)=-99,"N/A",OFFSET(F$55,'Intermediate Data'!$Y73,0))))</f>
        <v>0.45977400000000002</v>
      </c>
      <c r="AE73" s="90">
        <f ca="1">IF($Y73="","",IF(OFFSET(G$55,'Intermediate Data'!$Y73,0)=-98,"N/A",IF(OFFSET(G$55,'Intermediate Data'!$Y73,0)=-99,"N/A",OFFSET(G$55,'Intermediate Data'!$Y73,0))))</f>
        <v>0.45913595064815682</v>
      </c>
      <c r="AF73" s="90">
        <f ca="1">IF($Y73="","",IF(OFFSET(H$55,'Intermediate Data'!$Y73,0)=-98,"N/A",IF(OFFSET(H$55,'Intermediate Data'!$Y73,0)=-99,"N/A",OFFSET(H$55,'Intermediate Data'!$Y73,0))))</f>
        <v>0.47971000000000003</v>
      </c>
      <c r="AG73" s="90">
        <f ca="1">IF($Y73="","",IF(OFFSET(I$55,'Intermediate Data'!$Y73,0)=-98,"N/A",IF(OFFSET(I$55,'Intermediate Data'!$Y73,0)=-99,"N/A",OFFSET(I$55,'Intermediate Data'!$Y73,0))))</f>
        <v>0.47971000000000003</v>
      </c>
      <c r="AH73" s="90" t="str">
        <f ca="1">IF($Y73="","",IF(OFFSET(J$55,'Intermediate Data'!$Y73,0)=-98,"N/A",IF(OFFSET(J$55,'Intermediate Data'!$Y73,0)=-99,"N/A",OFFSET(J$55,'Intermediate Data'!$Y73,0))))</f>
        <v>CLASS</v>
      </c>
      <c r="AI73" s="90" t="str">
        <f ca="1">IF($Y73="","",IF(OFFSET(K$55,'Intermediate Data'!$Y73,0)=-98,"N/A",IF(OFFSET(K$55,'Intermediate Data'!$Y73,0)=-99,"N/A",OFFSET(K$55,'Intermediate Data'!$Y73,0))))</f>
        <v>N/A</v>
      </c>
      <c r="AJ73" s="90" t="str">
        <f ca="1">IF($Y73="","",IF(OFFSET(L$55,'Intermediate Data'!$Y73,0)=-98,"N/A",IF(OFFSET(L$55,'Intermediate Data'!$Y73,0)=-99,"N/A",OFFSET(L$55,'Intermediate Data'!$Y73,0))))</f>
        <v>N/A</v>
      </c>
      <c r="AK73" s="90" t="str">
        <f ca="1">IF($Y73="","",IF(OFFSET(M$55,'Intermediate Data'!$Y73,0)=-98,"N/A",IF(OFFSET(M$55,'Intermediate Data'!$Y73,0)=-99,"N/A",OFFSET(M$55,'Intermediate Data'!$Y73,0))))</f>
        <v>N/A</v>
      </c>
      <c r="AL73" s="90" t="str">
        <f ca="1">IF($Y73="","",IF(OFFSET(N$55,'Intermediate Data'!$Y73,0)=-98,"N/A",IF(OFFSET(N$55,'Intermediate Data'!$Y73,0)=-99,"N/A",OFFSET(N$55,'Intermediate Data'!$Y73,0))))</f>
        <v>N/A</v>
      </c>
      <c r="AM73" s="90" t="str">
        <f ca="1">IF($Y73="","",IF(OFFSET(O$55,'Intermediate Data'!$Y73,0)=-98,"N/A",IF(OFFSET(O$55,'Intermediate Data'!$Y73,0)=-99,"N/A",OFFSET(O$55,'Intermediate Data'!$Y73,0))))</f>
        <v>N/A</v>
      </c>
      <c r="AN73" s="90" t="str">
        <f ca="1">IF($Y73="","",IF(OFFSET(P$55,'Intermediate Data'!$Y73,0)=-98,"N/A",IF(OFFSET(P$55,'Intermediate Data'!$Y73,0)=-99,"N/A",OFFSET(P$55,'Intermediate Data'!$Y73,0))))</f>
        <v>N/A</v>
      </c>
      <c r="AO73" s="90" t="str">
        <f ca="1">IF($Y73="","",IF(OFFSET(Q$55,'Intermediate Data'!$Y73,0)=-98,"N/A",IF(OFFSET(Q$55,'Intermediate Data'!$Y73,0)=-99,"N/A",OFFSET(Q$55,'Intermediate Data'!$Y73,0))))</f>
        <v/>
      </c>
      <c r="AP73" s="697" t="str">
        <f ca="1">IF($Y73="","",IF(OFFSET(S$55,'Intermediate Data'!$Y73,0)=-98,"",IF(OFFSET(S$55,'Intermediate Data'!$Y73,0)=-99,"",OFFSET(S$55,'Intermediate Data'!$Y73,0))))</f>
        <v/>
      </c>
      <c r="AQ73" s="90" t="str">
        <f ca="1">IF($Y73="","",IF(OFFSET(T$55,'Intermediate Data'!$Y73,0)=-98,"Not published",IF(OFFSET(T$55,'Intermediate Data'!$Y73,0)=-99,"",OFFSET(T$55,'Intermediate Data'!$Y73,0))))</f>
        <v/>
      </c>
      <c r="AR73" s="90">
        <f ca="1">IF($Y73="","",IF(OFFSET(U$55,'Intermediate Data'!$Y73,0)=-98,"Unknown",IF(OFFSET(U$55,'Intermediate Data'!$Y73,0)=-99,"",OFFSET(U$55,'Intermediate Data'!$Y73,0))))</f>
        <v>30</v>
      </c>
      <c r="AU73" s="112">
        <f ca="1">IF(AND(OFFSET(DATA!$F22,0,$AX$48)='Intermediate Data'!$AY$48,DATA!$E22="Tier 1"),IF(OR($AX$49=0,$AX$48=1),DATA!A22,IF(AND($AX$49=1,INDEX('Intermediate Data'!$AY$25:$AY$44,MATCH(DATA!$B22,'Intermediate Data'!$AX$25:$AX$44,0))=TRUE),DATA!A22,"")),"")</f>
        <v>18</v>
      </c>
      <c r="AV73" s="112" t="str">
        <f ca="1">IF($AU73="","",DATA!B22)</f>
        <v>Desktop (non-portable computer)</v>
      </c>
      <c r="AW73" s="112">
        <f ca="1">IF(OR($AU73="",DATA!BI22=""),"",DATA!BI22)</f>
        <v>183</v>
      </c>
      <c r="AX73" s="112">
        <f ca="1">IF(OR($AU73="",OFFSET(DATA!BK22,0,$AX$48)=""),"",OFFSET(DATA!BK22,0,$AX$48))</f>
        <v>177.1</v>
      </c>
      <c r="AY73" s="112">
        <f ca="1">IF(OR($AU73="",OFFSET(DATA!BM22,0,$AX$48)=""),"",OFFSET(DATA!BM22,0,$AX$48))</f>
        <v>66</v>
      </c>
      <c r="AZ73" s="112" t="str">
        <f ca="1">IF(OR($AU73="",OFFSET(DATA!BO22,0,'Intermediate Data'!$AX$48)=""),"",OFFSET(DATA!BO22,0,$AX$48))</f>
        <v/>
      </c>
      <c r="BA73" s="112" t="str">
        <f ca="1">IF(OR($AU73="",DATA!BQ22=""),"",DATA!BQ22)</f>
        <v/>
      </c>
      <c r="BB73" s="112">
        <f ca="1">IF($AU73="","",OFFSET(DATA!BS22,0,$AX$48))</f>
        <v>106.24095160323077</v>
      </c>
      <c r="BC73" s="112">
        <f ca="1">IF($AU73="","",OFFSET(DATA!BU22,0,$AX$48))</f>
        <v>106.00141037885901</v>
      </c>
      <c r="BD73" s="112">
        <f ca="1">IF($AU73="","",OFFSET(DATA!BW22,0,$AX$48))</f>
        <v>106.938510324693</v>
      </c>
      <c r="BE73" s="112" t="str">
        <f ca="1">IF($AU73="","",OFFSET(DATA!BY22,0,$AX$48))</f>
        <v>N/A</v>
      </c>
      <c r="BF73" s="112">
        <f ca="1">IF($AU73="","",OFFSET(DATA!CA22,0,$AX$48))</f>
        <v>104.63909444358001</v>
      </c>
      <c r="BG73" s="112" t="str">
        <f ca="1">IF($AU73="","",DATA!CC22)</f>
        <v>N</v>
      </c>
      <c r="BH73" s="112">
        <f ca="1">IF($AU73="","",OFFSET(DATA!CE22,0,$AX$48))</f>
        <v>532705861.22803903</v>
      </c>
      <c r="BI73" s="112">
        <f ca="1">IF($AU73="","",OFFSET(DATA!CG22,0,$AX$48))</f>
        <v>236955211.24013001</v>
      </c>
      <c r="BJ73" s="112">
        <f ca="1">IF($AU73="","",OFFSET(DATA!CI22,0,$AX$48))</f>
        <v>225713983.09731299</v>
      </c>
      <c r="BK73" s="112" t="str">
        <f ca="1">IF($AU73="","",OFFSET(DATA!CK22,0,$AX$48))</f>
        <v>N/A</v>
      </c>
      <c r="BL73" s="112">
        <f ca="1">IF($AU73="","",OFFSET(DATA!CM22,0,$AX$48))</f>
        <v>70036666.890595302</v>
      </c>
      <c r="BM73" s="112">
        <f ca="1">IF($AU73="","",DATA!BH22)</f>
        <v>0.25</v>
      </c>
      <c r="BN73" s="112" t="str">
        <f ca="1">IF($AU73="","",DATA!DS22)</f>
        <v>N/A</v>
      </c>
      <c r="BO73" s="112" t="str">
        <f ca="1">IF($AU73="","",DATA!DU22)</f>
        <v>N/A</v>
      </c>
      <c r="BP73" s="112" t="str">
        <f ca="1">IF($AU73="","",DATA!DV22)</f>
        <v>N/A</v>
      </c>
      <c r="BQ73" s="112">
        <f ca="1">IF($AU73="","",DATA!DX22)</f>
        <v>41792</v>
      </c>
      <c r="BR73" s="112" t="str">
        <f ca="1">IF($AU73="","",DATA!DZ22)</f>
        <v>N/A</v>
      </c>
      <c r="BS73" s="171" t="str">
        <f ca="1">IF($AU73="","",DATA!EA22)</f>
        <v>N/A</v>
      </c>
      <c r="BT73" s="171" t="str">
        <f ca="1">IF($AU73="","",DATA!EC22)</f>
        <v>N/A</v>
      </c>
      <c r="BU73" s="171">
        <f ca="1">IF($AU73="","",DATA!EF22)</f>
        <v>42370</v>
      </c>
      <c r="BV73" s="113">
        <f t="shared" ca="1" si="10"/>
        <v>42370</v>
      </c>
      <c r="BW73" s="680" t="str">
        <f ca="1">IF(AU73="","",OFFSET(DATA!DC22,0,'Intermediate Data'!$AX$48))</f>
        <v>N/A</v>
      </c>
      <c r="BX73" s="681" t="str">
        <f ca="1">IF($AU73="","",DATA!DG22)</f>
        <v>N/A</v>
      </c>
      <c r="BY73" s="680">
        <f ca="1">IF($AU73="","",OFFSET(DATA!DE22,0,'Intermediate Data'!$AX$48))</f>
        <v>50</v>
      </c>
      <c r="BZ73" s="681">
        <f ca="1">IF($AU73="","",DATA!DH22)</f>
        <v>0.15429999999999999</v>
      </c>
      <c r="CA73" s="90">
        <f t="shared" ca="1" si="11"/>
        <v>177.1</v>
      </c>
      <c r="CB73" s="99">
        <f t="shared" ca="1" si="12"/>
        <v>177.10073</v>
      </c>
      <c r="CC73" s="90">
        <f t="shared" ca="1" si="13"/>
        <v>6.2000000000000003E-5</v>
      </c>
      <c r="CD73" s="90">
        <f t="shared" ca="1" si="14"/>
        <v>7</v>
      </c>
      <c r="CF73" s="90" t="str">
        <f ca="1">IF($CD73="","",IF(OFFSET(AV$55,'Intermediate Data'!$CD73,0)=-98,"Unknown",IF(OFFSET(AV$55,'Intermediate Data'!$CD73,0)=-99,"N/A",OFFSET(AV$55,'Intermediate Data'!$CD73,0))))</f>
        <v>Clothes dryer - Gas</v>
      </c>
      <c r="CG73" s="90" t="str">
        <f ca="1">IF($CD73="","",IF(OFFSET(AW$55,'Intermediate Data'!$CD73,0)=-98,"",IF(OFFSET(AW$55,'Intermediate Data'!$CD73,0)=-99,"N/A",OFFSET(AW$55,'Intermediate Data'!$CD73,0))))</f>
        <v/>
      </c>
      <c r="CH73" s="90" t="str">
        <f ca="1">IF($CD73="","",IF(OFFSET(AX$55,'Intermediate Data'!$CD73,0)=-98,"Unknown",IF(OFFSET(AX$55,'Intermediate Data'!$CD73,0)=-99,"N/A",OFFSET(AX$55,'Intermediate Data'!$CD73,0))))</f>
        <v/>
      </c>
      <c r="CI73" s="125">
        <f ca="1">IF($CD73="","",IF(OFFSET(AY$55,'Intermediate Data'!$CD73,0)=-98,"Unknown",IF(OFFSET(AY$55,'Intermediate Data'!$CD73,0)=-99,"No spec",OFFSET(AY$55,'Intermediate Data'!$CD73,0))))</f>
        <v>30</v>
      </c>
      <c r="CJ73" s="125" t="str">
        <f ca="1">IF($CD73="","",IF(OFFSET(AZ$55,'Intermediate Data'!$CD73,0)=-98,"Unknown",IF(OFFSET(AZ$55,'Intermediate Data'!$CD73,0)=-99,"N/A",OFFSET(AZ$55,'Intermediate Data'!$CD73,0))))</f>
        <v/>
      </c>
      <c r="CK73" s="90" t="str">
        <f ca="1">IF($CD73="","",IF(OFFSET(BA$55,'Intermediate Data'!$CD73,0)=-98,"Unknown",IF(OFFSET(BA$55,'Intermediate Data'!$CD73,0)=-99,"N/A",OFFSET(BA$55,'Intermediate Data'!$CD73,0))))</f>
        <v/>
      </c>
      <c r="CL73" s="90" t="str">
        <f ca="1">IF($CD73="","",IF(OFFSET(BB$55,'Intermediate Data'!$CD73,$AX$50)=-98,"Unknown",IF(OFFSET(BB$55,'Intermediate Data'!$CD73,$AX$50)="N/A","",OFFSET(BB$55,'Intermediate Data'!$CD73,$AX$50))))</f>
        <v/>
      </c>
      <c r="CM73" s="90" t="str">
        <f ca="1">IF($CD73="","",IF(OFFSET(BG$55,'Intermediate Data'!$CD73,0)="ET","ET",""))</f>
        <v/>
      </c>
      <c r="CN73" s="90" t="str">
        <f ca="1">IF($CD73="","",IF(OFFSET(BH$55,'Intermediate Data'!$CD73,$AX$50)=-98,"Unknown",IF(OFFSET(BH$55,'Intermediate Data'!$CD73,$AX$50)="N/A","",OFFSET(BH$55,'Intermediate Data'!$CD73,$AX$50))))</f>
        <v/>
      </c>
      <c r="CO73" s="90" t="str">
        <f ca="1">IF($CD73="","",IF(OFFSET(BM$55,'Intermediate Data'!$CD73,0)=-98,"Not published",IF(OFFSET(BM$55,'Intermediate Data'!$CD73,0)=-99,"No spec",OFFSET(BM$55,'Intermediate Data'!$CD73,0))))</f>
        <v>No spec</v>
      </c>
      <c r="CP73" s="114">
        <f ca="1">IF($CD73="","",IF(OFFSET(BN$55,'Intermediate Data'!$CD73,0)=-98,"Unknown",IF(OFFSET(BN$55,'Intermediate Data'!$CD73,0)=-99,"N/A",OFFSET(BN$55,'Intermediate Data'!$CD73,0))))</f>
        <v>34468</v>
      </c>
      <c r="CQ73" s="114" t="str">
        <f ca="1">IF($CD73="","",IF(OFFSET(BO$55,'Intermediate Data'!$CD73,0)=-98,"Unknown",IF(OFFSET(BO$55,'Intermediate Data'!$CD73,0)=-99,"N/A",OFFSET(BO$55,'Intermediate Data'!$CD73,0))))</f>
        <v>Final</v>
      </c>
      <c r="CR73" s="114">
        <f ca="1">IF($CD73="","",IF(OFFSET(BP$55,'Intermediate Data'!$CD73,0)=-98,"Unknown",IF(OFFSET(BP$55,'Intermediate Data'!$CD73,0)=-99,"N/A",OFFSET(BP$55,'Intermediate Data'!$CD73,0))))</f>
        <v>42005</v>
      </c>
      <c r="CS73" s="114" t="str">
        <f ca="1">IF($CD73="","",IF(OFFSET(BQ$55,'Intermediate Data'!$CD73,0)=-98,"Unknown",IF(OFFSET(BQ$55,'Intermediate Data'!$CD73,0)=-99,"N/A",OFFSET(BQ$55,'Intermediate Data'!$CD73,0))))</f>
        <v>N/A</v>
      </c>
      <c r="CT73" s="114" t="str">
        <f ca="1">IF($CD73="","",IF(OFFSET(BR$55,'Intermediate Data'!$CD73,0)=-98,"Unknown",IF(OFFSET(BR$55,'Intermediate Data'!$CD73,0)=-99,"N/A",OFFSET(BR$55,'Intermediate Data'!$CD73,0))))</f>
        <v>In Process</v>
      </c>
      <c r="CU73" s="114">
        <f ca="1">IF($CD73="","",IF(OFFSET(BS$55,'Intermediate Data'!$CD73,0)=-98,"Unknown",IF(OFFSET(BS$55,'Intermediate Data'!$CD73,0)=-99,"N/A",OFFSET(BS$55,'Intermediate Data'!$CD73,0))))</f>
        <v>42005</v>
      </c>
      <c r="CV73" s="114" t="str">
        <f ca="1">IF($CD73="","",IF(OFFSET(BT$55,'Intermediate Data'!$CD73,0)=-98,"Unknown",IF(OFFSET(BT$55,'Intermediate Data'!$CD73,0)=-99,"N/A",OFFSET(BT$55,'Intermediate Data'!$CD73,0))))</f>
        <v>Federal</v>
      </c>
      <c r="CW73" s="114" t="str">
        <f ca="1">IF($CD73="","",IF(OFFSET(BU$55,'Intermediate Data'!$CD73,0)=-98,"Unknown",IF(OFFSET(BU$55,'Intermediate Data'!$CD73,0)=-99,"N/A",OFFSET(BU$55,'Intermediate Data'!$CD73,0))))</f>
        <v>N/A</v>
      </c>
      <c r="CX73" s="114">
        <f ca="1">IF($CD73="","",IF(OFFSET(BV$55,'Intermediate Data'!$CD73,0)=-98,"Unknown",IF(OFFSET(BV$55,'Intermediate Data'!$CD73,0)=-99,"N/A",OFFSET(BV$55,'Intermediate Data'!$CD73,0))))</f>
        <v>42005</v>
      </c>
      <c r="CY73" s="682" t="str">
        <f ca="1">IF($CD73="","",IF(OFFSET(BW$55,'Intermediate Data'!$CD73,0)=-98,"Unknown",IF(OFFSET(BW$55,'Intermediate Data'!$CD73,0)="N/A","",OFFSET(BW$55,'Intermediate Data'!$CD73,0))))</f>
        <v/>
      </c>
      <c r="CZ73" s="682" t="str">
        <f ca="1">IF($CD73="","",IF(OFFSET(BX$55,'Intermediate Data'!$CD73,0)=-98,"Unknown",IF(OFFSET(BX$55,'Intermediate Data'!$CD73,0)="N/A","",OFFSET(BX$55,'Intermediate Data'!$CD73,0))))</f>
        <v/>
      </c>
      <c r="DA73" s="682" t="str">
        <f ca="1">IF($CD73="","",IF(OFFSET(BY$55,'Intermediate Data'!$CD73,0)=-98,"Unknown",IF(OFFSET(BY$55,'Intermediate Data'!$CD73,0)="N/A","",OFFSET(BY$55,'Intermediate Data'!$CD73,0))))</f>
        <v/>
      </c>
      <c r="DB73" s="682" t="str">
        <f ca="1">IF($CD73="","",IF(OFFSET(BZ$55,'Intermediate Data'!$CD73,0)=-98,"Unknown",IF(OFFSET(BZ$55,'Intermediate Data'!$CD73,0)="N/A","",OFFSET(BZ$55,'Intermediate Data'!$CD73,0))))</f>
        <v/>
      </c>
    </row>
    <row r="74" spans="1:106" x14ac:dyDescent="0.2">
      <c r="A74" s="90">
        <f ca="1">IF(OFFSET(DATA!F23,0,$D$48)='Intermediate Data'!$E$48,IF(OR($E$49=$C$27,$E$48=$B$4),DATA!A23,IF($G$49=DATA!D23,DATA!A23,"")),"")</f>
        <v>19</v>
      </c>
      <c r="B74" s="90">
        <f ca="1">IF($A74="","",DATA!EH23)</f>
        <v>104</v>
      </c>
      <c r="C74" s="90" t="str">
        <f ca="1">IF($A74="","",DATA!B23)</f>
        <v>Display</v>
      </c>
      <c r="D74" s="90">
        <f ca="1">IF($A74="","",OFFSET(DATA!$H23,0,($D$50*5)))</f>
        <v>-99</v>
      </c>
      <c r="E74" s="90">
        <f ca="1">IF($A74="","",OFFSET(DATA!$H23,0,($D$50*5)+1))</f>
        <v>-99</v>
      </c>
      <c r="F74" s="90">
        <f ca="1">IF($A74="","",OFFSET(DATA!$H23,0,($D$50*5)+2))</f>
        <v>-99</v>
      </c>
      <c r="G74" s="90">
        <f ca="1">IF($A74="","",OFFSET(DATA!$H23,0,($D$50*5)+3))</f>
        <v>-99</v>
      </c>
      <c r="H74" s="90">
        <f ca="1">IF($A74="","",OFFSET(DATA!$H23,0,($D$50*5)+4))</f>
        <v>-99</v>
      </c>
      <c r="I74" s="90">
        <f t="shared" ca="1" si="2"/>
        <v>-99</v>
      </c>
      <c r="J74" s="90" t="str">
        <f t="shared" ca="1" si="3"/>
        <v/>
      </c>
      <c r="K74" s="90">
        <f ca="1">IF($A74="","",OFFSET(DATA!$AG23,0,($D$50*5)))</f>
        <v>-99</v>
      </c>
      <c r="L74" s="90">
        <f ca="1">IF($A74="","",OFFSET(DATA!$AG23,0,($D$50*5)+1))</f>
        <v>-99</v>
      </c>
      <c r="M74" s="90">
        <f ca="1">IF($A74="","",OFFSET(DATA!$AG23,0,($D$50*5)+2))</f>
        <v>-99</v>
      </c>
      <c r="N74" s="90">
        <f ca="1">IF($A74="","",OFFSET(DATA!$AG23,0,($D$50*5)+3))</f>
        <v>-99</v>
      </c>
      <c r="O74" s="90">
        <f ca="1">IF($A74="","",OFFSET(DATA!$AG23,0,($D$50*5)+4))</f>
        <v>-99</v>
      </c>
      <c r="P74" s="90">
        <f t="shared" ca="1" si="4"/>
        <v>-99</v>
      </c>
      <c r="Q74" s="90" t="str">
        <f t="shared" ca="1" si="5"/>
        <v/>
      </c>
      <c r="R74" s="699">
        <f ca="1">IF($A74="","",IF(DATA!BF23="",-99,DATA!BF23))</f>
        <v>-99</v>
      </c>
      <c r="S74" s="90">
        <f ca="1">IF($A74="","",IF(DATA!BG23="",-99,DATA!BF23-DATA!BG23))</f>
        <v>-99</v>
      </c>
      <c r="T74" s="90">
        <f ca="1">IF($A74="","",DATA!BH23)</f>
        <v>0.82</v>
      </c>
      <c r="U74" s="90">
        <f ca="1">IF($A74="","",OFFSET(DATA!BM23,0,$D$48))</f>
        <v>9</v>
      </c>
      <c r="V74" s="90">
        <f t="shared" ca="1" si="6"/>
        <v>104</v>
      </c>
      <c r="W74" s="99">
        <f t="shared" ca="1" si="7"/>
        <v>103.99990198274</v>
      </c>
      <c r="X74" s="112">
        <f t="shared" ca="1" si="8"/>
        <v>116.99988120077001</v>
      </c>
      <c r="Y74" s="90">
        <f t="shared" ca="1" si="9"/>
        <v>22</v>
      </c>
      <c r="AA74" s="90" t="str">
        <f ca="1">IF($Y74="","",IF(OFFSET(C$55,'Intermediate Data'!$Y74,0)=-98,"Unknown",IF(OFFSET(C$55,'Intermediate Data'!$Y74,0)=-99,"N/A",OFFSET(C$55,'Intermediate Data'!$Y74,0))))</f>
        <v>Clothes iron</v>
      </c>
      <c r="AB74" s="90" t="str">
        <f ca="1">IF($Y74="","",IF(OFFSET(D$55,'Intermediate Data'!$Y74,0)=-98,"N/A",IF(OFFSET(D$55,'Intermediate Data'!$Y74,0)=-99,"N/A",OFFSET(D$55,'Intermediate Data'!$Y74,0))))</f>
        <v>N/A</v>
      </c>
      <c r="AC74" s="90" t="str">
        <f ca="1">IF($Y74="","",IF(OFFSET(E$55,'Intermediate Data'!$Y74,0)=-98,"N/A",IF(OFFSET(E$55,'Intermediate Data'!$Y74,0)=-99,"N/A",OFFSET(E$55,'Intermediate Data'!$Y74,0))))</f>
        <v>N/A</v>
      </c>
      <c r="AD74" s="90" t="str">
        <f ca="1">IF($Y74="","",IF(OFFSET(F$55,'Intermediate Data'!$Y74,0)=-98,"N/A",IF(OFFSET(F$55,'Intermediate Data'!$Y74,0)=-99,"N/A",OFFSET(F$55,'Intermediate Data'!$Y74,0))))</f>
        <v>N/A</v>
      </c>
      <c r="AE74" s="90" t="str">
        <f ca="1">IF($Y74="","",IF(OFFSET(G$55,'Intermediate Data'!$Y74,0)=-98,"N/A",IF(OFFSET(G$55,'Intermediate Data'!$Y74,0)=-99,"N/A",OFFSET(G$55,'Intermediate Data'!$Y74,0))))</f>
        <v>N/A</v>
      </c>
      <c r="AF74" s="90" t="str">
        <f ca="1">IF($Y74="","",IF(OFFSET(H$55,'Intermediate Data'!$Y74,0)=-98,"N/A",IF(OFFSET(H$55,'Intermediate Data'!$Y74,0)=-99,"N/A",OFFSET(H$55,'Intermediate Data'!$Y74,0))))</f>
        <v>N/A</v>
      </c>
      <c r="AG74" s="90" t="str">
        <f ca="1">IF($Y74="","",IF(OFFSET(I$55,'Intermediate Data'!$Y74,0)=-98,"N/A",IF(OFFSET(I$55,'Intermediate Data'!$Y74,0)=-99,"N/A",OFFSET(I$55,'Intermediate Data'!$Y74,0))))</f>
        <v>N/A</v>
      </c>
      <c r="AH74" s="90" t="str">
        <f ca="1">IF($Y74="","",IF(OFFSET(J$55,'Intermediate Data'!$Y74,0)=-98,"N/A",IF(OFFSET(J$55,'Intermediate Data'!$Y74,0)=-99,"N/A",OFFSET(J$55,'Intermediate Data'!$Y74,0))))</f>
        <v/>
      </c>
      <c r="AI74" s="90" t="str">
        <f ca="1">IF($Y74="","",IF(OFFSET(K$55,'Intermediate Data'!$Y74,0)=-98,"N/A",IF(OFFSET(K$55,'Intermediate Data'!$Y74,0)=-99,"N/A",OFFSET(K$55,'Intermediate Data'!$Y74,0))))</f>
        <v>N/A</v>
      </c>
      <c r="AJ74" s="90" t="str">
        <f ca="1">IF($Y74="","",IF(OFFSET(L$55,'Intermediate Data'!$Y74,0)=-98,"N/A",IF(OFFSET(L$55,'Intermediate Data'!$Y74,0)=-99,"N/A",OFFSET(L$55,'Intermediate Data'!$Y74,0))))</f>
        <v>N/A</v>
      </c>
      <c r="AK74" s="90" t="str">
        <f ca="1">IF($Y74="","",IF(OFFSET(M$55,'Intermediate Data'!$Y74,0)=-98,"N/A",IF(OFFSET(M$55,'Intermediate Data'!$Y74,0)=-99,"N/A",OFFSET(M$55,'Intermediate Data'!$Y74,0))))</f>
        <v>N/A</v>
      </c>
      <c r="AL74" s="90" t="str">
        <f ca="1">IF($Y74="","",IF(OFFSET(N$55,'Intermediate Data'!$Y74,0)=-98,"N/A",IF(OFFSET(N$55,'Intermediate Data'!$Y74,0)=-99,"N/A",OFFSET(N$55,'Intermediate Data'!$Y74,0))))</f>
        <v>N/A</v>
      </c>
      <c r="AM74" s="90" t="str">
        <f ca="1">IF($Y74="","",IF(OFFSET(O$55,'Intermediate Data'!$Y74,0)=-98,"N/A",IF(OFFSET(O$55,'Intermediate Data'!$Y74,0)=-99,"N/A",OFFSET(O$55,'Intermediate Data'!$Y74,0))))</f>
        <v>N/A</v>
      </c>
      <c r="AN74" s="90" t="str">
        <f ca="1">IF($Y74="","",IF(OFFSET(P$55,'Intermediate Data'!$Y74,0)=-98,"N/A",IF(OFFSET(P$55,'Intermediate Data'!$Y74,0)=-99,"N/A",OFFSET(P$55,'Intermediate Data'!$Y74,0))))</f>
        <v>N/A</v>
      </c>
      <c r="AO74" s="90" t="str">
        <f ca="1">IF($Y74="","",IF(OFFSET(Q$55,'Intermediate Data'!$Y74,0)=-98,"N/A",IF(OFFSET(Q$55,'Intermediate Data'!$Y74,0)=-99,"N/A",OFFSET(Q$55,'Intermediate Data'!$Y74,0))))</f>
        <v/>
      </c>
      <c r="AP74" s="697" t="str">
        <f ca="1">IF($Y74="","",IF(OFFSET(S$55,'Intermediate Data'!$Y74,0)=-98,"",IF(OFFSET(S$55,'Intermediate Data'!$Y74,0)=-99,"",OFFSET(S$55,'Intermediate Data'!$Y74,0))))</f>
        <v/>
      </c>
      <c r="AQ74" s="90" t="str">
        <f ca="1">IF($Y74="","",IF(OFFSET(T$55,'Intermediate Data'!$Y74,0)=-98,"Not published",IF(OFFSET(T$55,'Intermediate Data'!$Y74,0)=-99,"",OFFSET(T$55,'Intermediate Data'!$Y74,0))))</f>
        <v/>
      </c>
      <c r="AR74" s="90" t="str">
        <f ca="1">IF($Y74="","",IF(OFFSET(U$55,'Intermediate Data'!$Y74,0)=-98,"Unknown",IF(OFFSET(U$55,'Intermediate Data'!$Y74,0)=-99,"",OFFSET(U$55,'Intermediate Data'!$Y74,0))))</f>
        <v/>
      </c>
      <c r="AU74" s="112">
        <f ca="1">IF(AND(OFFSET(DATA!$F23,0,$AX$48)='Intermediate Data'!$AY$48,DATA!$E23="Tier 1"),IF(OR($AX$49=0,$AX$48=1),DATA!A23,IF(AND($AX$49=1,INDEX('Intermediate Data'!$AY$25:$AY$44,MATCH(DATA!$B23,'Intermediate Data'!$AX$25:$AX$44,0))=TRUE),DATA!A23,"")),"")</f>
        <v>19</v>
      </c>
      <c r="AV74" s="112" t="str">
        <f ca="1">IF($AU74="","",DATA!B23)</f>
        <v>Display</v>
      </c>
      <c r="AW74" s="112">
        <f ca="1">IF(OR($AU74="",DATA!BI23=""),"",DATA!BI23)</f>
        <v>70</v>
      </c>
      <c r="AX74" s="112">
        <f ca="1">IF(OR($AU74="",OFFSET(DATA!BK23,0,$AX$48)=""),"",OFFSET(DATA!BK23,0,$AX$48))</f>
        <v>58.5</v>
      </c>
      <c r="AY74" s="112">
        <f ca="1">IF(OR($AU74="",OFFSET(DATA!BM23,0,$AX$48)=""),"",OFFSET(DATA!BM23,0,$AX$48))</f>
        <v>9</v>
      </c>
      <c r="AZ74" s="112" t="str">
        <f ca="1">IF(OR($AU74="",OFFSET(DATA!BO23,0,'Intermediate Data'!$AX$48)=""),"",OFFSET(DATA!BO23,0,$AX$48))</f>
        <v/>
      </c>
      <c r="BA74" s="112" t="str">
        <f ca="1">IF(OR($AU74="",DATA!BQ23=""),"",DATA!BQ23)</f>
        <v/>
      </c>
      <c r="BB74" s="112">
        <f ca="1">IF($AU74="","",OFFSET(DATA!BS23,0,$AX$48))</f>
        <v>21.043970129418529</v>
      </c>
      <c r="BC74" s="112">
        <f ca="1">IF($AU74="","",OFFSET(DATA!BU23,0,$AX$48))</f>
        <v>21.043970122934098</v>
      </c>
      <c r="BD74" s="112">
        <f ca="1">IF($AU74="","",OFFSET(DATA!BW23,0,$AX$48))</f>
        <v>21.0439701439781</v>
      </c>
      <c r="BE74" s="112" t="str">
        <f ca="1">IF($AU74="","",OFFSET(DATA!BY23,0,$AX$48))</f>
        <v>N/A</v>
      </c>
      <c r="BF74" s="112">
        <f ca="1">IF($AU74="","",OFFSET(DATA!CA23,0,$AX$48))</f>
        <v>21.0439701018901</v>
      </c>
      <c r="BG74" s="112" t="str">
        <f ca="1">IF($AU74="","",DATA!CC23)</f>
        <v>N</v>
      </c>
      <c r="BH74" s="112">
        <f ca="1">IF($AU74="","",OFFSET(DATA!CE23,0,$AX$48))</f>
        <v>53396357.2444622</v>
      </c>
      <c r="BI74" s="112">
        <f ca="1">IF($AU74="","",OFFSET(DATA!CG23,0,$AX$48))</f>
        <v>23710998.727088101</v>
      </c>
      <c r="BJ74" s="112">
        <f ca="1">IF($AU74="","",OFFSET(DATA!CI23,0,$AX$48))</f>
        <v>22506385.027265001</v>
      </c>
      <c r="BK74" s="112" t="str">
        <f ca="1">IF($AU74="","",OFFSET(DATA!CK23,0,$AX$48))</f>
        <v>N/A</v>
      </c>
      <c r="BL74" s="112">
        <f ca="1">IF($AU74="","",OFFSET(DATA!CM23,0,$AX$48))</f>
        <v>7178973.49010906</v>
      </c>
      <c r="BM74" s="112">
        <f ca="1">IF($AU74="","",DATA!BH23)</f>
        <v>0.82</v>
      </c>
      <c r="BN74" s="112" t="str">
        <f ca="1">IF($AU74="","",DATA!DS23)</f>
        <v>N/A</v>
      </c>
      <c r="BO74" s="112" t="str">
        <f ca="1">IF($AU74="","",DATA!DU23)</f>
        <v>N/A</v>
      </c>
      <c r="BP74" s="112" t="str">
        <f ca="1">IF($AU74="","",DATA!DV23)</f>
        <v>N/A</v>
      </c>
      <c r="BQ74" s="112">
        <f ca="1">IF($AU74="","",DATA!DX23)</f>
        <v>41426</v>
      </c>
      <c r="BR74" s="112" t="str">
        <f ca="1">IF($AU74="","",DATA!DZ23)</f>
        <v>In Process</v>
      </c>
      <c r="BS74" s="171">
        <f ca="1">IF($AU74="","",DATA!EA23)</f>
        <v>42248</v>
      </c>
      <c r="BT74" s="171" t="str">
        <f ca="1">IF($AU74="","",DATA!EC23)</f>
        <v>N/A</v>
      </c>
      <c r="BU74" s="171" t="str">
        <f ca="1">IF($AU74="","",DATA!EF23)</f>
        <v>Unknown</v>
      </c>
      <c r="BV74" s="113">
        <f t="shared" ca="1" si="10"/>
        <v>42248</v>
      </c>
      <c r="BW74" s="680" t="str">
        <f ca="1">IF(AU74="","",OFFSET(DATA!DC23,0,'Intermediate Data'!$AX$48))</f>
        <v>N/A</v>
      </c>
      <c r="BX74" s="681" t="str">
        <f ca="1">IF($AU74="","",DATA!DG23)</f>
        <v>N/A</v>
      </c>
      <c r="BY74" s="680">
        <f ca="1">IF($AU74="","",OFFSET(DATA!DE23,0,'Intermediate Data'!$AX$48))</f>
        <v>17</v>
      </c>
      <c r="BZ74" s="681">
        <f ca="1">IF($AU74="","",DATA!DH23)</f>
        <v>0.15429999999999999</v>
      </c>
      <c r="CA74" s="90">
        <f t="shared" ca="1" si="11"/>
        <v>58.5</v>
      </c>
      <c r="CB74" s="99">
        <f t="shared" ca="1" si="12"/>
        <v>58.50074</v>
      </c>
      <c r="CC74" s="90">
        <f t="shared" ca="1" si="13"/>
        <v>6.0000000000000002E-5</v>
      </c>
      <c r="CD74" s="90">
        <f t="shared" ca="1" si="14"/>
        <v>5</v>
      </c>
      <c r="CF74" s="90" t="str">
        <f ca="1">IF($CD74="","",IF(OFFSET(AV$55,'Intermediate Data'!$CD74,0)=-98,"Unknown",IF(OFFSET(AV$55,'Intermediate Data'!$CD74,0)=-99,"N/A",OFFSET(AV$55,'Intermediate Data'!$CD74,0))))</f>
        <v>Refrigerator/freezer</v>
      </c>
      <c r="CG74" s="90" t="str">
        <f ca="1">IF($CD74="","",IF(OFFSET(AW$55,'Intermediate Data'!$CD74,0)=-98,"",IF(OFFSET(AW$55,'Intermediate Data'!$CD74,0)=-99,"N/A",OFFSET(AW$55,'Intermediate Data'!$CD74,0))))</f>
        <v/>
      </c>
      <c r="CH74" s="90" t="str">
        <f ca="1">IF($CD74="","",IF(OFFSET(AX$55,'Intermediate Data'!$CD74,0)=-98,"Unknown",IF(OFFSET(AX$55,'Intermediate Data'!$CD74,0)=-99,"N/A",OFFSET(AX$55,'Intermediate Data'!$CD74,0))))</f>
        <v/>
      </c>
      <c r="CI74" s="125">
        <f ca="1">IF($CD74="","",IF(OFFSET(AY$55,'Intermediate Data'!$CD74,0)=-98,"Unknown",IF(OFFSET(AY$55,'Intermediate Data'!$CD74,0)=-99,"No spec",OFFSET(AY$55,'Intermediate Data'!$CD74,0))))</f>
        <v>50</v>
      </c>
      <c r="CJ74" s="125">
        <f ca="1">IF($CD74="","",IF(OFFSET(AZ$55,'Intermediate Data'!$CD74,0)=-98,"Unknown",IF(OFFSET(AZ$55,'Intermediate Data'!$CD74,0)=-99,"N/A",OFFSET(AZ$55,'Intermediate Data'!$CD74,0))))</f>
        <v>232</v>
      </c>
      <c r="CK74" s="90" t="str">
        <f ca="1">IF($CD74="","",IF(OFFSET(BA$55,'Intermediate Data'!$CD74,0)=-98,"Unknown",IF(OFFSET(BA$55,'Intermediate Data'!$CD74,0)=-99,"N/A",OFFSET(BA$55,'Intermediate Data'!$CD74,0))))</f>
        <v>Max Tech</v>
      </c>
      <c r="CL74" s="90">
        <f ca="1">IF($CD74="","",IF(OFFSET(BB$55,'Intermediate Data'!$CD74,$AX$50)=-98,"Unknown",IF(OFFSET(BB$55,'Intermediate Data'!$CD74,$AX$50)="N/A","",OFFSET(BB$55,'Intermediate Data'!$CD74,$AX$50))))</f>
        <v>82.023784480871115</v>
      </c>
      <c r="CM74" s="90" t="str">
        <f ca="1">IF($CD74="","",IF(OFFSET(BG$55,'Intermediate Data'!$CD74,0)="ET","ET",""))</f>
        <v>ET</v>
      </c>
      <c r="CN74" s="90">
        <f ca="1">IF($CD74="","",IF(OFFSET(BH$55,'Intermediate Data'!$CD74,$AX$50)=-98,"Unknown",IF(OFFSET(BH$55,'Intermediate Data'!$CD74,$AX$50)="N/A","",OFFSET(BH$55,'Intermediate Data'!$CD74,$AX$50))))</f>
        <v>411382306.21284002</v>
      </c>
      <c r="CO74" s="90">
        <f ca="1">IF($CD74="","",IF(OFFSET(BM$55,'Intermediate Data'!$CD74,0)=-98,"Not published",IF(OFFSET(BM$55,'Intermediate Data'!$CD74,0)=-99,"No spec",OFFSET(BM$55,'Intermediate Data'!$CD74,0))))</f>
        <v>0.74</v>
      </c>
      <c r="CP74" s="114">
        <f ca="1">IF($CD74="","",IF(OFFSET(BN$55,'Intermediate Data'!$CD74,0)=-98,"Unknown",IF(OFFSET(BN$55,'Intermediate Data'!$CD74,0)=-99,"N/A",OFFSET(BN$55,'Intermediate Data'!$CD74,0))))</f>
        <v>37073</v>
      </c>
      <c r="CQ74" s="114" t="str">
        <f ca="1">IF($CD74="","",IF(OFFSET(BO$55,'Intermediate Data'!$CD74,0)=-98,"Unknown",IF(OFFSET(BO$55,'Intermediate Data'!$CD74,0)=-99,"N/A",OFFSET(BO$55,'Intermediate Data'!$CD74,0))))</f>
        <v>Final</v>
      </c>
      <c r="CR74" s="114">
        <f ca="1">IF($CD74="","",IF(OFFSET(BP$55,'Intermediate Data'!$CD74,0)=-98,"Unknown",IF(OFFSET(BP$55,'Intermediate Data'!$CD74,0)=-99,"N/A",OFFSET(BP$55,'Intermediate Data'!$CD74,0))))</f>
        <v>41897</v>
      </c>
      <c r="CS74" s="114">
        <f ca="1">IF($CD74="","",IF(OFFSET(BQ$55,'Intermediate Data'!$CD74,0)=-98,"Unknown",IF(OFFSET(BQ$55,'Intermediate Data'!$CD74,0)=-99,"N/A",OFFSET(BQ$55,'Intermediate Data'!$CD74,0))))</f>
        <v>39566</v>
      </c>
      <c r="CT74" s="114" t="str">
        <f ca="1">IF($CD74="","",IF(OFFSET(BR$55,'Intermediate Data'!$CD74,0)=-98,"Unknown",IF(OFFSET(BR$55,'Intermediate Data'!$CD74,0)=-99,"N/A",OFFSET(BR$55,'Intermediate Data'!$CD74,0))))</f>
        <v>Final</v>
      </c>
      <c r="CU74" s="114">
        <f ca="1">IF($CD74="","",IF(OFFSET(BS$55,'Intermediate Data'!$CD74,0)=-98,"Unknown",IF(OFFSET(BS$55,'Intermediate Data'!$CD74,0)=-99,"N/A",OFFSET(BS$55,'Intermediate Data'!$CD74,0))))</f>
        <v>41897</v>
      </c>
      <c r="CV74" s="114" t="str">
        <f ca="1">IF($CD74="","",IF(OFFSET(BT$55,'Intermediate Data'!$CD74,0)=-98,"Unknown",IF(OFFSET(BT$55,'Intermediate Data'!$CD74,0)=-99,"N/A",OFFSET(BT$55,'Intermediate Data'!$CD74,0))))</f>
        <v>Federal</v>
      </c>
      <c r="CW74" s="114" t="str">
        <f ca="1">IF($CD74="","",IF(OFFSET(BU$55,'Intermediate Data'!$CD74,0)=-98,"Unknown",IF(OFFSET(BU$55,'Intermediate Data'!$CD74,0)=-99,"N/A",OFFSET(BU$55,'Intermediate Data'!$CD74,0))))</f>
        <v>N/A</v>
      </c>
      <c r="CX74" s="114">
        <f ca="1">IF($CD74="","",IF(OFFSET(BV$55,'Intermediate Data'!$CD74,0)=-98,"Unknown",IF(OFFSET(BV$55,'Intermediate Data'!$CD74,0)=-99,"N/A",OFFSET(BV$55,'Intermediate Data'!$CD74,0))))</f>
        <v>41897</v>
      </c>
      <c r="CY74" s="682" t="str">
        <f ca="1">IF($CD74="","",IF(OFFSET(BW$55,'Intermediate Data'!$CD74,0)=-98,"Unknown",IF(OFFSET(BW$55,'Intermediate Data'!$CD74,0)="N/A","",OFFSET(BW$55,'Intermediate Data'!$CD74,0))))</f>
        <v/>
      </c>
      <c r="CZ74" s="682" t="str">
        <f ca="1">IF($CD74="","",IF(OFFSET(BX$55,'Intermediate Data'!$CD74,0)=-98,"Unknown",IF(OFFSET(BX$55,'Intermediate Data'!$CD74,0)="N/A","",OFFSET(BX$55,'Intermediate Data'!$CD74,0))))</f>
        <v/>
      </c>
      <c r="DA74" s="682" t="str">
        <f ca="1">IF($CD74="","",IF(OFFSET(BY$55,'Intermediate Data'!$CD74,0)=-98,"Unknown",IF(OFFSET(BY$55,'Intermediate Data'!$CD74,0)="N/A","",OFFSET(BY$55,'Intermediate Data'!$CD74,0))))</f>
        <v/>
      </c>
      <c r="DB74" s="682" t="str">
        <f ca="1">IF($CD74="","",IF(OFFSET(BZ$55,'Intermediate Data'!$CD74,0)=-98,"Unknown",IF(OFFSET(BZ$55,'Intermediate Data'!$CD74,0)="N/A","",OFFSET(BZ$55,'Intermediate Data'!$CD74,0))))</f>
        <v/>
      </c>
    </row>
    <row r="75" spans="1:106" x14ac:dyDescent="0.2">
      <c r="A75" s="90">
        <f ca="1">IF(OFFSET(DATA!F24,0,$D$48)='Intermediate Data'!$E$48,IF(OR($E$49=$C$27,$E$48=$B$4),DATA!A24,IF($G$49=DATA!D24,DATA!A24,"")),"")</f>
        <v>20</v>
      </c>
      <c r="B75" s="90">
        <f ca="1">IF($A75="","",DATA!EH24)</f>
        <v>76</v>
      </c>
      <c r="C75" s="90" t="str">
        <f ca="1">IF($A75="","",DATA!B24)</f>
        <v>Hot water heater - Electric</v>
      </c>
      <c r="D75" s="90">
        <f ca="1">IF($A75="","",OFFSET(DATA!$H24,0,($D$50*5)))</f>
        <v>7.2999999999999995E-2</v>
      </c>
      <c r="E75" s="90">
        <f ca="1">IF($A75="","",OFFSET(DATA!$H24,0,($D$50*5)+1))</f>
        <v>8.1475309560136114E-2</v>
      </c>
      <c r="F75" s="90">
        <f ca="1">IF($A75="","",OFFSET(DATA!$H24,0,($D$50*5)+2))</f>
        <v>0.06</v>
      </c>
      <c r="G75" s="90">
        <f ca="1">IF($A75="","",OFFSET(DATA!$H24,0,($D$50*5)+3))</f>
        <v>8.8999273039475593E-2</v>
      </c>
      <c r="H75" s="90">
        <f ca="1">IF($A75="","",OFFSET(DATA!$H24,0,($D$50*5)+4))</f>
        <v>7.3999999999999996E-2</v>
      </c>
      <c r="I75" s="90">
        <f t="shared" ca="1" si="2"/>
        <v>7.3999999999999996E-2</v>
      </c>
      <c r="J75" s="90" t="str">
        <f t="shared" ca="1" si="3"/>
        <v>CLASS</v>
      </c>
      <c r="K75" s="90">
        <f ca="1">IF($A75="","",OFFSET(DATA!$AG24,0,($D$50*5)))</f>
        <v>-99</v>
      </c>
      <c r="L75" s="90">
        <f ca="1">IF($A75="","",OFFSET(DATA!$AG24,0,($D$50*5)+1))</f>
        <v>-99</v>
      </c>
      <c r="M75" s="90">
        <f ca="1">IF($A75="","",OFFSET(DATA!$AG24,0,($D$50*5)+2))</f>
        <v>-99</v>
      </c>
      <c r="N75" s="90">
        <f ca="1">IF($A75="","",OFFSET(DATA!$AG24,0,($D$50*5)+3))</f>
        <v>-99</v>
      </c>
      <c r="O75" s="90">
        <f ca="1">IF($A75="","",OFFSET(DATA!$AG24,0,($D$50*5)+4))</f>
        <v>-99</v>
      </c>
      <c r="P75" s="90">
        <f t="shared" ca="1" si="4"/>
        <v>-99</v>
      </c>
      <c r="Q75" s="90" t="str">
        <f t="shared" ca="1" si="5"/>
        <v/>
      </c>
      <c r="R75" s="699">
        <f ca="1">IF($A75="","",IF(DATA!BF24="",-99,DATA!BF24))</f>
        <v>5.3999999999999999E-2</v>
      </c>
      <c r="S75" s="90">
        <f ca="1">IF($A75="","",IF(DATA!BG24="",-99,DATA!BF24-DATA!BG24))</f>
        <v>-5.9999999999999984E-3</v>
      </c>
      <c r="T75" s="90">
        <f ca="1">IF($A75="","",DATA!BH24)</f>
        <v>0.01</v>
      </c>
      <c r="U75" s="90">
        <f ca="1">IF($A75="","",OFFSET(DATA!BM24,0,$D$48))</f>
        <v>2700</v>
      </c>
      <c r="V75" s="90">
        <f t="shared" ca="1" si="6"/>
        <v>76</v>
      </c>
      <c r="W75" s="99">
        <f t="shared" ca="1" si="7"/>
        <v>76.000220539597464</v>
      </c>
      <c r="X75" s="112">
        <f t="shared" ca="1" si="8"/>
        <v>115.99998196480041</v>
      </c>
      <c r="Y75" s="90">
        <f t="shared" ca="1" si="9"/>
        <v>1</v>
      </c>
      <c r="AA75" s="90" t="str">
        <f ca="1">IF($Y75="","",IF(OFFSET(C$55,'Intermediate Data'!$Y75,0)=-98,"Unknown",IF(OFFSET(C$55,'Intermediate Data'!$Y75,0)=-99,"N/A",OFFSET(C$55,'Intermediate Data'!$Y75,0))))</f>
        <v>Clothes washer</v>
      </c>
      <c r="AB75" s="90">
        <f ca="1">IF($Y75="","",IF(OFFSET(D$55,'Intermediate Data'!$Y75,0)=-98,"N/A",IF(OFFSET(D$55,'Intermediate Data'!$Y75,0)=-99,"N/A",OFFSET(D$55,'Intermediate Data'!$Y75,0))))</f>
        <v>0.79300000000000004</v>
      </c>
      <c r="AC75" s="90">
        <f ca="1">IF($Y75="","",IF(OFFSET(E$55,'Intermediate Data'!$Y75,0)=-98,"N/A",IF(OFFSET(E$55,'Intermediate Data'!$Y75,0)=-99,"N/A",OFFSET(E$55,'Intermediate Data'!$Y75,0))))</f>
        <v>0.7706411905121594</v>
      </c>
      <c r="AD75" s="90">
        <f ca="1">IF($Y75="","",IF(OFFSET(F$55,'Intermediate Data'!$Y75,0)=-98,"N/A",IF(OFFSET(F$55,'Intermediate Data'!$Y75,0)=-99,"N/A",OFFSET(F$55,'Intermediate Data'!$Y75,0))))</f>
        <v>0.82099999999999995</v>
      </c>
      <c r="AE75" s="90">
        <f ca="1">IF($Y75="","",IF(OFFSET(G$55,'Intermediate Data'!$Y75,0)=-98,"N/A",IF(OFFSET(G$55,'Intermediate Data'!$Y75,0)=-99,"N/A",OFFSET(G$55,'Intermediate Data'!$Y75,0))))</f>
        <v>0.81276296876179988</v>
      </c>
      <c r="AF75" s="90">
        <f ca="1">IF($Y75="","",IF(OFFSET(H$55,'Intermediate Data'!$Y75,0)=-98,"N/A",IF(OFFSET(H$55,'Intermediate Data'!$Y75,0)=-99,"N/A",OFFSET(H$55,'Intermediate Data'!$Y75,0))))</f>
        <v>0.78900000000000003</v>
      </c>
      <c r="AG75" s="90">
        <f ca="1">IF($Y75="","",IF(OFFSET(I$55,'Intermediate Data'!$Y75,0)=-98,"N/A",IF(OFFSET(I$55,'Intermediate Data'!$Y75,0)=-99,"N/A",OFFSET(I$55,'Intermediate Data'!$Y75,0))))</f>
        <v>0.78900000000000003</v>
      </c>
      <c r="AH75" s="90" t="str">
        <f ca="1">IF($Y75="","",IF(OFFSET(J$55,'Intermediate Data'!$Y75,0)=-98,"N/A",IF(OFFSET(J$55,'Intermediate Data'!$Y75,0)=-99,"N/A",OFFSET(J$55,'Intermediate Data'!$Y75,0))))</f>
        <v>CLASS</v>
      </c>
      <c r="AI75" s="90" t="str">
        <f ca="1">IF($Y75="","",IF(OFFSET(K$55,'Intermediate Data'!$Y75,0)=-98,"N/A",IF(OFFSET(K$55,'Intermediate Data'!$Y75,0)=-99,"N/A",OFFSET(K$55,'Intermediate Data'!$Y75,0))))</f>
        <v>N/A</v>
      </c>
      <c r="AJ75" s="90" t="str">
        <f ca="1">IF($Y75="","",IF(OFFSET(L$55,'Intermediate Data'!$Y75,0)=-98,"N/A",IF(OFFSET(L$55,'Intermediate Data'!$Y75,0)=-99,"N/A",OFFSET(L$55,'Intermediate Data'!$Y75,0))))</f>
        <v>N/A</v>
      </c>
      <c r="AK75" s="90" t="str">
        <f ca="1">IF($Y75="","",IF(OFFSET(M$55,'Intermediate Data'!$Y75,0)=-98,"N/A",IF(OFFSET(M$55,'Intermediate Data'!$Y75,0)=-99,"N/A",OFFSET(M$55,'Intermediate Data'!$Y75,0))))</f>
        <v>N/A</v>
      </c>
      <c r="AL75" s="90" t="str">
        <f ca="1">IF($Y75="","",IF(OFFSET(N$55,'Intermediate Data'!$Y75,0)=-98,"N/A",IF(OFFSET(N$55,'Intermediate Data'!$Y75,0)=-99,"N/A",OFFSET(N$55,'Intermediate Data'!$Y75,0))))</f>
        <v>N/A</v>
      </c>
      <c r="AM75" s="90" t="str">
        <f ca="1">IF($Y75="","",IF(OFFSET(O$55,'Intermediate Data'!$Y75,0)=-98,"N/A",IF(OFFSET(O$55,'Intermediate Data'!$Y75,0)=-99,"N/A",OFFSET(O$55,'Intermediate Data'!$Y75,0))))</f>
        <v>N/A</v>
      </c>
      <c r="AN75" s="90" t="str">
        <f ca="1">IF($Y75="","",IF(OFFSET(P$55,'Intermediate Data'!$Y75,0)=-98,"N/A",IF(OFFSET(P$55,'Intermediate Data'!$Y75,0)=-99,"N/A",OFFSET(P$55,'Intermediate Data'!$Y75,0))))</f>
        <v>N/A</v>
      </c>
      <c r="AO75" s="90" t="str">
        <f ca="1">IF($Y75="","",IF(OFFSET(Q$55,'Intermediate Data'!$Y75,0)=-98,"N/A",IF(OFFSET(Q$55,'Intermediate Data'!$Y75,0)=-99,"N/A",OFFSET(Q$55,'Intermediate Data'!$Y75,0))))</f>
        <v/>
      </c>
      <c r="AP75" s="697">
        <f ca="1">IF($Y75="","",IF(OFFSET(S$55,'Intermediate Data'!$Y75,0)=-98,"",IF(OFFSET(S$55,'Intermediate Data'!$Y75,0)=-99,"",OFFSET(S$55,'Intermediate Data'!$Y75,0))))</f>
        <v>0.15000000000000002</v>
      </c>
      <c r="AQ75" s="90">
        <f ca="1">IF($Y75="","",IF(OFFSET(T$55,'Intermediate Data'!$Y75,0)=-98,"Not published",IF(OFFSET(T$55,'Intermediate Data'!$Y75,0)=-99,"",OFFSET(T$55,'Intermediate Data'!$Y75,0))))</f>
        <v>0.66</v>
      </c>
      <c r="AR75" s="90">
        <f ca="1">IF($Y75="","",IF(OFFSET(U$55,'Intermediate Data'!$Y75,0)=-98,"Unknown",IF(OFFSET(U$55,'Intermediate Data'!$Y75,0)=-99,"",OFFSET(U$55,'Intermediate Data'!$Y75,0))))</f>
        <v>310</v>
      </c>
      <c r="AU75" s="112">
        <f ca="1">IF(AND(OFFSET(DATA!$F24,0,$AX$48)='Intermediate Data'!$AY$48,DATA!$E24="Tier 1"),IF(OR($AX$49=0,$AX$48=1),DATA!A24,IF(AND($AX$49=1,INDEX('Intermediate Data'!$AY$25:$AY$44,MATCH(DATA!$B24,'Intermediate Data'!$AX$25:$AX$44,0))=TRUE),DATA!A24,"")),"")</f>
        <v>20</v>
      </c>
      <c r="AV75" s="112" t="str">
        <f ca="1">IF($AU75="","",DATA!B24)</f>
        <v>Hot water heater - Electric</v>
      </c>
      <c r="AW75" s="112">
        <f ca="1">IF(OR($AU75="",DATA!BI24=""),"",DATA!BI24)</f>
        <v>-98</v>
      </c>
      <c r="AX75" s="112">
        <f ca="1">IF(OR($AU75="",OFFSET(DATA!BK24,0,$AX$48)=""),"",OFFSET(DATA!BK24,0,$AX$48))</f>
        <v>2683</v>
      </c>
      <c r="AY75" s="112">
        <f ca="1">IF(OR($AU75="",OFFSET(DATA!BM24,0,$AX$48)=""),"",OFFSET(DATA!BM24,0,$AX$48))</f>
        <v>2700</v>
      </c>
      <c r="AZ75" s="112" t="str">
        <f ca="1">IF(OR($AU75="",OFFSET(DATA!BO24,0,'Intermediate Data'!$AX$48)=""),"",OFFSET(DATA!BO24,0,$AX$48))</f>
        <v/>
      </c>
      <c r="BA75" s="112" t="str">
        <f ca="1">IF(OR($AU75="",DATA!BQ24=""),"",DATA!BQ24)</f>
        <v/>
      </c>
      <c r="BB75" s="112">
        <f ca="1">IF($AU75="","",OFFSET(DATA!BS24,0,$AX$48))</f>
        <v>1139.4449239663506</v>
      </c>
      <c r="BC75" s="112">
        <f ca="1">IF($AU75="","",OFFSET(DATA!BU24,0,$AX$48))</f>
        <v>1143.9251474801399</v>
      </c>
      <c r="BD75" s="112">
        <f ca="1">IF($AU75="","",OFFSET(DATA!BW24,0,$AX$48))</f>
        <v>1133.9652356179199</v>
      </c>
      <c r="BE75" s="112" t="str">
        <f ca="1">IF($AU75="","",OFFSET(DATA!BY24,0,$AX$48))</f>
        <v>N/A</v>
      </c>
      <c r="BF75" s="112">
        <f ca="1">IF($AU75="","",OFFSET(DATA!CA24,0,$AX$48))</f>
        <v>1141.69191589764</v>
      </c>
      <c r="BG75" s="112" t="str">
        <f ca="1">IF($AU75="","",DATA!CC24)</f>
        <v>N</v>
      </c>
      <c r="BH75" s="112">
        <f ca="1">IF($AU75="","",OFFSET(DATA!CE24,0,$AX$48))</f>
        <v>157412636.60087502</v>
      </c>
      <c r="BI75" s="112">
        <f ca="1">IF($AU75="","",OFFSET(DATA!CG24,0,$AX$48))</f>
        <v>71455457.0991133</v>
      </c>
      <c r="BJ75" s="112">
        <f ca="1">IF($AU75="","",OFFSET(DATA!CI24,0,$AX$48))</f>
        <v>65241952.329666696</v>
      </c>
      <c r="BK75" s="112" t="str">
        <f ca="1">IF($AU75="","",OFFSET(DATA!CK24,0,$AX$48))</f>
        <v>N/A</v>
      </c>
      <c r="BL75" s="112">
        <f ca="1">IF($AU75="","",OFFSET(DATA!CM24,0,$AX$48))</f>
        <v>20715227.17209509</v>
      </c>
      <c r="BM75" s="112">
        <f ca="1">IF($AU75="","",DATA!BH24)</f>
        <v>0.01</v>
      </c>
      <c r="BN75" s="112">
        <f ca="1">IF($AU75="","",DATA!DS24)</f>
        <v>36908</v>
      </c>
      <c r="BO75" s="112" t="str">
        <f ca="1">IF($AU75="","",DATA!DU24)</f>
        <v>Final</v>
      </c>
      <c r="BP75" s="112">
        <f ca="1">IF($AU75="","",DATA!DV24)</f>
        <v>42110</v>
      </c>
      <c r="BQ75" s="112">
        <f ca="1">IF($AU75="","",DATA!DX24)</f>
        <v>41456</v>
      </c>
      <c r="BR75" s="112" t="str">
        <f ca="1">IF($AU75="","",DATA!DZ24)</f>
        <v>In Process</v>
      </c>
      <c r="BS75" s="171">
        <f ca="1">IF($AU75="","",DATA!EA24)</f>
        <v>42110</v>
      </c>
      <c r="BT75" s="171" t="str">
        <f ca="1">IF($AU75="","",DATA!EC24)</f>
        <v>Federal</v>
      </c>
      <c r="BU75" s="171" t="str">
        <f ca="1">IF($AU75="","",DATA!EF24)</f>
        <v>N/A</v>
      </c>
      <c r="BV75" s="113">
        <f t="shared" ca="1" si="10"/>
        <v>42110</v>
      </c>
      <c r="BW75" s="680" t="str">
        <f ca="1">IF(AU75="","",OFFSET(DATA!DC24,0,'Intermediate Data'!$AX$48))</f>
        <v>N/A</v>
      </c>
      <c r="BX75" s="681" t="str">
        <f ca="1">IF($AU75="","",DATA!DG24)</f>
        <v>N/A</v>
      </c>
      <c r="BY75" s="680" t="str">
        <f ca="1">IF($AU75="","",OFFSET(DATA!DE24,0,'Intermediate Data'!$AX$48))</f>
        <v>N/A</v>
      </c>
      <c r="BZ75" s="681" t="str">
        <f ca="1">IF($AU75="","",DATA!DH24)</f>
        <v>N/A</v>
      </c>
      <c r="CA75" s="90">
        <f t="shared" ca="1" si="11"/>
        <v>2683</v>
      </c>
      <c r="CB75" s="99">
        <f t="shared" ca="1" si="12"/>
        <v>2683.0007500000002</v>
      </c>
      <c r="CC75" s="90">
        <f t="shared" ca="1" si="13"/>
        <v>5.7000000000000003E-5</v>
      </c>
      <c r="CD75" s="90">
        <f t="shared" ca="1" si="14"/>
        <v>2</v>
      </c>
      <c r="CF75" s="90" t="str">
        <f ca="1">IF($CD75="","",IF(OFFSET(AV$55,'Intermediate Data'!$CD75,0)=-98,"Unknown",IF(OFFSET(AV$55,'Intermediate Data'!$CD75,0)=-99,"N/A",OFFSET(AV$55,'Intermediate Data'!$CD75,0))))</f>
        <v>Oven/Range - Electric</v>
      </c>
      <c r="CG75" s="90" t="str">
        <f ca="1">IF($CD75="","",IF(OFFSET(AW$55,'Intermediate Data'!$CD75,0)=-98,"",IF(OFFSET(AW$55,'Intermediate Data'!$CD75,0)=-99,"N/A",OFFSET(AW$55,'Intermediate Data'!$CD75,0))))</f>
        <v/>
      </c>
      <c r="CH75" s="90" t="str">
        <f ca="1">IF($CD75="","",IF(OFFSET(AX$55,'Intermediate Data'!$CD75,0)=-98,"Unknown",IF(OFFSET(AX$55,'Intermediate Data'!$CD75,0)=-99,"N/A",OFFSET(AX$55,'Intermediate Data'!$CD75,0))))</f>
        <v/>
      </c>
      <c r="CI75" s="125" t="str">
        <f ca="1">IF($CD75="","",IF(OFFSET(AY$55,'Intermediate Data'!$CD75,0)=-98,"Unknown",IF(OFFSET(AY$55,'Intermediate Data'!$CD75,0)=-99,"No spec",OFFSET(AY$55,'Intermediate Data'!$CD75,0))))</f>
        <v>No spec</v>
      </c>
      <c r="CJ75" s="125">
        <f ca="1">IF($CD75="","",IF(OFFSET(AZ$55,'Intermediate Data'!$CD75,0)=-98,"Unknown",IF(OFFSET(AZ$55,'Intermediate Data'!$CD75,0)=-99,"N/A",OFFSET(AZ$55,'Intermediate Data'!$CD75,0))))</f>
        <v>126.50000000000003</v>
      </c>
      <c r="CK75" s="90" t="str">
        <f ca="1">IF($CD75="","",IF(OFFSET(BA$55,'Intermediate Data'!$CD75,0)=-98,"Unknown",IF(OFFSET(BA$55,'Intermediate Data'!$CD75,0)=-99,"N/A",OFFSET(BA$55,'Intermediate Data'!$CD75,0))))</f>
        <v xml:space="preserve">Efficient components. </v>
      </c>
      <c r="CL75" s="90" t="str">
        <f ca="1">IF($CD75="","",IF(OFFSET(BB$55,'Intermediate Data'!$CD75,$AX$50)=-98,"Unknown",IF(OFFSET(BB$55,'Intermediate Data'!$CD75,$AX$50)="N/A","",OFFSET(BB$55,'Intermediate Data'!$CD75,$AX$50))))</f>
        <v/>
      </c>
      <c r="CM75" s="90" t="str">
        <f ca="1">IF($CD75="","",IF(OFFSET(BG$55,'Intermediate Data'!$CD75,0)="ET","ET",""))</f>
        <v/>
      </c>
      <c r="CN75" s="90" t="str">
        <f ca="1">IF($CD75="","",IF(OFFSET(BH$55,'Intermediate Data'!$CD75,$AX$50)=-98,"Unknown",IF(OFFSET(BH$55,'Intermediate Data'!$CD75,$AX$50)="N/A","",OFFSET(BH$55,'Intermediate Data'!$CD75,$AX$50))))</f>
        <v/>
      </c>
      <c r="CO75" s="90" t="str">
        <f ca="1">IF($CD75="","",IF(OFFSET(BM$55,'Intermediate Data'!$CD75,0)=-98,"Not published",IF(OFFSET(BM$55,'Intermediate Data'!$CD75,0)=-99,"No spec",OFFSET(BM$55,'Intermediate Data'!$CD75,0))))</f>
        <v>No spec</v>
      </c>
      <c r="CP75" s="114" t="str">
        <f ca="1">IF($CD75="","",IF(OFFSET(BN$55,'Intermediate Data'!$CD75,0)=-98,"Unknown",IF(OFFSET(BN$55,'Intermediate Data'!$CD75,0)=-99,"N/A",OFFSET(BN$55,'Intermediate Data'!$CD75,0))))</f>
        <v>N/A</v>
      </c>
      <c r="CQ75" s="114" t="str">
        <f ca="1">IF($CD75="","",IF(OFFSET(BO$55,'Intermediate Data'!$CD75,0)=-98,"Unknown",IF(OFFSET(BO$55,'Intermediate Data'!$CD75,0)=-99,"N/A",OFFSET(BO$55,'Intermediate Data'!$CD75,0))))</f>
        <v>In Process</v>
      </c>
      <c r="CR75" s="114">
        <f ca="1">IF($CD75="","",IF(OFFSET(BP$55,'Intermediate Data'!$CD75,0)=-98,"Unknown",IF(OFFSET(BP$55,'Intermediate Data'!$CD75,0)=-99,"N/A",OFFSET(BP$55,'Intermediate Data'!$CD75,0))))</f>
        <v>44197</v>
      </c>
      <c r="CS75" s="114" t="str">
        <f ca="1">IF($CD75="","",IF(OFFSET(BQ$55,'Intermediate Data'!$CD75,0)=-98,"Unknown",IF(OFFSET(BQ$55,'Intermediate Data'!$CD75,0)=-99,"N/A",OFFSET(BQ$55,'Intermediate Data'!$CD75,0))))</f>
        <v>N/A</v>
      </c>
      <c r="CT75" s="114" t="str">
        <f ca="1">IF($CD75="","",IF(OFFSET(BR$55,'Intermediate Data'!$CD75,0)=-98,"Unknown",IF(OFFSET(BR$55,'Intermediate Data'!$CD75,0)=-99,"N/A",OFFSET(BR$55,'Intermediate Data'!$CD75,0))))</f>
        <v>N/A</v>
      </c>
      <c r="CU75" s="114" t="str">
        <f ca="1">IF($CD75="","",IF(OFFSET(BS$55,'Intermediate Data'!$CD75,0)=-98,"Unknown",IF(OFFSET(BS$55,'Intermediate Data'!$CD75,0)=-99,"N/A",OFFSET(BS$55,'Intermediate Data'!$CD75,0))))</f>
        <v>N/A</v>
      </c>
      <c r="CV75" s="114" t="str">
        <f ca="1">IF($CD75="","",IF(OFFSET(BT$55,'Intermediate Data'!$CD75,0)=-98,"Unknown",IF(OFFSET(BT$55,'Intermediate Data'!$CD75,0)=-99,"N/A",OFFSET(BT$55,'Intermediate Data'!$CD75,0))))</f>
        <v>N/A</v>
      </c>
      <c r="CW75" s="114" t="str">
        <f ca="1">IF($CD75="","",IF(OFFSET(BU$55,'Intermediate Data'!$CD75,0)=-98,"Unknown",IF(OFFSET(BU$55,'Intermediate Data'!$CD75,0)=-99,"N/A",OFFSET(BU$55,'Intermediate Data'!$CD75,0))))</f>
        <v>N/A</v>
      </c>
      <c r="CX75" s="114">
        <f ca="1">IF($CD75="","",IF(OFFSET(BV$55,'Intermediate Data'!$CD75,0)=-98,"Unknown",IF(OFFSET(BV$55,'Intermediate Data'!$CD75,0)=-99,"N/A",OFFSET(BV$55,'Intermediate Data'!$CD75,0))))</f>
        <v>44197</v>
      </c>
      <c r="CY75" s="682" t="str">
        <f ca="1">IF($CD75="","",IF(OFFSET(BW$55,'Intermediate Data'!$CD75,0)=-98,"Unknown",IF(OFFSET(BW$55,'Intermediate Data'!$CD75,0)="N/A","",OFFSET(BW$55,'Intermediate Data'!$CD75,0))))</f>
        <v/>
      </c>
      <c r="CZ75" s="682" t="str">
        <f ca="1">IF($CD75="","",IF(OFFSET(BX$55,'Intermediate Data'!$CD75,0)=-98,"Unknown",IF(OFFSET(BX$55,'Intermediate Data'!$CD75,0)="N/A","",OFFSET(BX$55,'Intermediate Data'!$CD75,0))))</f>
        <v/>
      </c>
      <c r="DA75" s="682" t="str">
        <f ca="1">IF($CD75="","",IF(OFFSET(BY$55,'Intermediate Data'!$CD75,0)=-98,"Unknown",IF(OFFSET(BY$55,'Intermediate Data'!$CD75,0)="N/A","",OFFSET(BY$55,'Intermediate Data'!$CD75,0))))</f>
        <v/>
      </c>
      <c r="DB75" s="682" t="str">
        <f ca="1">IF($CD75="","",IF(OFFSET(BZ$55,'Intermediate Data'!$CD75,0)=-98,"Unknown",IF(OFFSET(BZ$55,'Intermediate Data'!$CD75,0)="N/A","",OFFSET(BZ$55,'Intermediate Data'!$CD75,0))))</f>
        <v/>
      </c>
    </row>
    <row r="76" spans="1:106" x14ac:dyDescent="0.2">
      <c r="A76" s="90">
        <f ca="1">IF(OFFSET(DATA!F25,0,$D$48)='Intermediate Data'!$E$48,IF(OR($E$49=$C$27,$E$48=$B$4),DATA!A25,IF($G$49=DATA!D25,DATA!A25,"")),"")</f>
        <v>21</v>
      </c>
      <c r="B76" s="90">
        <f ca="1">IF($A76="","",DATA!EH25)</f>
        <v>75</v>
      </c>
      <c r="C76" s="90" t="str">
        <f ca="1">IF($A76="","",DATA!B25)</f>
        <v>Hot water heater - Gas</v>
      </c>
      <c r="D76" s="90">
        <f ca="1">IF($A76="","",OFFSET(DATA!$H25,0,($D$50*5)))</f>
        <v>0.89800000000000002</v>
      </c>
      <c r="E76" s="90">
        <f ca="1">IF($A76="","",OFFSET(DATA!$H25,0,($D$50*5)+1))</f>
        <v>0.80796419319027146</v>
      </c>
      <c r="F76" s="90">
        <f ca="1">IF($A76="","",OFFSET(DATA!$H25,0,($D$50*5)+2))</f>
        <v>0.89300000000000002</v>
      </c>
      <c r="G76" s="90">
        <f ca="1">IF($A76="","",OFFSET(DATA!$H25,0,($D$50*5)+3))</f>
        <v>0.8415056712360397</v>
      </c>
      <c r="H76" s="90">
        <f ca="1">IF($A76="","",OFFSET(DATA!$H25,0,($D$50*5)+4))</f>
        <v>0.88200000000000001</v>
      </c>
      <c r="I76" s="90">
        <f t="shared" ca="1" si="2"/>
        <v>0.88200000000000001</v>
      </c>
      <c r="J76" s="90" t="str">
        <f t="shared" ca="1" si="3"/>
        <v>CLASS</v>
      </c>
      <c r="K76" s="90">
        <f ca="1">IF($A76="","",OFFSET(DATA!$AG25,0,($D$50*5)))</f>
        <v>-99</v>
      </c>
      <c r="L76" s="90">
        <f ca="1">IF($A76="","",OFFSET(DATA!$AG25,0,($D$50*5)+1))</f>
        <v>-99</v>
      </c>
      <c r="M76" s="90">
        <f ca="1">IF($A76="","",OFFSET(DATA!$AG25,0,($D$50*5)+2))</f>
        <v>-99</v>
      </c>
      <c r="N76" s="90">
        <f ca="1">IF($A76="","",OFFSET(DATA!$AG25,0,($D$50*5)+3))</f>
        <v>-99</v>
      </c>
      <c r="O76" s="90">
        <f ca="1">IF($A76="","",OFFSET(DATA!$AG25,0,($D$50*5)+4))</f>
        <v>-99</v>
      </c>
      <c r="P76" s="90">
        <f t="shared" ca="1" si="4"/>
        <v>-99</v>
      </c>
      <c r="Q76" s="90" t="str">
        <f t="shared" ca="1" si="5"/>
        <v/>
      </c>
      <c r="R76" s="699">
        <f ca="1">IF($A76="","",IF(DATA!BF25="",-99,DATA!BF25))</f>
        <v>5.3999999999999999E-2</v>
      </c>
      <c r="S76" s="90">
        <f ca="1">IF($A76="","",IF(DATA!BG25="",-99,DATA!BF25-DATA!BG25))</f>
        <v>2.4E-2</v>
      </c>
      <c r="T76" s="90">
        <f ca="1">IF($A76="","",DATA!BH25)</f>
        <v>0.04</v>
      </c>
      <c r="U76" s="90">
        <f ca="1">IF($A76="","",OFFSET(DATA!BM25,0,$D$48))</f>
        <v>0</v>
      </c>
      <c r="V76" s="90">
        <f t="shared" ca="1" si="6"/>
        <v>75</v>
      </c>
      <c r="W76" s="99">
        <f t="shared" ca="1" si="7"/>
        <v>74.999950935406986</v>
      </c>
      <c r="X76" s="112">
        <f t="shared" ca="1" si="8"/>
        <v>114.99988120086</v>
      </c>
      <c r="Y76" s="90">
        <f t="shared" ca="1" si="9"/>
        <v>31</v>
      </c>
      <c r="AA76" s="90" t="str">
        <f ca="1">IF($Y76="","",IF(OFFSET(C$55,'Intermediate Data'!$Y76,0)=-98,"Unknown",IF(OFFSET(C$55,'Intermediate Data'!$Y76,0)=-99,"N/A",OFFSET(C$55,'Intermediate Data'!$Y76,0))))</f>
        <v>Coffee maker</v>
      </c>
      <c r="AB76" s="90" t="str">
        <f ca="1">IF($Y76="","",IF(OFFSET(D$55,'Intermediate Data'!$Y76,0)=-98,"N/A",IF(OFFSET(D$55,'Intermediate Data'!$Y76,0)=-99,"N/A",OFFSET(D$55,'Intermediate Data'!$Y76,0))))</f>
        <v>N/A</v>
      </c>
      <c r="AC76" s="90" t="str">
        <f ca="1">IF($Y76="","",IF(OFFSET(E$55,'Intermediate Data'!$Y76,0)=-98,"N/A",IF(OFFSET(E$55,'Intermediate Data'!$Y76,0)=-99,"N/A",OFFSET(E$55,'Intermediate Data'!$Y76,0))))</f>
        <v>N/A</v>
      </c>
      <c r="AD76" s="90" t="str">
        <f ca="1">IF($Y76="","",IF(OFFSET(F$55,'Intermediate Data'!$Y76,0)=-98,"N/A",IF(OFFSET(F$55,'Intermediate Data'!$Y76,0)=-99,"N/A",OFFSET(F$55,'Intermediate Data'!$Y76,0))))</f>
        <v>N/A</v>
      </c>
      <c r="AE76" s="90" t="str">
        <f ca="1">IF($Y76="","",IF(OFFSET(G$55,'Intermediate Data'!$Y76,0)=-98,"N/A",IF(OFFSET(G$55,'Intermediate Data'!$Y76,0)=-99,"N/A",OFFSET(G$55,'Intermediate Data'!$Y76,0))))</f>
        <v>N/A</v>
      </c>
      <c r="AF76" s="90" t="str">
        <f ca="1">IF($Y76="","",IF(OFFSET(H$55,'Intermediate Data'!$Y76,0)=-98,"N/A",IF(OFFSET(H$55,'Intermediate Data'!$Y76,0)=-99,"N/A",OFFSET(H$55,'Intermediate Data'!$Y76,0))))</f>
        <v>N/A</v>
      </c>
      <c r="AG76" s="90" t="str">
        <f ca="1">IF($Y76="","",IF(OFFSET(I$55,'Intermediate Data'!$Y76,0)=-98,"N/A",IF(OFFSET(I$55,'Intermediate Data'!$Y76,0)=-99,"N/A",OFFSET(I$55,'Intermediate Data'!$Y76,0))))</f>
        <v>N/A</v>
      </c>
      <c r="AH76" s="90" t="str">
        <f ca="1">IF($Y76="","",IF(OFFSET(J$55,'Intermediate Data'!$Y76,0)=-98,"N/A",IF(OFFSET(J$55,'Intermediate Data'!$Y76,0)=-99,"N/A",OFFSET(J$55,'Intermediate Data'!$Y76,0))))</f>
        <v/>
      </c>
      <c r="AI76" s="90" t="str">
        <f ca="1">IF($Y76="","",IF(OFFSET(K$55,'Intermediate Data'!$Y76,0)=-98,"N/A",IF(OFFSET(K$55,'Intermediate Data'!$Y76,0)=-99,"N/A",OFFSET(K$55,'Intermediate Data'!$Y76,0))))</f>
        <v>N/A</v>
      </c>
      <c r="AJ76" s="90" t="str">
        <f ca="1">IF($Y76="","",IF(OFFSET(L$55,'Intermediate Data'!$Y76,0)=-98,"N/A",IF(OFFSET(L$55,'Intermediate Data'!$Y76,0)=-99,"N/A",OFFSET(L$55,'Intermediate Data'!$Y76,0))))</f>
        <v>N/A</v>
      </c>
      <c r="AK76" s="90" t="str">
        <f ca="1">IF($Y76="","",IF(OFFSET(M$55,'Intermediate Data'!$Y76,0)=-98,"N/A",IF(OFFSET(M$55,'Intermediate Data'!$Y76,0)=-99,"N/A",OFFSET(M$55,'Intermediate Data'!$Y76,0))))</f>
        <v>N/A</v>
      </c>
      <c r="AL76" s="90" t="str">
        <f ca="1">IF($Y76="","",IF(OFFSET(N$55,'Intermediate Data'!$Y76,0)=-98,"N/A",IF(OFFSET(N$55,'Intermediate Data'!$Y76,0)=-99,"N/A",OFFSET(N$55,'Intermediate Data'!$Y76,0))))</f>
        <v>N/A</v>
      </c>
      <c r="AM76" s="90" t="str">
        <f ca="1">IF($Y76="","",IF(OFFSET(O$55,'Intermediate Data'!$Y76,0)=-98,"N/A",IF(OFFSET(O$55,'Intermediate Data'!$Y76,0)=-99,"N/A",OFFSET(O$55,'Intermediate Data'!$Y76,0))))</f>
        <v>N/A</v>
      </c>
      <c r="AN76" s="90" t="str">
        <f ca="1">IF($Y76="","",IF(OFFSET(P$55,'Intermediate Data'!$Y76,0)=-98,"N/A",IF(OFFSET(P$55,'Intermediate Data'!$Y76,0)=-99,"N/A",OFFSET(P$55,'Intermediate Data'!$Y76,0))))</f>
        <v>N/A</v>
      </c>
      <c r="AO76" s="90" t="str">
        <f ca="1">IF($Y76="","",IF(OFFSET(Q$55,'Intermediate Data'!$Y76,0)=-98,"N/A",IF(OFFSET(Q$55,'Intermediate Data'!$Y76,0)=-99,"N/A",OFFSET(Q$55,'Intermediate Data'!$Y76,0))))</f>
        <v/>
      </c>
      <c r="AP76" s="697" t="str">
        <f ca="1">IF($Y76="","",IF(OFFSET(S$55,'Intermediate Data'!$Y76,0)=-98,"",IF(OFFSET(S$55,'Intermediate Data'!$Y76,0)=-99,"",OFFSET(S$55,'Intermediate Data'!$Y76,0))))</f>
        <v/>
      </c>
      <c r="AQ76" s="90" t="str">
        <f ca="1">IF($Y76="","",IF(OFFSET(T$55,'Intermediate Data'!$Y76,0)=-98,"Not published",IF(OFFSET(T$55,'Intermediate Data'!$Y76,0)=-99,"",OFFSET(T$55,'Intermediate Data'!$Y76,0))))</f>
        <v/>
      </c>
      <c r="AR76" s="90" t="str">
        <f ca="1">IF($Y76="","",IF(OFFSET(U$55,'Intermediate Data'!$Y76,0)=-98,"Unknown",IF(OFFSET(U$55,'Intermediate Data'!$Y76,0)=-99,"",OFFSET(U$55,'Intermediate Data'!$Y76,0))))</f>
        <v/>
      </c>
      <c r="AU76" s="112">
        <f ca="1">IF(AND(OFFSET(DATA!$F25,0,$AX$48)='Intermediate Data'!$AY$48,DATA!$E25="Tier 1"),IF(OR($AX$49=0,$AX$48=1),DATA!A25,IF(AND($AX$49=1,INDEX('Intermediate Data'!$AY$25:$AY$44,MATCH(DATA!$B25,'Intermediate Data'!$AX$25:$AX$44,0))=TRUE),DATA!A25,"")),"")</f>
        <v>21</v>
      </c>
      <c r="AV76" s="112" t="str">
        <f ca="1">IF($AU76="","",DATA!B25)</f>
        <v>Hot water heater - Gas</v>
      </c>
      <c r="AW76" s="112">
        <f ca="1">IF(OR($AU76="",DATA!BI25=""),"",DATA!BI25)</f>
        <v>-98</v>
      </c>
      <c r="AX76" s="112">
        <f ca="1">IF(OR($AU76="",OFFSET(DATA!BK25,0,$AX$48)=""),"",OFFSET(DATA!BK25,0,$AX$48))</f>
        <v>0</v>
      </c>
      <c r="AY76" s="112">
        <f ca="1">IF(OR($AU76="",OFFSET(DATA!BM25,0,$AX$48)=""),"",OFFSET(DATA!BM25,0,$AX$48))</f>
        <v>0</v>
      </c>
      <c r="AZ76" s="112" t="str">
        <f ca="1">IF(OR($AU76="",OFFSET(DATA!BO25,0,'Intermediate Data'!$AX$48)=""),"",OFFSET(DATA!BO25,0,$AX$48))</f>
        <v/>
      </c>
      <c r="BA76" s="112" t="str">
        <f ca="1">IF(OR($AU76="",DATA!BQ25=""),"",DATA!BQ25)</f>
        <v/>
      </c>
      <c r="BB76" s="112">
        <f ca="1">IF($AU76="","",OFFSET(DATA!BS25,0,$AX$48))</f>
        <v>0</v>
      </c>
      <c r="BC76" s="112">
        <f ca="1">IF($AU76="","",OFFSET(DATA!BU25,0,$AX$48))</f>
        <v>0</v>
      </c>
      <c r="BD76" s="112" t="str">
        <f ca="1">IF($AU76="","",OFFSET(DATA!BW25,0,$AX$48))</f>
        <v>N/A</v>
      </c>
      <c r="BE76" s="112" t="str">
        <f ca="1">IF($AU76="","",OFFSET(DATA!BY25,0,$AX$48))</f>
        <v>N/A</v>
      </c>
      <c r="BF76" s="112">
        <f ca="1">IF($AU76="","",OFFSET(DATA!CA25,0,$AX$48))</f>
        <v>0</v>
      </c>
      <c r="BG76" s="112" t="str">
        <f ca="1">IF($AU76="","",DATA!CC25)</f>
        <v>ET</v>
      </c>
      <c r="BH76" s="112">
        <f ca="1">IF($AU76="","",OFFSET(DATA!CE25,0,$AX$48))</f>
        <v>0</v>
      </c>
      <c r="BI76" s="112">
        <f ca="1">IF($AU76="","",OFFSET(DATA!CG25,0,$AX$48))</f>
        <v>0</v>
      </c>
      <c r="BJ76" s="112">
        <f ca="1">IF($AU76="","",OFFSET(DATA!CI25,0,$AX$48))</f>
        <v>0</v>
      </c>
      <c r="BK76" s="112" t="str">
        <f ca="1">IF($AU76="","",OFFSET(DATA!CK25,0,$AX$48))</f>
        <v>N/A</v>
      </c>
      <c r="BL76" s="112">
        <f ca="1">IF($AU76="","",OFFSET(DATA!CM25,0,$AX$48))</f>
        <v>0</v>
      </c>
      <c r="BM76" s="112">
        <f ca="1">IF($AU76="","",DATA!BH25)</f>
        <v>0.04</v>
      </c>
      <c r="BN76" s="112">
        <f ca="1">IF($AU76="","",DATA!DS25)</f>
        <v>36908</v>
      </c>
      <c r="BO76" s="112" t="str">
        <f ca="1">IF($AU76="","",DATA!DU25)</f>
        <v>Final</v>
      </c>
      <c r="BP76" s="112">
        <f ca="1">IF($AU76="","",DATA!DV25)</f>
        <v>42110</v>
      </c>
      <c r="BQ76" s="112">
        <f ca="1">IF($AU76="","",DATA!DX25)</f>
        <v>41456</v>
      </c>
      <c r="BR76" s="112" t="str">
        <f ca="1">IF($AU76="","",DATA!DZ25)</f>
        <v>In Process</v>
      </c>
      <c r="BS76" s="171">
        <f ca="1">IF($AU76="","",DATA!EA25)</f>
        <v>42110</v>
      </c>
      <c r="BT76" s="171" t="str">
        <f ca="1">IF($AU76="","",DATA!EC25)</f>
        <v>Federal</v>
      </c>
      <c r="BU76" s="171" t="str">
        <f ca="1">IF($AU76="","",DATA!EF25)</f>
        <v>N/A</v>
      </c>
      <c r="BV76" s="113">
        <f t="shared" ca="1" si="10"/>
        <v>42110</v>
      </c>
      <c r="BW76" s="680" t="str">
        <f ca="1">IF(AU76="","",OFFSET(DATA!DC25,0,'Intermediate Data'!$AX$48))</f>
        <v>N/A</v>
      </c>
      <c r="BX76" s="681" t="str">
        <f ca="1">IF($AU76="","",DATA!DG25)</f>
        <v>N/A</v>
      </c>
      <c r="BY76" s="680" t="str">
        <f ca="1">IF($AU76="","",OFFSET(DATA!DE25,0,'Intermediate Data'!$AX$48))</f>
        <v>N/A</v>
      </c>
      <c r="BZ76" s="681" t="str">
        <f ca="1">IF($AU76="","",DATA!DH25)</f>
        <v>N/A</v>
      </c>
      <c r="CA76" s="90">
        <f t="shared" ca="1" si="11"/>
        <v>0</v>
      </c>
      <c r="CB76" s="99">
        <f t="shared" ca="1" si="12"/>
        <v>7.6000000000000004E-4</v>
      </c>
      <c r="CC76" s="90" t="str">
        <f t="shared" ca="1" si="13"/>
        <v/>
      </c>
      <c r="CD76" s="90" t="str">
        <f t="shared" ca="1" si="14"/>
        <v/>
      </c>
      <c r="CF76" s="90" t="str">
        <f ca="1">IF($CD76="","",IF(OFFSET(AV$55,'Intermediate Data'!$CD76,0)=-98,"Unknown",IF(OFFSET(AV$55,'Intermediate Data'!$CD76,0)=-99,"N/A",OFFSET(AV$55,'Intermediate Data'!$CD76,0))))</f>
        <v/>
      </c>
      <c r="CG76" s="90" t="str">
        <f ca="1">IF($CD76="","",IF(OFFSET(AW$55,'Intermediate Data'!$CD76,0)=-98,"",IF(OFFSET(AW$55,'Intermediate Data'!$CD76,0)=-99,"N/A",OFFSET(AW$55,'Intermediate Data'!$CD76,0))))</f>
        <v/>
      </c>
      <c r="CH76" s="90" t="str">
        <f ca="1">IF($CD76="","",IF(OFFSET(AX$55,'Intermediate Data'!$CD76,0)=-98,"Unknown",IF(OFFSET(AX$55,'Intermediate Data'!$CD76,0)=-99,"N/A",OFFSET(AX$55,'Intermediate Data'!$CD76,0))))</f>
        <v/>
      </c>
      <c r="CI76" s="125" t="str">
        <f ca="1">IF($CD76="","",IF(OFFSET(AY$55,'Intermediate Data'!$CD76,0)=-98,"Unknown",IF(OFFSET(AY$55,'Intermediate Data'!$CD76,0)=-99,"No spec",OFFSET(AY$55,'Intermediate Data'!$CD76,0))))</f>
        <v/>
      </c>
      <c r="CJ76" s="125" t="str">
        <f ca="1">IF($CD76="","",IF(OFFSET(AZ$55,'Intermediate Data'!$CD76,0)=-98,"Unknown",IF(OFFSET(AZ$55,'Intermediate Data'!$CD76,0)=-99,"N/A",OFFSET(AZ$55,'Intermediate Data'!$CD76,0))))</f>
        <v/>
      </c>
      <c r="CK76" s="90" t="str">
        <f ca="1">IF($CD76="","",IF(OFFSET(BA$55,'Intermediate Data'!$CD76,0)=-98,"Unknown",IF(OFFSET(BA$55,'Intermediate Data'!$CD76,0)=-99,"N/A",OFFSET(BA$55,'Intermediate Data'!$CD76,0))))</f>
        <v/>
      </c>
      <c r="CL76" s="90" t="str">
        <f ca="1">IF($CD76="","",IF(OFFSET(BB$55,'Intermediate Data'!$CD76,$AX$50)=-98,"Unknown",IF(OFFSET(BB$55,'Intermediate Data'!$CD76,$AX$50)="N/A","",OFFSET(BB$55,'Intermediate Data'!$CD76,$AX$50))))</f>
        <v/>
      </c>
      <c r="CM76" s="90" t="str">
        <f ca="1">IF($CD76="","",IF(OFFSET(BG$55,'Intermediate Data'!$CD76,0)="ET","ET",""))</f>
        <v/>
      </c>
      <c r="CN76" s="90" t="str">
        <f ca="1">IF($CD76="","",IF(OFFSET(BH$55,'Intermediate Data'!$CD76,$AX$50)=-98,"Unknown",IF(OFFSET(BH$55,'Intermediate Data'!$CD76,$AX$50)="N/A","",OFFSET(BH$55,'Intermediate Data'!$CD76,$AX$50))))</f>
        <v/>
      </c>
      <c r="CO76" s="90" t="str">
        <f ca="1">IF($CD76="","",IF(OFFSET(BM$55,'Intermediate Data'!$CD76,0)=-98,"Not published",IF(OFFSET(BM$55,'Intermediate Data'!$CD76,0)=-99,"No spec",OFFSET(BM$55,'Intermediate Data'!$CD76,0))))</f>
        <v/>
      </c>
      <c r="CP76" s="114" t="str">
        <f ca="1">IF($CD76="","",IF(OFFSET(BN$55,'Intermediate Data'!$CD76,0)=-98,"Unknown",IF(OFFSET(BN$55,'Intermediate Data'!$CD76,0)=-99,"N/A",OFFSET(BN$55,'Intermediate Data'!$CD76,0))))</f>
        <v/>
      </c>
      <c r="CQ76" s="114" t="str">
        <f ca="1">IF($CD76="","",IF(OFFSET(BO$55,'Intermediate Data'!$CD76,0)=-98,"Unknown",IF(OFFSET(BO$55,'Intermediate Data'!$CD76,0)=-99,"N/A",OFFSET(BO$55,'Intermediate Data'!$CD76,0))))</f>
        <v/>
      </c>
      <c r="CR76" s="114" t="str">
        <f ca="1">IF($CD76="","",IF(OFFSET(BP$55,'Intermediate Data'!$CD76,0)=-98,"Unknown",IF(OFFSET(BP$55,'Intermediate Data'!$CD76,0)=-99,"N/A",OFFSET(BP$55,'Intermediate Data'!$CD76,0))))</f>
        <v/>
      </c>
      <c r="CS76" s="114" t="str">
        <f ca="1">IF($CD76="","",IF(OFFSET(BQ$55,'Intermediate Data'!$CD76,0)=-98,"Unknown",IF(OFFSET(BQ$55,'Intermediate Data'!$CD76,0)=-99,"N/A",OFFSET(BQ$55,'Intermediate Data'!$CD76,0))))</f>
        <v/>
      </c>
      <c r="CT76" s="114" t="str">
        <f ca="1">IF($CD76="","",IF(OFFSET(BR$55,'Intermediate Data'!$CD76,0)=-98,"Unknown",IF(OFFSET(BR$55,'Intermediate Data'!$CD76,0)=-99,"N/A",OFFSET(BR$55,'Intermediate Data'!$CD76,0))))</f>
        <v/>
      </c>
      <c r="CU76" s="114" t="str">
        <f ca="1">IF($CD76="","",IF(OFFSET(BS$55,'Intermediate Data'!$CD76,0)=-98,"Unknown",IF(OFFSET(BS$55,'Intermediate Data'!$CD76,0)=-99,"N/A",OFFSET(BS$55,'Intermediate Data'!$CD76,0))))</f>
        <v/>
      </c>
      <c r="CV76" s="114" t="str">
        <f ca="1">IF($CD76="","",IF(OFFSET(BT$55,'Intermediate Data'!$CD76,0)=-98,"Unknown",IF(OFFSET(BT$55,'Intermediate Data'!$CD76,0)=-99,"N/A",OFFSET(BT$55,'Intermediate Data'!$CD76,0))))</f>
        <v/>
      </c>
      <c r="CW76" s="114" t="str">
        <f ca="1">IF($CD76="","",IF(OFFSET(BU$55,'Intermediate Data'!$CD76,0)=-98,"Unknown",IF(OFFSET(BU$55,'Intermediate Data'!$CD76,0)=-99,"N/A",OFFSET(BU$55,'Intermediate Data'!$CD76,0))))</f>
        <v/>
      </c>
      <c r="CX76" s="114" t="str">
        <f ca="1">IF($CD76="","",IF(OFFSET(BV$55,'Intermediate Data'!$CD76,0)=-98,"Unknown",IF(OFFSET(BV$55,'Intermediate Data'!$CD76,0)=-99,"N/A",OFFSET(BV$55,'Intermediate Data'!$CD76,0))))</f>
        <v/>
      </c>
      <c r="CY76" s="682" t="str">
        <f ca="1">IF($CD76="","",IF(OFFSET(BW$55,'Intermediate Data'!$CD76,0)=-98,"Unknown",IF(OFFSET(BW$55,'Intermediate Data'!$CD76,0)="N/A","",OFFSET(BW$55,'Intermediate Data'!$CD76,0))))</f>
        <v/>
      </c>
      <c r="CZ76" s="682" t="str">
        <f ca="1">IF($CD76="","",IF(OFFSET(BX$55,'Intermediate Data'!$CD76,0)=-98,"Unknown",IF(OFFSET(BX$55,'Intermediate Data'!$CD76,0)="N/A","",OFFSET(BX$55,'Intermediate Data'!$CD76,0))))</f>
        <v/>
      </c>
      <c r="DA76" s="682" t="str">
        <f ca="1">IF($CD76="","",IF(OFFSET(BY$55,'Intermediate Data'!$CD76,0)=-98,"Unknown",IF(OFFSET(BY$55,'Intermediate Data'!$CD76,0)="N/A","",OFFSET(BY$55,'Intermediate Data'!$CD76,0))))</f>
        <v/>
      </c>
      <c r="DB76" s="682" t="str">
        <f ca="1">IF($CD76="","",IF(OFFSET(BZ$55,'Intermediate Data'!$CD76,0)=-98,"Unknown",IF(OFFSET(BZ$55,'Intermediate Data'!$CD76,0)="N/A","",OFFSET(BZ$55,'Intermediate Data'!$CD76,0))))</f>
        <v/>
      </c>
    </row>
    <row r="77" spans="1:106" x14ac:dyDescent="0.2">
      <c r="A77" s="90">
        <f ca="1">IF(OFFSET(DATA!F26,0,$D$48)='Intermediate Data'!$E$48,IF(OR($E$49=$C$27,$E$48=$B$4),DATA!A26,IF($G$49=DATA!D26,DATA!A26,"")),"")</f>
        <v>22</v>
      </c>
      <c r="B77" s="90">
        <f ca="1">IF($A77="","",DATA!EH26)</f>
        <v>117</v>
      </c>
      <c r="C77" s="90" t="str">
        <f ca="1">IF($A77="","",DATA!B26)</f>
        <v>Clothes iron</v>
      </c>
      <c r="D77" s="90">
        <f ca="1">IF($A77="","",OFFSET(DATA!$H26,0,($D$50*5)))</f>
        <v>-99</v>
      </c>
      <c r="E77" s="90">
        <f ca="1">IF($A77="","",OFFSET(DATA!$H26,0,($D$50*5)+1))</f>
        <v>-99</v>
      </c>
      <c r="F77" s="90">
        <f ca="1">IF($A77="","",OFFSET(DATA!$H26,0,($D$50*5)+2))</f>
        <v>-99</v>
      </c>
      <c r="G77" s="90">
        <f ca="1">IF($A77="","",OFFSET(DATA!$H26,0,($D$50*5)+3))</f>
        <v>-99</v>
      </c>
      <c r="H77" s="90">
        <f ca="1">IF($A77="","",OFFSET(DATA!$H26,0,($D$50*5)+4))</f>
        <v>-99</v>
      </c>
      <c r="I77" s="90">
        <f t="shared" ca="1" si="2"/>
        <v>-99</v>
      </c>
      <c r="J77" s="90" t="str">
        <f t="shared" ca="1" si="3"/>
        <v/>
      </c>
      <c r="K77" s="90">
        <f ca="1">IF($A77="","",OFFSET(DATA!$AG26,0,($D$50*5)))</f>
        <v>-99</v>
      </c>
      <c r="L77" s="90">
        <f ca="1">IF($A77="","",OFFSET(DATA!$AG26,0,($D$50*5)+1))</f>
        <v>-99</v>
      </c>
      <c r="M77" s="90">
        <f ca="1">IF($A77="","",OFFSET(DATA!$AG26,0,($D$50*5)+2))</f>
        <v>-99</v>
      </c>
      <c r="N77" s="90">
        <f ca="1">IF($A77="","",OFFSET(DATA!$AG26,0,($D$50*5)+3))</f>
        <v>-99</v>
      </c>
      <c r="O77" s="90">
        <f ca="1">IF($A77="","",OFFSET(DATA!$AG26,0,($D$50*5)+4))</f>
        <v>-99</v>
      </c>
      <c r="P77" s="90">
        <f t="shared" ca="1" si="4"/>
        <v>-99</v>
      </c>
      <c r="Q77" s="90" t="str">
        <f t="shared" ca="1" si="5"/>
        <v/>
      </c>
      <c r="R77" s="699">
        <f ca="1">IF($A77="","",IF(DATA!BF26="",-99,DATA!BF26))</f>
        <v>-99</v>
      </c>
      <c r="S77" s="90">
        <f ca="1">IF($A77="","",IF(DATA!BG26="",-99,DATA!BF26-DATA!BG26))</f>
        <v>-99</v>
      </c>
      <c r="T77" s="90">
        <f ca="1">IF($A77="","",DATA!BH26)</f>
        <v>-99</v>
      </c>
      <c r="U77" s="90">
        <f ca="1">IF($A77="","",OFFSET(DATA!BM26,0,$D$48))</f>
        <v>-99</v>
      </c>
      <c r="V77" s="90">
        <f t="shared" ca="1" si="6"/>
        <v>117</v>
      </c>
      <c r="W77" s="99">
        <f t="shared" ca="1" si="7"/>
        <v>116.99988120077001</v>
      </c>
      <c r="X77" s="112">
        <f t="shared" ca="1" si="8"/>
        <v>113.99995776720304</v>
      </c>
      <c r="Y77" s="90">
        <f t="shared" ca="1" si="9"/>
        <v>12</v>
      </c>
      <c r="AA77" s="90" t="str">
        <f ca="1">IF($Y77="","",IF(OFFSET(C$55,'Intermediate Data'!$Y77,0)=-98,"Unknown",IF(OFFSET(C$55,'Intermediate Data'!$Y77,0)=-99,"N/A",OFFSET(C$55,'Intermediate Data'!$Y77,0))))</f>
        <v>Compact audio</v>
      </c>
      <c r="AB77" s="90" t="str">
        <f ca="1">IF($Y77="","",IF(OFFSET(D$55,'Intermediate Data'!$Y77,0)=-98,"N/A",IF(OFFSET(D$55,'Intermediate Data'!$Y77,0)=-99,"N/A",OFFSET(D$55,'Intermediate Data'!$Y77,0))))</f>
        <v>N/A</v>
      </c>
      <c r="AC77" s="90">
        <f ca="1">IF($Y77="","",IF(OFFSET(E$55,'Intermediate Data'!$Y77,0)=-98,"N/A",IF(OFFSET(E$55,'Intermediate Data'!$Y77,0)=-99,"N/A",OFFSET(E$55,'Intermediate Data'!$Y77,0))))</f>
        <v>0.66939067709045774</v>
      </c>
      <c r="AD77" s="90" t="str">
        <f ca="1">IF($Y77="","",IF(OFFSET(F$55,'Intermediate Data'!$Y77,0)=-98,"N/A",IF(OFFSET(F$55,'Intermediate Data'!$Y77,0)=-99,"N/A",OFFSET(F$55,'Intermediate Data'!$Y77,0))))</f>
        <v>N/A</v>
      </c>
      <c r="AE77" s="90">
        <f ca="1">IF($Y77="","",IF(OFFSET(G$55,'Intermediate Data'!$Y77,0)=-98,"N/A",IF(OFFSET(G$55,'Intermediate Data'!$Y77,0)=-99,"N/A",OFFSET(G$55,'Intermediate Data'!$Y77,0))))</f>
        <v>0.32373509479064932</v>
      </c>
      <c r="AF77" s="90" t="str">
        <f ca="1">IF($Y77="","",IF(OFFSET(H$55,'Intermediate Data'!$Y77,0)=-98,"N/A",IF(OFFSET(H$55,'Intermediate Data'!$Y77,0)=-99,"N/A",OFFSET(H$55,'Intermediate Data'!$Y77,0))))</f>
        <v>N/A</v>
      </c>
      <c r="AG77" s="90">
        <f ca="1">IF($Y77="","",IF(OFFSET(I$55,'Intermediate Data'!$Y77,0)=-98,"N/A",IF(OFFSET(I$55,'Intermediate Data'!$Y77,0)=-99,"N/A",OFFSET(I$55,'Intermediate Data'!$Y77,0))))</f>
        <v>0.32373509479064932</v>
      </c>
      <c r="AH77" s="90" t="str">
        <f ca="1">IF($Y77="","",IF(OFFSET(J$55,'Intermediate Data'!$Y77,0)=-98,"N/A",IF(OFFSET(J$55,'Intermediate Data'!$Y77,0)=-99,"N/A",OFFSET(J$55,'Intermediate Data'!$Y77,0))))</f>
        <v>RASS</v>
      </c>
      <c r="AI77" s="90" t="str">
        <f ca="1">IF($Y77="","",IF(OFFSET(K$55,'Intermediate Data'!$Y77,0)=-98,"N/A",IF(OFFSET(K$55,'Intermediate Data'!$Y77,0)=-99,"N/A",OFFSET(K$55,'Intermediate Data'!$Y77,0))))</f>
        <v>N/A</v>
      </c>
      <c r="AJ77" s="90">
        <f ca="1">IF($Y77="","",IF(OFFSET(L$55,'Intermediate Data'!$Y77,0)=-98,"N/A",IF(OFFSET(L$55,'Intermediate Data'!$Y77,0)=-99,"N/A",OFFSET(L$55,'Intermediate Data'!$Y77,0))))</f>
        <v>0.88662016732526805</v>
      </c>
      <c r="AK77" s="90" t="str">
        <f ca="1">IF($Y77="","",IF(OFFSET(M$55,'Intermediate Data'!$Y77,0)=-98,"N/A",IF(OFFSET(M$55,'Intermediate Data'!$Y77,0)=-99,"N/A",OFFSET(M$55,'Intermediate Data'!$Y77,0))))</f>
        <v>N/A</v>
      </c>
      <c r="AL77" s="90">
        <f ca="1">IF($Y77="","",IF(OFFSET(N$55,'Intermediate Data'!$Y77,0)=-98,"N/A",IF(OFFSET(N$55,'Intermediate Data'!$Y77,0)=-99,"N/A",OFFSET(N$55,'Intermediate Data'!$Y77,0))))</f>
        <v>0.4418494481165896</v>
      </c>
      <c r="AM77" s="90" t="str">
        <f ca="1">IF($Y77="","",IF(OFFSET(O$55,'Intermediate Data'!$Y77,0)=-98,"N/A",IF(OFFSET(O$55,'Intermediate Data'!$Y77,0)=-99,"N/A",OFFSET(O$55,'Intermediate Data'!$Y77,0))))</f>
        <v>N/A</v>
      </c>
      <c r="AN77" s="90">
        <f ca="1">IF($Y77="","",IF(OFFSET(P$55,'Intermediate Data'!$Y77,0)=-98,"N/A",IF(OFFSET(P$55,'Intermediate Data'!$Y77,0)=-99,"N/A",OFFSET(P$55,'Intermediate Data'!$Y77,0))))</f>
        <v>0.4418494481165896</v>
      </c>
      <c r="AO77" s="90" t="str">
        <f ca="1">IF($Y77="","",IF(OFFSET(Q$55,'Intermediate Data'!$Y77,0)=-98,"N/A",IF(OFFSET(Q$55,'Intermediate Data'!$Y77,0)=-99,"N/A",OFFSET(Q$55,'Intermediate Data'!$Y77,0))))</f>
        <v>RASS</v>
      </c>
      <c r="AP77" s="697" t="str">
        <f ca="1">IF($Y77="","",IF(OFFSET(S$55,'Intermediate Data'!$Y77,0)=-98,"",IF(OFFSET(S$55,'Intermediate Data'!$Y77,0)=-99,"",OFFSET(S$55,'Intermediate Data'!$Y77,0))))</f>
        <v/>
      </c>
      <c r="AQ77" s="90">
        <f ca="1">IF($Y77="","",IF(OFFSET(T$55,'Intermediate Data'!$Y77,0)=-98,"Not published",IF(OFFSET(T$55,'Intermediate Data'!$Y77,0)=-99,"",OFFSET(T$55,'Intermediate Data'!$Y77,0))))</f>
        <v>0.02</v>
      </c>
      <c r="AR77" s="90">
        <f ca="1">IF($Y77="","",IF(OFFSET(U$55,'Intermediate Data'!$Y77,0)=-98,"Unknown",IF(OFFSET(U$55,'Intermediate Data'!$Y77,0)=-99,"",OFFSET(U$55,'Intermediate Data'!$Y77,0))))</f>
        <v>70</v>
      </c>
      <c r="AU77" s="112" t="str">
        <f ca="1">IF(AND(OFFSET(DATA!$F26,0,$AX$48)='Intermediate Data'!$AY$48,DATA!$E26="Tier 1"),IF(OR($AX$49=0,$AX$48=1),DATA!A26,IF(AND($AX$49=1,INDEX('Intermediate Data'!$AY$25:$AY$44,MATCH(DATA!$B26,'Intermediate Data'!$AX$25:$AX$44,0))=TRUE),DATA!A26,"")),"")</f>
        <v/>
      </c>
      <c r="AV77" s="112" t="str">
        <f ca="1">IF($AU77="","",DATA!B26)</f>
        <v/>
      </c>
      <c r="AW77" s="112" t="str">
        <f ca="1">IF(OR($AU77="",DATA!BI26=""),"",DATA!BI26)</f>
        <v/>
      </c>
      <c r="AX77" s="112" t="str">
        <f ca="1">IF(OR($AU77="",OFFSET(DATA!BK26,0,$AX$48)=""),"",OFFSET(DATA!BK26,0,$AX$48))</f>
        <v/>
      </c>
      <c r="AY77" s="112" t="str">
        <f ca="1">IF(OR($AU77="",OFFSET(DATA!BM26,0,$AX$48)=""),"",OFFSET(DATA!BM26,0,$AX$48))</f>
        <v/>
      </c>
      <c r="AZ77" s="112" t="str">
        <f ca="1">IF(OR($AU77="",OFFSET(DATA!BO26,0,'Intermediate Data'!$AX$48)=""),"",OFFSET(DATA!BO26,0,$AX$48))</f>
        <v/>
      </c>
      <c r="BA77" s="112" t="str">
        <f ca="1">IF(OR($AU77="",DATA!BQ26=""),"",DATA!BQ26)</f>
        <v/>
      </c>
      <c r="BB77" s="112" t="str">
        <f ca="1">IF($AU77="","",OFFSET(DATA!BS26,0,$AX$48))</f>
        <v/>
      </c>
      <c r="BC77" s="112" t="str">
        <f ca="1">IF($AU77="","",OFFSET(DATA!BU26,0,$AX$48))</f>
        <v/>
      </c>
      <c r="BD77" s="112" t="str">
        <f ca="1">IF($AU77="","",OFFSET(DATA!BW26,0,$AX$48))</f>
        <v/>
      </c>
      <c r="BE77" s="112" t="str">
        <f ca="1">IF($AU77="","",OFFSET(DATA!BY26,0,$AX$48))</f>
        <v/>
      </c>
      <c r="BF77" s="112" t="str">
        <f ca="1">IF($AU77="","",OFFSET(DATA!CA26,0,$AX$48))</f>
        <v/>
      </c>
      <c r="BG77" s="112" t="str">
        <f ca="1">IF($AU77="","",DATA!CC26)</f>
        <v/>
      </c>
      <c r="BH77" s="112" t="str">
        <f ca="1">IF($AU77="","",OFFSET(DATA!CE26,0,$AX$48))</f>
        <v/>
      </c>
      <c r="BI77" s="112" t="str">
        <f ca="1">IF($AU77="","",OFFSET(DATA!CG26,0,$AX$48))</f>
        <v/>
      </c>
      <c r="BJ77" s="112" t="str">
        <f ca="1">IF($AU77="","",OFFSET(DATA!CI26,0,$AX$48))</f>
        <v/>
      </c>
      <c r="BK77" s="112" t="str">
        <f ca="1">IF($AU77="","",OFFSET(DATA!CK26,0,$AX$48))</f>
        <v/>
      </c>
      <c r="BL77" s="112" t="str">
        <f ca="1">IF($AU77="","",OFFSET(DATA!CM26,0,$AX$48))</f>
        <v/>
      </c>
      <c r="BM77" s="112" t="str">
        <f ca="1">IF($AU77="","",DATA!BH26)</f>
        <v/>
      </c>
      <c r="BN77" s="112" t="str">
        <f ca="1">IF($AU77="","",DATA!DS26)</f>
        <v/>
      </c>
      <c r="BO77" s="112" t="str">
        <f ca="1">IF($AU77="","",DATA!DU26)</f>
        <v/>
      </c>
      <c r="BP77" s="112" t="str">
        <f ca="1">IF($AU77="","",DATA!DV26)</f>
        <v/>
      </c>
      <c r="BQ77" s="112" t="str">
        <f ca="1">IF($AU77="","",DATA!DX26)</f>
        <v/>
      </c>
      <c r="BR77" s="112" t="str">
        <f ca="1">IF($AU77="","",DATA!DZ26)</f>
        <v/>
      </c>
      <c r="BS77" s="171" t="str">
        <f ca="1">IF($AU77="","",DATA!EA26)</f>
        <v/>
      </c>
      <c r="BT77" s="171" t="str">
        <f ca="1">IF($AU77="","",DATA!EC26)</f>
        <v/>
      </c>
      <c r="BU77" s="171" t="str">
        <f ca="1">IF($AU77="","",DATA!EF26)</f>
        <v/>
      </c>
      <c r="BV77" s="113" t="str">
        <f t="shared" ca="1" si="10"/>
        <v/>
      </c>
      <c r="BW77" s="680" t="str">
        <f ca="1">IF(AU77="","",OFFSET(DATA!DC26,0,'Intermediate Data'!$AX$48))</f>
        <v/>
      </c>
      <c r="BX77" s="681" t="str">
        <f ca="1">IF($AU77="","",DATA!DG26)</f>
        <v/>
      </c>
      <c r="BY77" s="680" t="str">
        <f ca="1">IF($AU77="","",OFFSET(DATA!DE26,0,'Intermediate Data'!$AX$48))</f>
        <v/>
      </c>
      <c r="BZ77" s="681" t="str">
        <f ca="1">IF($AU77="","",DATA!DH26)</f>
        <v/>
      </c>
      <c r="CA77" s="90" t="str">
        <f t="shared" ca="1" si="11"/>
        <v/>
      </c>
      <c r="CB77" s="99" t="str">
        <f t="shared" ca="1" si="12"/>
        <v/>
      </c>
      <c r="CC77" s="90" t="str">
        <f t="shared" ca="1" si="13"/>
        <v/>
      </c>
      <c r="CD77" s="90" t="str">
        <f t="shared" ca="1" si="14"/>
        <v/>
      </c>
      <c r="CF77" s="90" t="str">
        <f ca="1">IF($CD77="","",IF(OFFSET(AV$55,'Intermediate Data'!$CD77,0)=-98,"Unknown",IF(OFFSET(AV$55,'Intermediate Data'!$CD77,0)=-99,"N/A",OFFSET(AV$55,'Intermediate Data'!$CD77,0))))</f>
        <v/>
      </c>
      <c r="CG77" s="90" t="str">
        <f ca="1">IF($CD77="","",IF(OFFSET(AW$55,'Intermediate Data'!$CD77,0)=-98,"",IF(OFFSET(AW$55,'Intermediate Data'!$CD77,0)=-99,"N/A",OFFSET(AW$55,'Intermediate Data'!$CD77,0))))</f>
        <v/>
      </c>
      <c r="CH77" s="90" t="str">
        <f ca="1">IF($CD77="","",IF(OFFSET(AX$55,'Intermediate Data'!$CD77,0)=-98,"Unknown",IF(OFFSET(AX$55,'Intermediate Data'!$CD77,0)=-99,"N/A",OFFSET(AX$55,'Intermediate Data'!$CD77,0))))</f>
        <v/>
      </c>
      <c r="CI77" s="125" t="str">
        <f ca="1">IF($CD77="","",IF(OFFSET(AY$55,'Intermediate Data'!$CD77,0)=-98,"Unknown",IF(OFFSET(AY$55,'Intermediate Data'!$CD77,0)=-99,"No spec",OFFSET(AY$55,'Intermediate Data'!$CD77,0))))</f>
        <v/>
      </c>
      <c r="CJ77" s="125" t="str">
        <f ca="1">IF($CD77="","",IF(OFFSET(AZ$55,'Intermediate Data'!$CD77,0)=-98,"Unknown",IF(OFFSET(AZ$55,'Intermediate Data'!$CD77,0)=-99,"N/A",OFFSET(AZ$55,'Intermediate Data'!$CD77,0))))</f>
        <v/>
      </c>
      <c r="CK77" s="90" t="str">
        <f ca="1">IF($CD77="","",IF(OFFSET(BA$55,'Intermediate Data'!$CD77,0)=-98,"Unknown",IF(OFFSET(BA$55,'Intermediate Data'!$CD77,0)=-99,"N/A",OFFSET(BA$55,'Intermediate Data'!$CD77,0))))</f>
        <v/>
      </c>
      <c r="CL77" s="90" t="str">
        <f ca="1">IF($CD77="","",IF(OFFSET(BB$55,'Intermediate Data'!$CD77,$AX$50)=-98,"Unknown",IF(OFFSET(BB$55,'Intermediate Data'!$CD77,$AX$50)="N/A","",OFFSET(BB$55,'Intermediate Data'!$CD77,$AX$50))))</f>
        <v/>
      </c>
      <c r="CM77" s="90" t="str">
        <f ca="1">IF($CD77="","",IF(OFFSET(BG$55,'Intermediate Data'!$CD77,0)="ET","ET",""))</f>
        <v/>
      </c>
      <c r="CN77" s="90" t="str">
        <f ca="1">IF($CD77="","",IF(OFFSET(BH$55,'Intermediate Data'!$CD77,$AX$50)=-98,"Unknown",IF(OFFSET(BH$55,'Intermediate Data'!$CD77,$AX$50)="N/A","",OFFSET(BH$55,'Intermediate Data'!$CD77,$AX$50))))</f>
        <v/>
      </c>
      <c r="CO77" s="90" t="str">
        <f ca="1">IF($CD77="","",IF(OFFSET(BM$55,'Intermediate Data'!$CD77,0)=-98,"Not published",IF(OFFSET(BM$55,'Intermediate Data'!$CD77,0)=-99,"No spec",OFFSET(BM$55,'Intermediate Data'!$CD77,0))))</f>
        <v/>
      </c>
      <c r="CP77" s="114" t="str">
        <f ca="1">IF($CD77="","",IF(OFFSET(BN$55,'Intermediate Data'!$CD77,0)=-98,"Unknown",IF(OFFSET(BN$55,'Intermediate Data'!$CD77,0)=-99,"N/A",OFFSET(BN$55,'Intermediate Data'!$CD77,0))))</f>
        <v/>
      </c>
      <c r="CQ77" s="114" t="str">
        <f ca="1">IF($CD77="","",IF(OFFSET(BO$55,'Intermediate Data'!$CD77,0)=-98,"Unknown",IF(OFFSET(BO$55,'Intermediate Data'!$CD77,0)=-99,"N/A",OFFSET(BO$55,'Intermediate Data'!$CD77,0))))</f>
        <v/>
      </c>
      <c r="CR77" s="114" t="str">
        <f ca="1">IF($CD77="","",IF(OFFSET(BP$55,'Intermediate Data'!$CD77,0)=-98,"Unknown",IF(OFFSET(BP$55,'Intermediate Data'!$CD77,0)=-99,"N/A",OFFSET(BP$55,'Intermediate Data'!$CD77,0))))</f>
        <v/>
      </c>
      <c r="CS77" s="114" t="str">
        <f ca="1">IF($CD77="","",IF(OFFSET(BQ$55,'Intermediate Data'!$CD77,0)=-98,"Unknown",IF(OFFSET(BQ$55,'Intermediate Data'!$CD77,0)=-99,"N/A",OFFSET(BQ$55,'Intermediate Data'!$CD77,0))))</f>
        <v/>
      </c>
      <c r="CT77" s="114" t="str">
        <f ca="1">IF($CD77="","",IF(OFFSET(BR$55,'Intermediate Data'!$CD77,0)=-98,"Unknown",IF(OFFSET(BR$55,'Intermediate Data'!$CD77,0)=-99,"N/A",OFFSET(BR$55,'Intermediate Data'!$CD77,0))))</f>
        <v/>
      </c>
      <c r="CU77" s="114" t="str">
        <f ca="1">IF($CD77="","",IF(OFFSET(BS$55,'Intermediate Data'!$CD77,0)=-98,"Unknown",IF(OFFSET(BS$55,'Intermediate Data'!$CD77,0)=-99,"N/A",OFFSET(BS$55,'Intermediate Data'!$CD77,0))))</f>
        <v/>
      </c>
      <c r="CV77" s="114" t="str">
        <f ca="1">IF($CD77="","",IF(OFFSET(BT$55,'Intermediate Data'!$CD77,0)=-98,"Unknown",IF(OFFSET(BT$55,'Intermediate Data'!$CD77,0)=-99,"N/A",OFFSET(BT$55,'Intermediate Data'!$CD77,0))))</f>
        <v/>
      </c>
      <c r="CW77" s="114" t="str">
        <f ca="1">IF($CD77="","",IF(OFFSET(BU$55,'Intermediate Data'!$CD77,0)=-98,"Unknown",IF(OFFSET(BU$55,'Intermediate Data'!$CD77,0)=-99,"N/A",OFFSET(BU$55,'Intermediate Data'!$CD77,0))))</f>
        <v/>
      </c>
      <c r="CX77" s="114" t="str">
        <f ca="1">IF($CD77="","",IF(OFFSET(BV$55,'Intermediate Data'!$CD77,0)=-98,"Unknown",IF(OFFSET(BV$55,'Intermediate Data'!$CD77,0)=-99,"N/A",OFFSET(BV$55,'Intermediate Data'!$CD77,0))))</f>
        <v/>
      </c>
      <c r="CY77" s="682" t="str">
        <f ca="1">IF($CD77="","",IF(OFFSET(BW$55,'Intermediate Data'!$CD77,0)=-98,"Unknown",IF(OFFSET(BW$55,'Intermediate Data'!$CD77,0)="N/A","",OFFSET(BW$55,'Intermediate Data'!$CD77,0))))</f>
        <v/>
      </c>
      <c r="CZ77" s="682" t="str">
        <f ca="1">IF($CD77="","",IF(OFFSET(BX$55,'Intermediate Data'!$CD77,0)=-98,"Unknown",IF(OFFSET(BX$55,'Intermediate Data'!$CD77,0)="N/A","",OFFSET(BX$55,'Intermediate Data'!$CD77,0))))</f>
        <v/>
      </c>
      <c r="DA77" s="682" t="str">
        <f ca="1">IF($CD77="","",IF(OFFSET(BY$55,'Intermediate Data'!$CD77,0)=-98,"Unknown",IF(OFFSET(BY$55,'Intermediate Data'!$CD77,0)="N/A","",OFFSET(BY$55,'Intermediate Data'!$CD77,0))))</f>
        <v/>
      </c>
      <c r="DB77" s="682" t="str">
        <f ca="1">IF($CD77="","",IF(OFFSET(BZ$55,'Intermediate Data'!$CD77,0)=-98,"Unknown",IF(OFFSET(BZ$55,'Intermediate Data'!$CD77,0)="N/A","",OFFSET(BZ$55,'Intermediate Data'!$CD77,0))))</f>
        <v/>
      </c>
    </row>
    <row r="78" spans="1:106" x14ac:dyDescent="0.2">
      <c r="A78" s="90">
        <f ca="1">IF(OFFSET(DATA!F27,0,$D$48)='Intermediate Data'!$E$48,IF(OR($E$49=$C$27,$E$48=$B$4),DATA!A27,IF($G$49=DATA!D27,DATA!A27,"")),"")</f>
        <v>23</v>
      </c>
      <c r="B78" s="90">
        <f ca="1">IF($A78="","",DATA!EH27)</f>
        <v>105</v>
      </c>
      <c r="C78" s="90" t="str">
        <f ca="1">IF($A78="","",DATA!B27)</f>
        <v>Dishwasher</v>
      </c>
      <c r="D78" s="90">
        <f ca="1">IF($A78="","",OFFSET(DATA!$H27,0,($D$50*5)))</f>
        <v>0.69699999999999995</v>
      </c>
      <c r="E78" s="90">
        <f ca="1">IF($A78="","",OFFSET(DATA!$H27,0,($D$50*5)+1))</f>
        <v>0.63564418108614706</v>
      </c>
      <c r="F78" s="90">
        <f ca="1">IF($A78="","",OFFSET(DATA!$H27,0,($D$50*5)+2))</f>
        <v>0.68799999999999994</v>
      </c>
      <c r="G78" s="90">
        <f ca="1">IF($A78="","",OFFSET(DATA!$H27,0,($D$50*5)+3))</f>
        <v>0.69530310814947072</v>
      </c>
      <c r="H78" s="90">
        <f ca="1">IF($A78="","",OFFSET(DATA!$H27,0,($D$50*5)+4))</f>
        <v>0.71</v>
      </c>
      <c r="I78" s="90">
        <f t="shared" ca="1" si="2"/>
        <v>0.71</v>
      </c>
      <c r="J78" s="90" t="str">
        <f t="shared" ca="1" si="3"/>
        <v>CLASS</v>
      </c>
      <c r="K78" s="90">
        <f ca="1">IF($A78="","",OFFSET(DATA!$AG27,0,($D$50*5)))</f>
        <v>-99</v>
      </c>
      <c r="L78" s="90">
        <f ca="1">IF($A78="","",OFFSET(DATA!$AG27,0,($D$50*5)+1))</f>
        <v>-99</v>
      </c>
      <c r="M78" s="90">
        <f ca="1">IF($A78="","",OFFSET(DATA!$AG27,0,($D$50*5)+2))</f>
        <v>-99</v>
      </c>
      <c r="N78" s="90">
        <f ca="1">IF($A78="","",OFFSET(DATA!$AG27,0,($D$50*5)+3))</f>
        <v>-99</v>
      </c>
      <c r="O78" s="90">
        <f ca="1">IF($A78="","",OFFSET(DATA!$AG27,0,($D$50*5)+4))</f>
        <v>-99</v>
      </c>
      <c r="P78" s="90">
        <f t="shared" ca="1" si="4"/>
        <v>-99</v>
      </c>
      <c r="Q78" s="90" t="str">
        <f t="shared" ca="1" si="5"/>
        <v/>
      </c>
      <c r="R78" s="699">
        <f ca="1">IF($A78="","",IF(DATA!BF27="",-99,DATA!BF27))</f>
        <v>0.85699999999999998</v>
      </c>
      <c r="S78" s="90">
        <f ca="1">IF($A78="","",IF(DATA!BG27="",-99,DATA!BF27-DATA!BG27))</f>
        <v>-0.10299999999999998</v>
      </c>
      <c r="T78" s="90">
        <f ca="1">IF($A78="","",DATA!BH27)</f>
        <v>0.9</v>
      </c>
      <c r="U78" s="90">
        <f ca="1">IF($A78="","",OFFSET(DATA!BM27,0,$D$48))</f>
        <v>8</v>
      </c>
      <c r="V78" s="90">
        <f t="shared" ca="1" si="6"/>
        <v>105</v>
      </c>
      <c r="W78" s="99">
        <f t="shared" ca="1" si="7"/>
        <v>104.99995173467474</v>
      </c>
      <c r="X78" s="112">
        <f t="shared" ca="1" si="8"/>
        <v>112.99996812779646</v>
      </c>
      <c r="Y78" s="90">
        <f t="shared" ca="1" si="9"/>
        <v>90</v>
      </c>
      <c r="AA78" s="90" t="str">
        <f ca="1">IF($Y78="","",IF(OFFSET(C$55,'Intermediate Data'!$Y78,0)=-98,"Unknown",IF(OFFSET(C$55,'Intermediate Data'!$Y78,0)=-99,"N/A",OFFSET(C$55,'Intermediate Data'!$Y78,0))))</f>
        <v>Copier</v>
      </c>
      <c r="AB78" s="90" t="str">
        <f ca="1">IF($Y78="","",IF(OFFSET(D$55,'Intermediate Data'!$Y78,0)=-98,"N/A",IF(OFFSET(D$55,'Intermediate Data'!$Y78,0)=-99,"N/A",OFFSET(D$55,'Intermediate Data'!$Y78,0))))</f>
        <v>N/A</v>
      </c>
      <c r="AC78" s="90">
        <f ca="1">IF($Y78="","",IF(OFFSET(E$55,'Intermediate Data'!$Y78,0)=-98,"N/A",IF(OFFSET(E$55,'Intermediate Data'!$Y78,0)=-99,"N/A",OFFSET(E$55,'Intermediate Data'!$Y78,0))))</f>
        <v>0.110102559030024</v>
      </c>
      <c r="AD78" s="90" t="str">
        <f ca="1">IF($Y78="","",IF(OFFSET(F$55,'Intermediate Data'!$Y78,0)=-98,"N/A",IF(OFFSET(F$55,'Intermediate Data'!$Y78,0)=-99,"N/A",OFFSET(F$55,'Intermediate Data'!$Y78,0))))</f>
        <v>N/A</v>
      </c>
      <c r="AE78" s="90">
        <f ca="1">IF($Y78="","",IF(OFFSET(G$55,'Intermediate Data'!$Y78,0)=-98,"N/A",IF(OFFSET(G$55,'Intermediate Data'!$Y78,0)=-99,"N/A",OFFSET(G$55,'Intermediate Data'!$Y78,0))))</f>
        <v>0.11008543765353025</v>
      </c>
      <c r="AF78" s="90" t="str">
        <f ca="1">IF($Y78="","",IF(OFFSET(H$55,'Intermediate Data'!$Y78,0)=-98,"N/A",IF(OFFSET(H$55,'Intermediate Data'!$Y78,0)=-99,"N/A",OFFSET(H$55,'Intermediate Data'!$Y78,0))))</f>
        <v>N/A</v>
      </c>
      <c r="AG78" s="90">
        <f ca="1">IF($Y78="","",IF(OFFSET(I$55,'Intermediate Data'!$Y78,0)=-98,"N/A",IF(OFFSET(I$55,'Intermediate Data'!$Y78,0)=-99,"N/A",OFFSET(I$55,'Intermediate Data'!$Y78,0))))</f>
        <v>0.11008543765353025</v>
      </c>
      <c r="AH78" s="90" t="str">
        <f ca="1">IF($Y78="","",IF(OFFSET(J$55,'Intermediate Data'!$Y78,0)=-98,"N/A",IF(OFFSET(J$55,'Intermediate Data'!$Y78,0)=-99,"N/A",OFFSET(J$55,'Intermediate Data'!$Y78,0))))</f>
        <v>RASS</v>
      </c>
      <c r="AI78" s="90" t="str">
        <f ca="1">IF($Y78="","",IF(OFFSET(K$55,'Intermediate Data'!$Y78,0)=-98,"N/A",IF(OFFSET(K$55,'Intermediate Data'!$Y78,0)=-99,"N/A",OFFSET(K$55,'Intermediate Data'!$Y78,0))))</f>
        <v>N/A</v>
      </c>
      <c r="AJ78" s="90">
        <f ca="1">IF($Y78="","",IF(OFFSET(L$55,'Intermediate Data'!$Y78,0)=-98,"N/A",IF(OFFSET(L$55,'Intermediate Data'!$Y78,0)=-99,"N/A",OFFSET(L$55,'Intermediate Data'!$Y78,0))))</f>
        <v>0.11584965202713961</v>
      </c>
      <c r="AK78" s="90" t="str">
        <f ca="1">IF($Y78="","",IF(OFFSET(M$55,'Intermediate Data'!$Y78,0)=-98,"N/A",IF(OFFSET(M$55,'Intermediate Data'!$Y78,0)=-99,"N/A",OFFSET(M$55,'Intermediate Data'!$Y78,0))))</f>
        <v>N/A</v>
      </c>
      <c r="AL78" s="90">
        <f ca="1">IF($Y78="","",IF(OFFSET(N$55,'Intermediate Data'!$Y78,0)=-98,"N/A",IF(OFFSET(N$55,'Intermediate Data'!$Y78,0)=-99,"N/A",OFFSET(N$55,'Intermediate Data'!$Y78,0))))</f>
        <v>0.11734146377682651</v>
      </c>
      <c r="AM78" s="90" t="str">
        <f ca="1">IF($Y78="","",IF(OFFSET(O$55,'Intermediate Data'!$Y78,0)=-98,"N/A",IF(OFFSET(O$55,'Intermediate Data'!$Y78,0)=-99,"N/A",OFFSET(O$55,'Intermediate Data'!$Y78,0))))</f>
        <v>N/A</v>
      </c>
      <c r="AN78" s="90">
        <f ca="1">IF($Y78="","",IF(OFFSET(P$55,'Intermediate Data'!$Y78,0)=-98,"N/A",IF(OFFSET(P$55,'Intermediate Data'!$Y78,0)=-99,"N/A",OFFSET(P$55,'Intermediate Data'!$Y78,0))))</f>
        <v>0.11734146377682651</v>
      </c>
      <c r="AO78" s="90" t="str">
        <f ca="1">IF($Y78="","",IF(OFFSET(Q$55,'Intermediate Data'!$Y78,0)=-98,"N/A",IF(OFFSET(Q$55,'Intermediate Data'!$Y78,0)=-99,"N/A",OFFSET(Q$55,'Intermediate Data'!$Y78,0))))</f>
        <v>RASS</v>
      </c>
      <c r="AP78" s="697" t="str">
        <f ca="1">IF($Y78="","",IF(OFFSET(S$55,'Intermediate Data'!$Y78,0)=-98,"",IF(OFFSET(S$55,'Intermediate Data'!$Y78,0)=-99,"",OFFSET(S$55,'Intermediate Data'!$Y78,0))))</f>
        <v/>
      </c>
      <c r="AQ78" s="90">
        <f ca="1">IF($Y78="","",IF(OFFSET(T$55,'Intermediate Data'!$Y78,0)=-98,"Not published",IF(OFFSET(T$55,'Intermediate Data'!$Y78,0)=-99,"",OFFSET(T$55,'Intermediate Data'!$Y78,0))))</f>
        <v>0.7</v>
      </c>
      <c r="AR78" s="90">
        <f ca="1">IF($Y78="","",IF(OFFSET(U$55,'Intermediate Data'!$Y78,0)=-98,"Unknown",IF(OFFSET(U$55,'Intermediate Data'!$Y78,0)=-99,"",OFFSET(U$55,'Intermediate Data'!$Y78,0))))</f>
        <v>175</v>
      </c>
      <c r="AU78" s="112" t="str">
        <f ca="1">IF(AND(OFFSET(DATA!$F27,0,$AX$48)='Intermediate Data'!$AY$48,DATA!$E27="Tier 1"),IF(OR($AX$49=0,$AX$48=1),DATA!A27,IF(AND($AX$49=1,INDEX('Intermediate Data'!$AY$25:$AY$44,MATCH(DATA!$B27,'Intermediate Data'!$AX$25:$AX$44,0))=TRUE),DATA!A27,"")),"")</f>
        <v/>
      </c>
      <c r="AV78" s="112" t="str">
        <f ca="1">IF($AU78="","",DATA!B27)</f>
        <v/>
      </c>
      <c r="AW78" s="112" t="str">
        <f ca="1">IF(OR($AU78="",DATA!BI27=""),"",DATA!BI27)</f>
        <v/>
      </c>
      <c r="AX78" s="112" t="str">
        <f ca="1">IF(OR($AU78="",OFFSET(DATA!BK27,0,$AX$48)=""),"",OFFSET(DATA!BK27,0,$AX$48))</f>
        <v/>
      </c>
      <c r="AY78" s="112" t="str">
        <f ca="1">IF(OR($AU78="",OFFSET(DATA!BM27,0,$AX$48)=""),"",OFFSET(DATA!BM27,0,$AX$48))</f>
        <v/>
      </c>
      <c r="AZ78" s="112" t="str">
        <f ca="1">IF(OR($AU78="",OFFSET(DATA!BO27,0,'Intermediate Data'!$AX$48)=""),"",OFFSET(DATA!BO27,0,$AX$48))</f>
        <v/>
      </c>
      <c r="BA78" s="112" t="str">
        <f ca="1">IF(OR($AU78="",DATA!BQ27=""),"",DATA!BQ27)</f>
        <v/>
      </c>
      <c r="BB78" s="112" t="str">
        <f ca="1">IF($AU78="","",OFFSET(DATA!BS27,0,$AX$48))</f>
        <v/>
      </c>
      <c r="BC78" s="112" t="str">
        <f ca="1">IF($AU78="","",OFFSET(DATA!BU27,0,$AX$48))</f>
        <v/>
      </c>
      <c r="BD78" s="112" t="str">
        <f ca="1">IF($AU78="","",OFFSET(DATA!BW27,0,$AX$48))</f>
        <v/>
      </c>
      <c r="BE78" s="112" t="str">
        <f ca="1">IF($AU78="","",OFFSET(DATA!BY27,0,$AX$48))</f>
        <v/>
      </c>
      <c r="BF78" s="112" t="str">
        <f ca="1">IF($AU78="","",OFFSET(DATA!CA27,0,$AX$48))</f>
        <v/>
      </c>
      <c r="BG78" s="112" t="str">
        <f ca="1">IF($AU78="","",DATA!CC27)</f>
        <v/>
      </c>
      <c r="BH78" s="112" t="str">
        <f ca="1">IF($AU78="","",OFFSET(DATA!CE27,0,$AX$48))</f>
        <v/>
      </c>
      <c r="BI78" s="112" t="str">
        <f ca="1">IF($AU78="","",OFFSET(DATA!CG27,0,$AX$48))</f>
        <v/>
      </c>
      <c r="BJ78" s="112" t="str">
        <f ca="1">IF($AU78="","",OFFSET(DATA!CI27,0,$AX$48))</f>
        <v/>
      </c>
      <c r="BK78" s="112" t="str">
        <f ca="1">IF($AU78="","",OFFSET(DATA!CK27,0,$AX$48))</f>
        <v/>
      </c>
      <c r="BL78" s="112" t="str">
        <f ca="1">IF($AU78="","",OFFSET(DATA!CM27,0,$AX$48))</f>
        <v/>
      </c>
      <c r="BM78" s="112" t="str">
        <f ca="1">IF($AU78="","",DATA!BH27)</f>
        <v/>
      </c>
      <c r="BN78" s="112" t="str">
        <f ca="1">IF($AU78="","",DATA!DS27)</f>
        <v/>
      </c>
      <c r="BO78" s="112" t="str">
        <f ca="1">IF($AU78="","",DATA!DU27)</f>
        <v/>
      </c>
      <c r="BP78" s="112" t="str">
        <f ca="1">IF($AU78="","",DATA!DV27)</f>
        <v/>
      </c>
      <c r="BQ78" s="112" t="str">
        <f ca="1">IF($AU78="","",DATA!DX27)</f>
        <v/>
      </c>
      <c r="BR78" s="112" t="str">
        <f ca="1">IF($AU78="","",DATA!DZ27)</f>
        <v/>
      </c>
      <c r="BS78" s="171" t="str">
        <f ca="1">IF($AU78="","",DATA!EA27)</f>
        <v/>
      </c>
      <c r="BT78" s="171" t="str">
        <f ca="1">IF($AU78="","",DATA!EC27)</f>
        <v/>
      </c>
      <c r="BU78" s="171" t="str">
        <f ca="1">IF($AU78="","",DATA!EF27)</f>
        <v/>
      </c>
      <c r="BV78" s="113" t="str">
        <f t="shared" ca="1" si="10"/>
        <v/>
      </c>
      <c r="BW78" s="680" t="str">
        <f ca="1">IF(AU78="","",OFFSET(DATA!DC27,0,'Intermediate Data'!$AX$48))</f>
        <v/>
      </c>
      <c r="BX78" s="681" t="str">
        <f ca="1">IF($AU78="","",DATA!DG27)</f>
        <v/>
      </c>
      <c r="BY78" s="680" t="str">
        <f ca="1">IF($AU78="","",OFFSET(DATA!DE27,0,'Intermediate Data'!$AX$48))</f>
        <v/>
      </c>
      <c r="BZ78" s="681" t="str">
        <f ca="1">IF($AU78="","",DATA!DH27)</f>
        <v/>
      </c>
      <c r="CA78" s="90" t="str">
        <f t="shared" ca="1" si="11"/>
        <v/>
      </c>
      <c r="CB78" s="99" t="str">
        <f t="shared" ca="1" si="12"/>
        <v/>
      </c>
      <c r="CC78" s="90" t="str">
        <f t="shared" ca="1" si="13"/>
        <v/>
      </c>
      <c r="CD78" s="90" t="str">
        <f t="shared" ca="1" si="14"/>
        <v/>
      </c>
      <c r="CF78" s="90" t="str">
        <f ca="1">IF($CD78="","",IF(OFFSET(AV$55,'Intermediate Data'!$CD78,0)=-98,"Unknown",IF(OFFSET(AV$55,'Intermediate Data'!$CD78,0)=-99,"N/A",OFFSET(AV$55,'Intermediate Data'!$CD78,0))))</f>
        <v/>
      </c>
      <c r="CG78" s="90" t="str">
        <f ca="1">IF($CD78="","",IF(OFFSET(AW$55,'Intermediate Data'!$CD78,0)=-98,"",IF(OFFSET(AW$55,'Intermediate Data'!$CD78,0)=-99,"N/A",OFFSET(AW$55,'Intermediate Data'!$CD78,0))))</f>
        <v/>
      </c>
      <c r="CH78" s="90" t="str">
        <f ca="1">IF($CD78="","",IF(OFFSET(AX$55,'Intermediate Data'!$CD78,0)=-98,"Unknown",IF(OFFSET(AX$55,'Intermediate Data'!$CD78,0)=-99,"N/A",OFFSET(AX$55,'Intermediate Data'!$CD78,0))))</f>
        <v/>
      </c>
      <c r="CI78" s="125" t="str">
        <f ca="1">IF($CD78="","",IF(OFFSET(AY$55,'Intermediate Data'!$CD78,0)=-98,"Unknown",IF(OFFSET(AY$55,'Intermediate Data'!$CD78,0)=-99,"No spec",OFFSET(AY$55,'Intermediate Data'!$CD78,0))))</f>
        <v/>
      </c>
      <c r="CJ78" s="125" t="str">
        <f ca="1">IF($CD78="","",IF(OFFSET(AZ$55,'Intermediate Data'!$CD78,0)=-98,"Unknown",IF(OFFSET(AZ$55,'Intermediate Data'!$CD78,0)=-99,"N/A",OFFSET(AZ$55,'Intermediate Data'!$CD78,0))))</f>
        <v/>
      </c>
      <c r="CK78" s="90" t="str">
        <f ca="1">IF($CD78="","",IF(OFFSET(BA$55,'Intermediate Data'!$CD78,0)=-98,"Unknown",IF(OFFSET(BA$55,'Intermediate Data'!$CD78,0)=-99,"N/A",OFFSET(BA$55,'Intermediate Data'!$CD78,0))))</f>
        <v/>
      </c>
      <c r="CL78" s="90" t="str">
        <f ca="1">IF($CD78="","",IF(OFFSET(BB$55,'Intermediate Data'!$CD78,$AX$50)=-98,"Unknown",IF(OFFSET(BB$55,'Intermediate Data'!$CD78,$AX$50)="N/A","",OFFSET(BB$55,'Intermediate Data'!$CD78,$AX$50))))</f>
        <v/>
      </c>
      <c r="CM78" s="90" t="str">
        <f ca="1">IF($CD78="","",IF(OFFSET(BG$55,'Intermediate Data'!$CD78,0)="ET","ET",""))</f>
        <v/>
      </c>
      <c r="CN78" s="90" t="str">
        <f ca="1">IF($CD78="","",IF(OFFSET(BH$55,'Intermediate Data'!$CD78,$AX$50)=-98,"Unknown",IF(OFFSET(BH$55,'Intermediate Data'!$CD78,$AX$50)="N/A","",OFFSET(BH$55,'Intermediate Data'!$CD78,$AX$50))))</f>
        <v/>
      </c>
      <c r="CO78" s="90" t="str">
        <f ca="1">IF($CD78="","",IF(OFFSET(BM$55,'Intermediate Data'!$CD78,0)=-98,"Not published",IF(OFFSET(BM$55,'Intermediate Data'!$CD78,0)=-99,"No spec",OFFSET(BM$55,'Intermediate Data'!$CD78,0))))</f>
        <v/>
      </c>
      <c r="CP78" s="114" t="str">
        <f ca="1">IF($CD78="","",IF(OFFSET(BN$55,'Intermediate Data'!$CD78,0)=-98,"Unknown",IF(OFFSET(BN$55,'Intermediate Data'!$CD78,0)=-99,"N/A",OFFSET(BN$55,'Intermediate Data'!$CD78,0))))</f>
        <v/>
      </c>
      <c r="CQ78" s="114" t="str">
        <f ca="1">IF($CD78="","",IF(OFFSET(BO$55,'Intermediate Data'!$CD78,0)=-98,"Unknown",IF(OFFSET(BO$55,'Intermediate Data'!$CD78,0)=-99,"N/A",OFFSET(BO$55,'Intermediate Data'!$CD78,0))))</f>
        <v/>
      </c>
      <c r="CR78" s="114" t="str">
        <f ca="1">IF($CD78="","",IF(OFFSET(BP$55,'Intermediate Data'!$CD78,0)=-98,"Unknown",IF(OFFSET(BP$55,'Intermediate Data'!$CD78,0)=-99,"N/A",OFFSET(BP$55,'Intermediate Data'!$CD78,0))))</f>
        <v/>
      </c>
      <c r="CS78" s="114" t="str">
        <f ca="1">IF($CD78="","",IF(OFFSET(BQ$55,'Intermediate Data'!$CD78,0)=-98,"Unknown",IF(OFFSET(BQ$55,'Intermediate Data'!$CD78,0)=-99,"N/A",OFFSET(BQ$55,'Intermediate Data'!$CD78,0))))</f>
        <v/>
      </c>
      <c r="CT78" s="114" t="str">
        <f ca="1">IF($CD78="","",IF(OFFSET(BR$55,'Intermediate Data'!$CD78,0)=-98,"Unknown",IF(OFFSET(BR$55,'Intermediate Data'!$CD78,0)=-99,"N/A",OFFSET(BR$55,'Intermediate Data'!$CD78,0))))</f>
        <v/>
      </c>
      <c r="CU78" s="114" t="str">
        <f ca="1">IF($CD78="","",IF(OFFSET(BS$55,'Intermediate Data'!$CD78,0)=-98,"Unknown",IF(OFFSET(BS$55,'Intermediate Data'!$CD78,0)=-99,"N/A",OFFSET(BS$55,'Intermediate Data'!$CD78,0))))</f>
        <v/>
      </c>
      <c r="CV78" s="114" t="str">
        <f ca="1">IF($CD78="","",IF(OFFSET(BT$55,'Intermediate Data'!$CD78,0)=-98,"Unknown",IF(OFFSET(BT$55,'Intermediate Data'!$CD78,0)=-99,"N/A",OFFSET(BT$55,'Intermediate Data'!$CD78,0))))</f>
        <v/>
      </c>
      <c r="CW78" s="114" t="str">
        <f ca="1">IF($CD78="","",IF(OFFSET(BU$55,'Intermediate Data'!$CD78,0)=-98,"Unknown",IF(OFFSET(BU$55,'Intermediate Data'!$CD78,0)=-99,"N/A",OFFSET(BU$55,'Intermediate Data'!$CD78,0))))</f>
        <v/>
      </c>
      <c r="CX78" s="114" t="str">
        <f ca="1">IF($CD78="","",IF(OFFSET(BV$55,'Intermediate Data'!$CD78,0)=-98,"Unknown",IF(OFFSET(BV$55,'Intermediate Data'!$CD78,0)=-99,"N/A",OFFSET(BV$55,'Intermediate Data'!$CD78,0))))</f>
        <v/>
      </c>
      <c r="CY78" s="682" t="str">
        <f ca="1">IF($CD78="","",IF(OFFSET(BW$55,'Intermediate Data'!$CD78,0)=-98,"Unknown",IF(OFFSET(BW$55,'Intermediate Data'!$CD78,0)="N/A","",OFFSET(BW$55,'Intermediate Data'!$CD78,0))))</f>
        <v/>
      </c>
      <c r="CZ78" s="682" t="str">
        <f ca="1">IF($CD78="","",IF(OFFSET(BX$55,'Intermediate Data'!$CD78,0)=-98,"Unknown",IF(OFFSET(BX$55,'Intermediate Data'!$CD78,0)="N/A","",OFFSET(BX$55,'Intermediate Data'!$CD78,0))))</f>
        <v/>
      </c>
      <c r="DA78" s="682" t="str">
        <f ca="1">IF($CD78="","",IF(OFFSET(BY$55,'Intermediate Data'!$CD78,0)=-98,"Unknown",IF(OFFSET(BY$55,'Intermediate Data'!$CD78,0)="N/A","",OFFSET(BY$55,'Intermediate Data'!$CD78,0))))</f>
        <v/>
      </c>
      <c r="DB78" s="682" t="str">
        <f ca="1">IF($CD78="","",IF(OFFSET(BZ$55,'Intermediate Data'!$CD78,0)=-98,"Unknown",IF(OFFSET(BZ$55,'Intermediate Data'!$CD78,0)="N/A","",OFFSET(BZ$55,'Intermediate Data'!$CD78,0))))</f>
        <v/>
      </c>
    </row>
    <row r="79" spans="1:106" x14ac:dyDescent="0.2">
      <c r="A79" s="90">
        <f ca="1">IF(OFFSET(DATA!F28,0,$D$48)='Intermediate Data'!$E$48,IF(OR($E$49=$C$27,$E$48=$B$4),DATA!A28,IF($G$49=DATA!D28,DATA!A28,"")),"")</f>
        <v>24</v>
      </c>
      <c r="B79" s="90">
        <f ca="1">IF($A79="","",DATA!EH28)</f>
        <v>39</v>
      </c>
      <c r="C79" s="90" t="str">
        <f ca="1">IF($A79="","",DATA!B28)</f>
        <v>Rug cleaner</v>
      </c>
      <c r="D79" s="90">
        <f ca="1">IF($A79="","",OFFSET(DATA!$H28,0,($D$50*5)))</f>
        <v>-99</v>
      </c>
      <c r="E79" s="90">
        <f ca="1">IF($A79="","",OFFSET(DATA!$H28,0,($D$50*5)+1))</f>
        <v>-99</v>
      </c>
      <c r="F79" s="90">
        <f ca="1">IF($A79="","",OFFSET(DATA!$H28,0,($D$50*5)+2))</f>
        <v>-99</v>
      </c>
      <c r="G79" s="90">
        <f ca="1">IF($A79="","",OFFSET(DATA!$H28,0,($D$50*5)+3))</f>
        <v>-99</v>
      </c>
      <c r="H79" s="90">
        <f ca="1">IF($A79="","",OFFSET(DATA!$H28,0,($D$50*5)+4))</f>
        <v>-99</v>
      </c>
      <c r="I79" s="90">
        <f t="shared" ca="1" si="2"/>
        <v>-99</v>
      </c>
      <c r="J79" s="90" t="str">
        <f t="shared" ca="1" si="3"/>
        <v/>
      </c>
      <c r="K79" s="90">
        <f ca="1">IF($A79="","",OFFSET(DATA!$AG28,0,($D$50*5)))</f>
        <v>-99</v>
      </c>
      <c r="L79" s="90">
        <f ca="1">IF($A79="","",OFFSET(DATA!$AG28,0,($D$50*5)+1))</f>
        <v>-99</v>
      </c>
      <c r="M79" s="90">
        <f ca="1">IF($A79="","",OFFSET(DATA!$AG28,0,($D$50*5)+2))</f>
        <v>-99</v>
      </c>
      <c r="N79" s="90">
        <f ca="1">IF($A79="","",OFFSET(DATA!$AG28,0,($D$50*5)+3))</f>
        <v>-99</v>
      </c>
      <c r="O79" s="90">
        <f ca="1">IF($A79="","",OFFSET(DATA!$AG28,0,($D$50*5)+4))</f>
        <v>-99</v>
      </c>
      <c r="P79" s="90">
        <f t="shared" ca="1" si="4"/>
        <v>-99</v>
      </c>
      <c r="Q79" s="90" t="str">
        <f t="shared" ca="1" si="5"/>
        <v/>
      </c>
      <c r="R79" s="699">
        <f ca="1">IF($A79="","",IF(DATA!BF28="",-99,DATA!BF28))</f>
        <v>-99</v>
      </c>
      <c r="S79" s="90">
        <f ca="1">IF($A79="","",IF(DATA!BG28="",-99,DATA!BF28-DATA!BG28))</f>
        <v>-99</v>
      </c>
      <c r="T79" s="90">
        <f ca="1">IF($A79="","",DATA!BH28)</f>
        <v>-99</v>
      </c>
      <c r="U79" s="90">
        <f ca="1">IF($A79="","",OFFSET(DATA!BM28,0,$D$48))</f>
        <v>-99</v>
      </c>
      <c r="V79" s="90">
        <f t="shared" ca="1" si="6"/>
        <v>39</v>
      </c>
      <c r="W79" s="99">
        <f t="shared" ca="1" si="7"/>
        <v>38.99988120079</v>
      </c>
      <c r="X79" s="112">
        <f t="shared" ca="1" si="8"/>
        <v>111.99988120087001</v>
      </c>
      <c r="Y79" s="90">
        <f t="shared" ca="1" si="9"/>
        <v>32</v>
      </c>
      <c r="AA79" s="90" t="str">
        <f ca="1">IF($Y79="","",IF(OFFSET(C$55,'Intermediate Data'!$Y79,0)=-98,"Unknown",IF(OFFSET(C$55,'Intermediate Data'!$Y79,0)=-99,"N/A",OFFSET(C$55,'Intermediate Data'!$Y79,0))))</f>
        <v>Crockpot</v>
      </c>
      <c r="AB79" s="90" t="str">
        <f ca="1">IF($Y79="","",IF(OFFSET(D$55,'Intermediate Data'!$Y79,0)=-98,"N/A",IF(OFFSET(D$55,'Intermediate Data'!$Y79,0)=-99,"N/A",OFFSET(D$55,'Intermediate Data'!$Y79,0))))</f>
        <v>N/A</v>
      </c>
      <c r="AC79" s="90" t="str">
        <f ca="1">IF($Y79="","",IF(OFFSET(E$55,'Intermediate Data'!$Y79,0)=-98,"N/A",IF(OFFSET(E$55,'Intermediate Data'!$Y79,0)=-99,"N/A",OFFSET(E$55,'Intermediate Data'!$Y79,0))))</f>
        <v>N/A</v>
      </c>
      <c r="AD79" s="90" t="str">
        <f ca="1">IF($Y79="","",IF(OFFSET(F$55,'Intermediate Data'!$Y79,0)=-98,"N/A",IF(OFFSET(F$55,'Intermediate Data'!$Y79,0)=-99,"N/A",OFFSET(F$55,'Intermediate Data'!$Y79,0))))</f>
        <v>N/A</v>
      </c>
      <c r="AE79" s="90" t="str">
        <f ca="1">IF($Y79="","",IF(OFFSET(G$55,'Intermediate Data'!$Y79,0)=-98,"N/A",IF(OFFSET(G$55,'Intermediate Data'!$Y79,0)=-99,"N/A",OFFSET(G$55,'Intermediate Data'!$Y79,0))))</f>
        <v>N/A</v>
      </c>
      <c r="AF79" s="90" t="str">
        <f ca="1">IF($Y79="","",IF(OFFSET(H$55,'Intermediate Data'!$Y79,0)=-98,"N/A",IF(OFFSET(H$55,'Intermediate Data'!$Y79,0)=-99,"N/A",OFFSET(H$55,'Intermediate Data'!$Y79,0))))</f>
        <v>N/A</v>
      </c>
      <c r="AG79" s="90" t="str">
        <f ca="1">IF($Y79="","",IF(OFFSET(I$55,'Intermediate Data'!$Y79,0)=-98,"N/A",IF(OFFSET(I$55,'Intermediate Data'!$Y79,0)=-99,"N/A",OFFSET(I$55,'Intermediate Data'!$Y79,0))))</f>
        <v>N/A</v>
      </c>
      <c r="AH79" s="90" t="str">
        <f ca="1">IF($Y79="","",IF(OFFSET(J$55,'Intermediate Data'!$Y79,0)=-98,"N/A",IF(OFFSET(J$55,'Intermediate Data'!$Y79,0)=-99,"N/A",OFFSET(J$55,'Intermediate Data'!$Y79,0))))</f>
        <v/>
      </c>
      <c r="AI79" s="90" t="str">
        <f ca="1">IF($Y79="","",IF(OFFSET(K$55,'Intermediate Data'!$Y79,0)=-98,"N/A",IF(OFFSET(K$55,'Intermediate Data'!$Y79,0)=-99,"N/A",OFFSET(K$55,'Intermediate Data'!$Y79,0))))</f>
        <v>N/A</v>
      </c>
      <c r="AJ79" s="90" t="str">
        <f ca="1">IF($Y79="","",IF(OFFSET(L$55,'Intermediate Data'!$Y79,0)=-98,"N/A",IF(OFFSET(L$55,'Intermediate Data'!$Y79,0)=-99,"N/A",OFFSET(L$55,'Intermediate Data'!$Y79,0))))</f>
        <v>N/A</v>
      </c>
      <c r="AK79" s="90" t="str">
        <f ca="1">IF($Y79="","",IF(OFFSET(M$55,'Intermediate Data'!$Y79,0)=-98,"N/A",IF(OFFSET(M$55,'Intermediate Data'!$Y79,0)=-99,"N/A",OFFSET(M$55,'Intermediate Data'!$Y79,0))))</f>
        <v>N/A</v>
      </c>
      <c r="AL79" s="90" t="str">
        <f ca="1">IF($Y79="","",IF(OFFSET(N$55,'Intermediate Data'!$Y79,0)=-98,"N/A",IF(OFFSET(N$55,'Intermediate Data'!$Y79,0)=-99,"N/A",OFFSET(N$55,'Intermediate Data'!$Y79,0))))</f>
        <v>N/A</v>
      </c>
      <c r="AM79" s="90" t="str">
        <f ca="1">IF($Y79="","",IF(OFFSET(O$55,'Intermediate Data'!$Y79,0)=-98,"N/A",IF(OFFSET(O$55,'Intermediate Data'!$Y79,0)=-99,"N/A",OFFSET(O$55,'Intermediate Data'!$Y79,0))))</f>
        <v>N/A</v>
      </c>
      <c r="AN79" s="90" t="str">
        <f ca="1">IF($Y79="","",IF(OFFSET(P$55,'Intermediate Data'!$Y79,0)=-98,"N/A",IF(OFFSET(P$55,'Intermediate Data'!$Y79,0)=-99,"N/A",OFFSET(P$55,'Intermediate Data'!$Y79,0))))</f>
        <v>N/A</v>
      </c>
      <c r="AO79" s="90" t="str">
        <f ca="1">IF($Y79="","",IF(OFFSET(Q$55,'Intermediate Data'!$Y79,0)=-98,"N/A",IF(OFFSET(Q$55,'Intermediate Data'!$Y79,0)=-99,"N/A",OFFSET(Q$55,'Intermediate Data'!$Y79,0))))</f>
        <v/>
      </c>
      <c r="AP79" s="697" t="str">
        <f ca="1">IF($Y79="","",IF(OFFSET(S$55,'Intermediate Data'!$Y79,0)=-98,"",IF(OFFSET(S$55,'Intermediate Data'!$Y79,0)=-99,"",OFFSET(S$55,'Intermediate Data'!$Y79,0))))</f>
        <v/>
      </c>
      <c r="AQ79" s="90" t="str">
        <f ca="1">IF($Y79="","",IF(OFFSET(T$55,'Intermediate Data'!$Y79,0)=-98,"Not published",IF(OFFSET(T$55,'Intermediate Data'!$Y79,0)=-99,"",OFFSET(T$55,'Intermediate Data'!$Y79,0))))</f>
        <v/>
      </c>
      <c r="AR79" s="90" t="str">
        <f ca="1">IF($Y79="","",IF(OFFSET(U$55,'Intermediate Data'!$Y79,0)=-98,"Unknown",IF(OFFSET(U$55,'Intermediate Data'!$Y79,0)=-99,"",OFFSET(U$55,'Intermediate Data'!$Y79,0))))</f>
        <v/>
      </c>
      <c r="AU79" s="112" t="str">
        <f ca="1">IF(AND(OFFSET(DATA!$F28,0,$AX$48)='Intermediate Data'!$AY$48,DATA!$E28="Tier 1"),IF(OR($AX$49=0,$AX$48=1),DATA!A28,IF(AND($AX$49=1,INDEX('Intermediate Data'!$AY$25:$AY$44,MATCH(DATA!$B28,'Intermediate Data'!$AX$25:$AX$44,0))=TRUE),DATA!A28,"")),"")</f>
        <v/>
      </c>
      <c r="AV79" s="112" t="str">
        <f ca="1">IF($AU79="","",DATA!B28)</f>
        <v/>
      </c>
      <c r="AW79" s="112" t="str">
        <f ca="1">IF(OR($AU79="",DATA!BI28=""),"",DATA!BI28)</f>
        <v/>
      </c>
      <c r="AX79" s="112" t="str">
        <f ca="1">IF(OR($AU79="",OFFSET(DATA!BK28,0,$AX$48)=""),"",OFFSET(DATA!BK28,0,$AX$48))</f>
        <v/>
      </c>
      <c r="AY79" s="112" t="str">
        <f ca="1">IF(OR($AU79="",OFFSET(DATA!BM28,0,$AX$48)=""),"",OFFSET(DATA!BM28,0,$AX$48))</f>
        <v/>
      </c>
      <c r="AZ79" s="112" t="str">
        <f ca="1">IF(OR($AU79="",OFFSET(DATA!BO28,0,'Intermediate Data'!$AX$48)=""),"",OFFSET(DATA!BO28,0,$AX$48))</f>
        <v/>
      </c>
      <c r="BA79" s="112" t="str">
        <f ca="1">IF(OR($AU79="",DATA!BQ28=""),"",DATA!BQ28)</f>
        <v/>
      </c>
      <c r="BB79" s="112" t="str">
        <f ca="1">IF($AU79="","",OFFSET(DATA!BS28,0,$AX$48))</f>
        <v/>
      </c>
      <c r="BC79" s="112" t="str">
        <f ca="1">IF($AU79="","",OFFSET(DATA!BU28,0,$AX$48))</f>
        <v/>
      </c>
      <c r="BD79" s="112" t="str">
        <f ca="1">IF($AU79="","",OFFSET(DATA!BW28,0,$AX$48))</f>
        <v/>
      </c>
      <c r="BE79" s="112" t="str">
        <f ca="1">IF($AU79="","",OFFSET(DATA!BY28,0,$AX$48))</f>
        <v/>
      </c>
      <c r="BF79" s="112" t="str">
        <f ca="1">IF($AU79="","",OFFSET(DATA!CA28,0,$AX$48))</f>
        <v/>
      </c>
      <c r="BG79" s="112" t="str">
        <f ca="1">IF($AU79="","",DATA!CC28)</f>
        <v/>
      </c>
      <c r="BH79" s="112" t="str">
        <f ca="1">IF($AU79="","",OFFSET(DATA!CE28,0,$AX$48))</f>
        <v/>
      </c>
      <c r="BI79" s="112" t="str">
        <f ca="1">IF($AU79="","",OFFSET(DATA!CG28,0,$AX$48))</f>
        <v/>
      </c>
      <c r="BJ79" s="112" t="str">
        <f ca="1">IF($AU79="","",OFFSET(DATA!CI28,0,$AX$48))</f>
        <v/>
      </c>
      <c r="BK79" s="112" t="str">
        <f ca="1">IF($AU79="","",OFFSET(DATA!CK28,0,$AX$48))</f>
        <v/>
      </c>
      <c r="BL79" s="112" t="str">
        <f ca="1">IF($AU79="","",OFFSET(DATA!CM28,0,$AX$48))</f>
        <v/>
      </c>
      <c r="BM79" s="112" t="str">
        <f ca="1">IF($AU79="","",DATA!BH28)</f>
        <v/>
      </c>
      <c r="BN79" s="112" t="str">
        <f ca="1">IF($AU79="","",DATA!DS28)</f>
        <v/>
      </c>
      <c r="BO79" s="112" t="str">
        <f ca="1">IF($AU79="","",DATA!DU28)</f>
        <v/>
      </c>
      <c r="BP79" s="112" t="str">
        <f ca="1">IF($AU79="","",DATA!DV28)</f>
        <v/>
      </c>
      <c r="BQ79" s="112" t="str">
        <f ca="1">IF($AU79="","",DATA!DX28)</f>
        <v/>
      </c>
      <c r="BR79" s="112" t="str">
        <f ca="1">IF($AU79="","",DATA!DZ28)</f>
        <v/>
      </c>
      <c r="BS79" s="171" t="str">
        <f ca="1">IF($AU79="","",DATA!EA28)</f>
        <v/>
      </c>
      <c r="BT79" s="171" t="str">
        <f ca="1">IF($AU79="","",DATA!EC28)</f>
        <v/>
      </c>
      <c r="BU79" s="171" t="str">
        <f ca="1">IF($AU79="","",DATA!EF28)</f>
        <v/>
      </c>
      <c r="BV79" s="113" t="str">
        <f t="shared" ca="1" si="10"/>
        <v/>
      </c>
      <c r="BW79" s="680" t="str">
        <f ca="1">IF(AU79="","",OFFSET(DATA!DC28,0,'Intermediate Data'!$AX$48))</f>
        <v/>
      </c>
      <c r="BX79" s="681" t="str">
        <f ca="1">IF($AU79="","",DATA!DG28)</f>
        <v/>
      </c>
      <c r="BY79" s="680" t="str">
        <f ca="1">IF($AU79="","",OFFSET(DATA!DE28,0,'Intermediate Data'!$AX$48))</f>
        <v/>
      </c>
      <c r="BZ79" s="681" t="str">
        <f ca="1">IF($AU79="","",DATA!DH28)</f>
        <v/>
      </c>
      <c r="CA79" s="90" t="str">
        <f t="shared" ca="1" si="11"/>
        <v/>
      </c>
      <c r="CB79" s="99" t="str">
        <f t="shared" ca="1" si="12"/>
        <v/>
      </c>
      <c r="CC79" s="90" t="str">
        <f t="shared" ca="1" si="13"/>
        <v/>
      </c>
      <c r="CD79" s="90" t="str">
        <f t="shared" ca="1" si="14"/>
        <v/>
      </c>
      <c r="CF79" s="90" t="str">
        <f ca="1">IF($CD79="","",IF(OFFSET(AV$55,'Intermediate Data'!$CD79,0)=-98,"Unknown",IF(OFFSET(AV$55,'Intermediate Data'!$CD79,0)=-99,"N/A",OFFSET(AV$55,'Intermediate Data'!$CD79,0))))</f>
        <v/>
      </c>
      <c r="CG79" s="90" t="str">
        <f ca="1">IF($CD79="","",IF(OFFSET(AW$55,'Intermediate Data'!$CD79,0)=-98,"",IF(OFFSET(AW$55,'Intermediate Data'!$CD79,0)=-99,"N/A",OFFSET(AW$55,'Intermediate Data'!$CD79,0))))</f>
        <v/>
      </c>
      <c r="CH79" s="90" t="str">
        <f ca="1">IF($CD79="","",IF(OFFSET(AX$55,'Intermediate Data'!$CD79,0)=-98,"Unknown",IF(OFFSET(AX$55,'Intermediate Data'!$CD79,0)=-99,"N/A",OFFSET(AX$55,'Intermediate Data'!$CD79,0))))</f>
        <v/>
      </c>
      <c r="CI79" s="125" t="str">
        <f ca="1">IF($CD79="","",IF(OFFSET(AY$55,'Intermediate Data'!$CD79,0)=-98,"Unknown",IF(OFFSET(AY$55,'Intermediate Data'!$CD79,0)=-99,"No spec",OFFSET(AY$55,'Intermediate Data'!$CD79,0))))</f>
        <v/>
      </c>
      <c r="CJ79" s="125" t="str">
        <f ca="1">IF($CD79="","",IF(OFFSET(AZ$55,'Intermediate Data'!$CD79,0)=-98,"Unknown",IF(OFFSET(AZ$55,'Intermediate Data'!$CD79,0)=-99,"N/A",OFFSET(AZ$55,'Intermediate Data'!$CD79,0))))</f>
        <v/>
      </c>
      <c r="CK79" s="90" t="str">
        <f ca="1">IF($CD79="","",IF(OFFSET(BA$55,'Intermediate Data'!$CD79,0)=-98,"Unknown",IF(OFFSET(BA$55,'Intermediate Data'!$CD79,0)=-99,"N/A",OFFSET(BA$55,'Intermediate Data'!$CD79,0))))</f>
        <v/>
      </c>
      <c r="CL79" s="90" t="str">
        <f ca="1">IF($CD79="","",IF(OFFSET(BB$55,'Intermediate Data'!$CD79,$AX$50)=-98,"Unknown",IF(OFFSET(BB$55,'Intermediate Data'!$CD79,$AX$50)="N/A","",OFFSET(BB$55,'Intermediate Data'!$CD79,$AX$50))))</f>
        <v/>
      </c>
      <c r="CM79" s="90" t="str">
        <f ca="1">IF($CD79="","",IF(OFFSET(BG$55,'Intermediate Data'!$CD79,0)="ET","ET",""))</f>
        <v/>
      </c>
      <c r="CN79" s="90" t="str">
        <f ca="1">IF($CD79="","",IF(OFFSET(BH$55,'Intermediate Data'!$CD79,$AX$50)=-98,"Unknown",IF(OFFSET(BH$55,'Intermediate Data'!$CD79,$AX$50)="N/A","",OFFSET(BH$55,'Intermediate Data'!$CD79,$AX$50))))</f>
        <v/>
      </c>
      <c r="CO79" s="90" t="str">
        <f ca="1">IF($CD79="","",IF(OFFSET(BM$55,'Intermediate Data'!$CD79,0)=-98,"Not published",IF(OFFSET(BM$55,'Intermediate Data'!$CD79,0)=-99,"No spec",OFFSET(BM$55,'Intermediate Data'!$CD79,0))))</f>
        <v/>
      </c>
      <c r="CP79" s="114" t="str">
        <f ca="1">IF($CD79="","",IF(OFFSET(BN$55,'Intermediate Data'!$CD79,0)=-98,"Unknown",IF(OFFSET(BN$55,'Intermediate Data'!$CD79,0)=-99,"N/A",OFFSET(BN$55,'Intermediate Data'!$CD79,0))))</f>
        <v/>
      </c>
      <c r="CQ79" s="114" t="str">
        <f ca="1">IF($CD79="","",IF(OFFSET(BO$55,'Intermediate Data'!$CD79,0)=-98,"Unknown",IF(OFFSET(BO$55,'Intermediate Data'!$CD79,0)=-99,"N/A",OFFSET(BO$55,'Intermediate Data'!$CD79,0))))</f>
        <v/>
      </c>
      <c r="CR79" s="114" t="str">
        <f ca="1">IF($CD79="","",IF(OFFSET(BP$55,'Intermediate Data'!$CD79,0)=-98,"Unknown",IF(OFFSET(BP$55,'Intermediate Data'!$CD79,0)=-99,"N/A",OFFSET(BP$55,'Intermediate Data'!$CD79,0))))</f>
        <v/>
      </c>
      <c r="CS79" s="114" t="str">
        <f ca="1">IF($CD79="","",IF(OFFSET(BQ$55,'Intermediate Data'!$CD79,0)=-98,"Unknown",IF(OFFSET(BQ$55,'Intermediate Data'!$CD79,0)=-99,"N/A",OFFSET(BQ$55,'Intermediate Data'!$CD79,0))))</f>
        <v/>
      </c>
      <c r="CT79" s="114" t="str">
        <f ca="1">IF($CD79="","",IF(OFFSET(BR$55,'Intermediate Data'!$CD79,0)=-98,"Unknown",IF(OFFSET(BR$55,'Intermediate Data'!$CD79,0)=-99,"N/A",OFFSET(BR$55,'Intermediate Data'!$CD79,0))))</f>
        <v/>
      </c>
      <c r="CU79" s="114" t="str">
        <f ca="1">IF($CD79="","",IF(OFFSET(BS$55,'Intermediate Data'!$CD79,0)=-98,"Unknown",IF(OFFSET(BS$55,'Intermediate Data'!$CD79,0)=-99,"N/A",OFFSET(BS$55,'Intermediate Data'!$CD79,0))))</f>
        <v/>
      </c>
      <c r="CV79" s="114" t="str">
        <f ca="1">IF($CD79="","",IF(OFFSET(BT$55,'Intermediate Data'!$CD79,0)=-98,"Unknown",IF(OFFSET(BT$55,'Intermediate Data'!$CD79,0)=-99,"N/A",OFFSET(BT$55,'Intermediate Data'!$CD79,0))))</f>
        <v/>
      </c>
      <c r="CW79" s="114" t="str">
        <f ca="1">IF($CD79="","",IF(OFFSET(BU$55,'Intermediate Data'!$CD79,0)=-98,"Unknown",IF(OFFSET(BU$55,'Intermediate Data'!$CD79,0)=-99,"N/A",OFFSET(BU$55,'Intermediate Data'!$CD79,0))))</f>
        <v/>
      </c>
      <c r="CX79" s="114" t="str">
        <f ca="1">IF($CD79="","",IF(OFFSET(BV$55,'Intermediate Data'!$CD79,0)=-98,"Unknown",IF(OFFSET(BV$55,'Intermediate Data'!$CD79,0)=-99,"N/A",OFFSET(BV$55,'Intermediate Data'!$CD79,0))))</f>
        <v/>
      </c>
      <c r="CY79" s="682" t="str">
        <f ca="1">IF($CD79="","",IF(OFFSET(BW$55,'Intermediate Data'!$CD79,0)=-98,"Unknown",IF(OFFSET(BW$55,'Intermediate Data'!$CD79,0)="N/A","",OFFSET(BW$55,'Intermediate Data'!$CD79,0))))</f>
        <v/>
      </c>
      <c r="CZ79" s="682" t="str">
        <f ca="1">IF($CD79="","",IF(OFFSET(BX$55,'Intermediate Data'!$CD79,0)=-98,"Unknown",IF(OFFSET(BX$55,'Intermediate Data'!$CD79,0)="N/A","",OFFSET(BX$55,'Intermediate Data'!$CD79,0))))</f>
        <v/>
      </c>
      <c r="DA79" s="682" t="str">
        <f ca="1">IF($CD79="","",IF(OFFSET(BY$55,'Intermediate Data'!$CD79,0)=-98,"Unknown",IF(OFFSET(BY$55,'Intermediate Data'!$CD79,0)="N/A","",OFFSET(BY$55,'Intermediate Data'!$CD79,0))))</f>
        <v/>
      </c>
      <c r="DB79" s="682" t="str">
        <f ca="1">IF($CD79="","",IF(OFFSET(BZ$55,'Intermediate Data'!$CD79,0)=-98,"Unknown",IF(OFFSET(BZ$55,'Intermediate Data'!$CD79,0)="N/A","",OFFSET(BZ$55,'Intermediate Data'!$CD79,0))))</f>
        <v/>
      </c>
    </row>
    <row r="80" spans="1:106" x14ac:dyDescent="0.2">
      <c r="A80" s="90">
        <f ca="1">IF(OFFSET(DATA!F29,0,$D$48)='Intermediate Data'!$E$48,IF(OR($E$49=$C$27,$E$48=$B$4),DATA!A29,IF($G$49=DATA!D29,DATA!A29,"")),"")</f>
        <v>25</v>
      </c>
      <c r="B80" s="90">
        <f ca="1">IF($A80="","",DATA!EH29)</f>
        <v>16</v>
      </c>
      <c r="C80" s="90" t="str">
        <f ca="1">IF($A80="","",DATA!B29)</f>
        <v>Trash compactor</v>
      </c>
      <c r="D80" s="90">
        <f ca="1">IF($A80="","",OFFSET(DATA!$H29,0,($D$50*5)))</f>
        <v>-99</v>
      </c>
      <c r="E80" s="90">
        <f ca="1">IF($A80="","",OFFSET(DATA!$H29,0,($D$50*5)+1))</f>
        <v>6.421953903505552E-2</v>
      </c>
      <c r="F80" s="90">
        <f ca="1">IF($A80="","",OFFSET(DATA!$H29,0,($D$50*5)+2))</f>
        <v>-99</v>
      </c>
      <c r="G80" s="90">
        <f ca="1">IF($A80="","",OFFSET(DATA!$H29,0,($D$50*5)+3))</f>
        <v>6.9025004374366011E-2</v>
      </c>
      <c r="H80" s="90">
        <f ca="1">IF($A80="","",OFFSET(DATA!$H29,0,($D$50*5)+4))</f>
        <v>-99</v>
      </c>
      <c r="I80" s="90">
        <f t="shared" ca="1" si="2"/>
        <v>6.9025004374366011E-2</v>
      </c>
      <c r="J80" s="90" t="str">
        <f t="shared" ca="1" si="3"/>
        <v>RASS</v>
      </c>
      <c r="K80" s="90">
        <f ca="1">IF($A80="","",OFFSET(DATA!$AG29,0,($D$50*5)))</f>
        <v>-99</v>
      </c>
      <c r="L80" s="90">
        <f ca="1">IF($A80="","",OFFSET(DATA!$AG29,0,($D$50*5)+1))</f>
        <v>6.4555425244636241E-2</v>
      </c>
      <c r="M80" s="90">
        <f ca="1">IF($A80="","",OFFSET(DATA!$AG29,0,($D$50*5)+2))</f>
        <v>-99</v>
      </c>
      <c r="N80" s="90">
        <f ca="1">IF($A80="","",OFFSET(DATA!$AG29,0,($D$50*5)+3))</f>
        <v>6.9628964858429301E-2</v>
      </c>
      <c r="O80" s="90">
        <f ca="1">IF($A80="","",OFFSET(DATA!$AG29,0,($D$50*5)+4))</f>
        <v>-99</v>
      </c>
      <c r="P80" s="90">
        <f t="shared" ca="1" si="4"/>
        <v>6.9628964858429301E-2</v>
      </c>
      <c r="Q80" s="90" t="str">
        <f t="shared" ca="1" si="5"/>
        <v>RASS</v>
      </c>
      <c r="R80" s="699">
        <f ca="1">IF($A80="","",IF(DATA!BF29="",-99,DATA!BF29))</f>
        <v>-99</v>
      </c>
      <c r="S80" s="90">
        <f ca="1">IF($A80="","",IF(DATA!BG29="",-99,DATA!BF29-DATA!BG29))</f>
        <v>-99</v>
      </c>
      <c r="T80" s="90">
        <f ca="1">IF($A80="","",DATA!BH29)</f>
        <v>-99</v>
      </c>
      <c r="U80" s="90">
        <f ca="1">IF($A80="","",OFFSET(DATA!BM29,0,$D$48))</f>
        <v>-99</v>
      </c>
      <c r="V80" s="90">
        <f t="shared" ca="1" si="6"/>
        <v>16</v>
      </c>
      <c r="W80" s="99">
        <f t="shared" ca="1" si="7"/>
        <v>15.999930734445394</v>
      </c>
      <c r="X80" s="112">
        <f t="shared" ca="1" si="8"/>
        <v>110.99988120167001</v>
      </c>
      <c r="Y80" s="90">
        <f t="shared" ca="1" si="9"/>
        <v>112</v>
      </c>
      <c r="AA80" s="90" t="str">
        <f ca="1">IF($Y80="","",IF(OFFSET(C$55,'Intermediate Data'!$Y80,0)=-98,"Unknown",IF(OFFSET(C$55,'Intermediate Data'!$Y80,0)=-99,"N/A",OFFSET(C$55,'Intermediate Data'!$Y80,0))))</f>
        <v>Curling iron</v>
      </c>
      <c r="AB80" s="90" t="str">
        <f ca="1">IF($Y80="","",IF(OFFSET(D$55,'Intermediate Data'!$Y80,0)=-98,"N/A",IF(OFFSET(D$55,'Intermediate Data'!$Y80,0)=-99,"N/A",OFFSET(D$55,'Intermediate Data'!$Y80,0))))</f>
        <v>N/A</v>
      </c>
      <c r="AC80" s="90" t="str">
        <f ca="1">IF($Y80="","",IF(OFFSET(E$55,'Intermediate Data'!$Y80,0)=-98,"N/A",IF(OFFSET(E$55,'Intermediate Data'!$Y80,0)=-99,"N/A",OFFSET(E$55,'Intermediate Data'!$Y80,0))))</f>
        <v>N/A</v>
      </c>
      <c r="AD80" s="90" t="str">
        <f ca="1">IF($Y80="","",IF(OFFSET(F$55,'Intermediate Data'!$Y80,0)=-98,"N/A",IF(OFFSET(F$55,'Intermediate Data'!$Y80,0)=-99,"N/A",OFFSET(F$55,'Intermediate Data'!$Y80,0))))</f>
        <v>N/A</v>
      </c>
      <c r="AE80" s="90" t="str">
        <f ca="1">IF($Y80="","",IF(OFFSET(G$55,'Intermediate Data'!$Y80,0)=-98,"N/A",IF(OFFSET(G$55,'Intermediate Data'!$Y80,0)=-99,"N/A",OFFSET(G$55,'Intermediate Data'!$Y80,0))))</f>
        <v>N/A</v>
      </c>
      <c r="AF80" s="90" t="str">
        <f ca="1">IF($Y80="","",IF(OFFSET(H$55,'Intermediate Data'!$Y80,0)=-98,"N/A",IF(OFFSET(H$55,'Intermediate Data'!$Y80,0)=-99,"N/A",OFFSET(H$55,'Intermediate Data'!$Y80,0))))</f>
        <v>N/A</v>
      </c>
      <c r="AG80" s="90" t="str">
        <f ca="1">IF($Y80="","",IF(OFFSET(I$55,'Intermediate Data'!$Y80,0)=-98,"N/A",IF(OFFSET(I$55,'Intermediate Data'!$Y80,0)=-99,"N/A",OFFSET(I$55,'Intermediate Data'!$Y80,0))))</f>
        <v>N/A</v>
      </c>
      <c r="AH80" s="90" t="str">
        <f ca="1">IF($Y80="","",IF(OFFSET(J$55,'Intermediate Data'!$Y80,0)=-98,"N/A",IF(OFFSET(J$55,'Intermediate Data'!$Y80,0)=-99,"N/A",OFFSET(J$55,'Intermediate Data'!$Y80,0))))</f>
        <v/>
      </c>
      <c r="AI80" s="90" t="str">
        <f ca="1">IF($Y80="","",IF(OFFSET(K$55,'Intermediate Data'!$Y80,0)=-98,"N/A",IF(OFFSET(K$55,'Intermediate Data'!$Y80,0)=-99,"N/A",OFFSET(K$55,'Intermediate Data'!$Y80,0))))</f>
        <v>N/A</v>
      </c>
      <c r="AJ80" s="90" t="str">
        <f ca="1">IF($Y80="","",IF(OFFSET(L$55,'Intermediate Data'!$Y80,0)=-98,"N/A",IF(OFFSET(L$55,'Intermediate Data'!$Y80,0)=-99,"N/A",OFFSET(L$55,'Intermediate Data'!$Y80,0))))</f>
        <v>N/A</v>
      </c>
      <c r="AK80" s="90" t="str">
        <f ca="1">IF($Y80="","",IF(OFFSET(M$55,'Intermediate Data'!$Y80,0)=-98,"N/A",IF(OFFSET(M$55,'Intermediate Data'!$Y80,0)=-99,"N/A",OFFSET(M$55,'Intermediate Data'!$Y80,0))))</f>
        <v>N/A</v>
      </c>
      <c r="AL80" s="90" t="str">
        <f ca="1">IF($Y80="","",IF(OFFSET(N$55,'Intermediate Data'!$Y80,0)=-98,"N/A",IF(OFFSET(N$55,'Intermediate Data'!$Y80,0)=-99,"N/A",OFFSET(N$55,'Intermediate Data'!$Y80,0))))</f>
        <v>N/A</v>
      </c>
      <c r="AM80" s="90" t="str">
        <f ca="1">IF($Y80="","",IF(OFFSET(O$55,'Intermediate Data'!$Y80,0)=-98,"N/A",IF(OFFSET(O$55,'Intermediate Data'!$Y80,0)=-99,"N/A",OFFSET(O$55,'Intermediate Data'!$Y80,0))))</f>
        <v>N/A</v>
      </c>
      <c r="AN80" s="90" t="str">
        <f ca="1">IF($Y80="","",IF(OFFSET(P$55,'Intermediate Data'!$Y80,0)=-98,"N/A",IF(OFFSET(P$55,'Intermediate Data'!$Y80,0)=-99,"N/A",OFFSET(P$55,'Intermediate Data'!$Y80,0))))</f>
        <v>N/A</v>
      </c>
      <c r="AO80" s="90" t="str">
        <f ca="1">IF($Y80="","",IF(OFFSET(Q$55,'Intermediate Data'!$Y80,0)=-98,"N/A",IF(OFFSET(Q$55,'Intermediate Data'!$Y80,0)=-99,"N/A",OFFSET(Q$55,'Intermediate Data'!$Y80,0))))</f>
        <v/>
      </c>
      <c r="AP80" s="697" t="str">
        <f ca="1">IF($Y80="","",IF(OFFSET(S$55,'Intermediate Data'!$Y80,0)=-98,"",IF(OFFSET(S$55,'Intermediate Data'!$Y80,0)=-99,"",OFFSET(S$55,'Intermediate Data'!$Y80,0))))</f>
        <v/>
      </c>
      <c r="AQ80" s="90" t="str">
        <f ca="1">IF($Y80="","",IF(OFFSET(T$55,'Intermediate Data'!$Y80,0)=-98,"Not published",IF(OFFSET(T$55,'Intermediate Data'!$Y80,0)=-99,"",OFFSET(T$55,'Intermediate Data'!$Y80,0))))</f>
        <v/>
      </c>
      <c r="AR80" s="90" t="str">
        <f ca="1">IF($Y80="","",IF(OFFSET(U$55,'Intermediate Data'!$Y80,0)=-98,"Unknown",IF(OFFSET(U$55,'Intermediate Data'!$Y80,0)=-99,"",OFFSET(U$55,'Intermediate Data'!$Y80,0))))</f>
        <v/>
      </c>
      <c r="AU80" s="112" t="str">
        <f ca="1">IF(AND(OFFSET(DATA!$F29,0,$AX$48)='Intermediate Data'!$AY$48,DATA!$E29="Tier 1"),IF(OR($AX$49=0,$AX$48=1),DATA!A29,IF(AND($AX$49=1,INDEX('Intermediate Data'!$AY$25:$AY$44,MATCH(DATA!$B29,'Intermediate Data'!$AX$25:$AX$44,0))=TRUE),DATA!A29,"")),"")</f>
        <v/>
      </c>
      <c r="AV80" s="112" t="str">
        <f ca="1">IF($AU80="","",DATA!B29)</f>
        <v/>
      </c>
      <c r="AW80" s="112" t="str">
        <f ca="1">IF(OR($AU80="",DATA!BI29=""),"",DATA!BI29)</f>
        <v/>
      </c>
      <c r="AX80" s="112" t="str">
        <f ca="1">IF(OR($AU80="",OFFSET(DATA!BK29,0,$AX$48)=""),"",OFFSET(DATA!BK29,0,$AX$48))</f>
        <v/>
      </c>
      <c r="AY80" s="112" t="str">
        <f ca="1">IF(OR($AU80="",OFFSET(DATA!BM29,0,$AX$48)=""),"",OFFSET(DATA!BM29,0,$AX$48))</f>
        <v/>
      </c>
      <c r="AZ80" s="112" t="str">
        <f ca="1">IF(OR($AU80="",OFFSET(DATA!BO29,0,'Intermediate Data'!$AX$48)=""),"",OFFSET(DATA!BO29,0,$AX$48))</f>
        <v/>
      </c>
      <c r="BA80" s="112" t="str">
        <f ca="1">IF(OR($AU80="",DATA!BQ29=""),"",DATA!BQ29)</f>
        <v/>
      </c>
      <c r="BB80" s="112" t="str">
        <f ca="1">IF($AU80="","",OFFSET(DATA!BS29,0,$AX$48))</f>
        <v/>
      </c>
      <c r="BC80" s="112" t="str">
        <f ca="1">IF($AU80="","",OFFSET(DATA!BU29,0,$AX$48))</f>
        <v/>
      </c>
      <c r="BD80" s="112" t="str">
        <f ca="1">IF($AU80="","",OFFSET(DATA!BW29,0,$AX$48))</f>
        <v/>
      </c>
      <c r="BE80" s="112" t="str">
        <f ca="1">IF($AU80="","",OFFSET(DATA!BY29,0,$AX$48))</f>
        <v/>
      </c>
      <c r="BF80" s="112" t="str">
        <f ca="1">IF($AU80="","",OFFSET(DATA!CA29,0,$AX$48))</f>
        <v/>
      </c>
      <c r="BG80" s="112" t="str">
        <f ca="1">IF($AU80="","",DATA!CC29)</f>
        <v/>
      </c>
      <c r="BH80" s="112" t="str">
        <f ca="1">IF($AU80="","",OFFSET(DATA!CE29,0,$AX$48))</f>
        <v/>
      </c>
      <c r="BI80" s="112" t="str">
        <f ca="1">IF($AU80="","",OFFSET(DATA!CG29,0,$AX$48))</f>
        <v/>
      </c>
      <c r="BJ80" s="112" t="str">
        <f ca="1">IF($AU80="","",OFFSET(DATA!CI29,0,$AX$48))</f>
        <v/>
      </c>
      <c r="BK80" s="112" t="str">
        <f ca="1">IF($AU80="","",OFFSET(DATA!CK29,0,$AX$48))</f>
        <v/>
      </c>
      <c r="BL80" s="112" t="str">
        <f ca="1">IF($AU80="","",OFFSET(DATA!CM29,0,$AX$48))</f>
        <v/>
      </c>
      <c r="BM80" s="112" t="str">
        <f ca="1">IF($AU80="","",DATA!BH29)</f>
        <v/>
      </c>
      <c r="BN80" s="112" t="str">
        <f ca="1">IF($AU80="","",DATA!DS29)</f>
        <v/>
      </c>
      <c r="BO80" s="112" t="str">
        <f ca="1">IF($AU80="","",DATA!DU29)</f>
        <v/>
      </c>
      <c r="BP80" s="112" t="str">
        <f ca="1">IF($AU80="","",DATA!DV29)</f>
        <v/>
      </c>
      <c r="BQ80" s="112" t="str">
        <f ca="1">IF($AU80="","",DATA!DX29)</f>
        <v/>
      </c>
      <c r="BR80" s="112" t="str">
        <f ca="1">IF($AU80="","",DATA!DZ29)</f>
        <v/>
      </c>
      <c r="BS80" s="171" t="str">
        <f ca="1">IF($AU80="","",DATA!EA29)</f>
        <v/>
      </c>
      <c r="BT80" s="171" t="str">
        <f ca="1">IF($AU80="","",DATA!EC29)</f>
        <v/>
      </c>
      <c r="BU80" s="171" t="str">
        <f ca="1">IF($AU80="","",DATA!EF29)</f>
        <v/>
      </c>
      <c r="BV80" s="113" t="str">
        <f t="shared" ca="1" si="10"/>
        <v/>
      </c>
      <c r="BW80" s="680" t="str">
        <f ca="1">IF(AU80="","",OFFSET(DATA!DC29,0,'Intermediate Data'!$AX$48))</f>
        <v/>
      </c>
      <c r="BX80" s="681" t="str">
        <f ca="1">IF($AU80="","",DATA!DG29)</f>
        <v/>
      </c>
      <c r="BY80" s="680" t="str">
        <f ca="1">IF($AU80="","",OFFSET(DATA!DE29,0,'Intermediate Data'!$AX$48))</f>
        <v/>
      </c>
      <c r="BZ80" s="681" t="str">
        <f ca="1">IF($AU80="","",DATA!DH29)</f>
        <v/>
      </c>
      <c r="CA80" s="90" t="str">
        <f t="shared" ca="1" si="11"/>
        <v/>
      </c>
      <c r="CB80" s="99" t="str">
        <f t="shared" ca="1" si="12"/>
        <v/>
      </c>
      <c r="CC80" s="90" t="str">
        <f t="shared" ca="1" si="13"/>
        <v/>
      </c>
      <c r="CD80" s="90" t="str">
        <f t="shared" ca="1" si="14"/>
        <v/>
      </c>
      <c r="CF80" s="90" t="str">
        <f ca="1">IF($CD80="","",IF(OFFSET(AV$55,'Intermediate Data'!$CD80,0)=-98,"Unknown",IF(OFFSET(AV$55,'Intermediate Data'!$CD80,0)=-99,"N/A",OFFSET(AV$55,'Intermediate Data'!$CD80,0))))</f>
        <v/>
      </c>
      <c r="CG80" s="90" t="str">
        <f ca="1">IF($CD80="","",IF(OFFSET(AW$55,'Intermediate Data'!$CD80,0)=-98,"",IF(OFFSET(AW$55,'Intermediate Data'!$CD80,0)=-99,"N/A",OFFSET(AW$55,'Intermediate Data'!$CD80,0))))</f>
        <v/>
      </c>
      <c r="CH80" s="90" t="str">
        <f ca="1">IF($CD80="","",IF(OFFSET(AX$55,'Intermediate Data'!$CD80,0)=-98,"Unknown",IF(OFFSET(AX$55,'Intermediate Data'!$CD80,0)=-99,"N/A",OFFSET(AX$55,'Intermediate Data'!$CD80,0))))</f>
        <v/>
      </c>
      <c r="CI80" s="125" t="str">
        <f ca="1">IF($CD80="","",IF(OFFSET(AY$55,'Intermediate Data'!$CD80,0)=-98,"Unknown",IF(OFFSET(AY$55,'Intermediate Data'!$CD80,0)=-99,"No spec",OFFSET(AY$55,'Intermediate Data'!$CD80,0))))</f>
        <v/>
      </c>
      <c r="CJ80" s="125" t="str">
        <f ca="1">IF($CD80="","",IF(OFFSET(AZ$55,'Intermediate Data'!$CD80,0)=-98,"Unknown",IF(OFFSET(AZ$55,'Intermediate Data'!$CD80,0)=-99,"N/A",OFFSET(AZ$55,'Intermediate Data'!$CD80,0))))</f>
        <v/>
      </c>
      <c r="CK80" s="90" t="str">
        <f ca="1">IF($CD80="","",IF(OFFSET(BA$55,'Intermediate Data'!$CD80,0)=-98,"Unknown",IF(OFFSET(BA$55,'Intermediate Data'!$CD80,0)=-99,"N/A",OFFSET(BA$55,'Intermediate Data'!$CD80,0))))</f>
        <v/>
      </c>
      <c r="CL80" s="90" t="str">
        <f ca="1">IF($CD80="","",IF(OFFSET(BB$55,'Intermediate Data'!$CD80,$AX$50)=-98,"Unknown",IF(OFFSET(BB$55,'Intermediate Data'!$CD80,$AX$50)="N/A","",OFFSET(BB$55,'Intermediate Data'!$CD80,$AX$50))))</f>
        <v/>
      </c>
      <c r="CM80" s="90" t="str">
        <f ca="1">IF($CD80="","",IF(OFFSET(BG$55,'Intermediate Data'!$CD80,0)="ET","ET",""))</f>
        <v/>
      </c>
      <c r="CN80" s="90" t="str">
        <f ca="1">IF($CD80="","",IF(OFFSET(BH$55,'Intermediate Data'!$CD80,$AX$50)=-98,"Unknown",IF(OFFSET(BH$55,'Intermediate Data'!$CD80,$AX$50)="N/A","",OFFSET(BH$55,'Intermediate Data'!$CD80,$AX$50))))</f>
        <v/>
      </c>
      <c r="CO80" s="90" t="str">
        <f ca="1">IF($CD80="","",IF(OFFSET(BM$55,'Intermediate Data'!$CD80,0)=-98,"Not published",IF(OFFSET(BM$55,'Intermediate Data'!$CD80,0)=-99,"No spec",OFFSET(BM$55,'Intermediate Data'!$CD80,0))))</f>
        <v/>
      </c>
      <c r="CP80" s="114" t="str">
        <f ca="1">IF($CD80="","",IF(OFFSET(BN$55,'Intermediate Data'!$CD80,0)=-98,"Unknown",IF(OFFSET(BN$55,'Intermediate Data'!$CD80,0)=-99,"N/A",OFFSET(BN$55,'Intermediate Data'!$CD80,0))))</f>
        <v/>
      </c>
      <c r="CQ80" s="114" t="str">
        <f ca="1">IF($CD80="","",IF(OFFSET(BO$55,'Intermediate Data'!$CD80,0)=-98,"Unknown",IF(OFFSET(BO$55,'Intermediate Data'!$CD80,0)=-99,"N/A",OFFSET(BO$55,'Intermediate Data'!$CD80,0))))</f>
        <v/>
      </c>
      <c r="CR80" s="114" t="str">
        <f ca="1">IF($CD80="","",IF(OFFSET(BP$55,'Intermediate Data'!$CD80,0)=-98,"Unknown",IF(OFFSET(BP$55,'Intermediate Data'!$CD80,0)=-99,"N/A",OFFSET(BP$55,'Intermediate Data'!$CD80,0))))</f>
        <v/>
      </c>
      <c r="CS80" s="114" t="str">
        <f ca="1">IF($CD80="","",IF(OFFSET(BQ$55,'Intermediate Data'!$CD80,0)=-98,"Unknown",IF(OFFSET(BQ$55,'Intermediate Data'!$CD80,0)=-99,"N/A",OFFSET(BQ$55,'Intermediate Data'!$CD80,0))))</f>
        <v/>
      </c>
      <c r="CT80" s="114" t="str">
        <f ca="1">IF($CD80="","",IF(OFFSET(BR$55,'Intermediate Data'!$CD80,0)=-98,"Unknown",IF(OFFSET(BR$55,'Intermediate Data'!$CD80,0)=-99,"N/A",OFFSET(BR$55,'Intermediate Data'!$CD80,0))))</f>
        <v/>
      </c>
      <c r="CU80" s="114" t="str">
        <f ca="1">IF($CD80="","",IF(OFFSET(BS$55,'Intermediate Data'!$CD80,0)=-98,"Unknown",IF(OFFSET(BS$55,'Intermediate Data'!$CD80,0)=-99,"N/A",OFFSET(BS$55,'Intermediate Data'!$CD80,0))))</f>
        <v/>
      </c>
      <c r="CV80" s="114" t="str">
        <f ca="1">IF($CD80="","",IF(OFFSET(BT$55,'Intermediate Data'!$CD80,0)=-98,"Unknown",IF(OFFSET(BT$55,'Intermediate Data'!$CD80,0)=-99,"N/A",OFFSET(BT$55,'Intermediate Data'!$CD80,0))))</f>
        <v/>
      </c>
      <c r="CW80" s="114" t="str">
        <f ca="1">IF($CD80="","",IF(OFFSET(BU$55,'Intermediate Data'!$CD80,0)=-98,"Unknown",IF(OFFSET(BU$55,'Intermediate Data'!$CD80,0)=-99,"N/A",OFFSET(BU$55,'Intermediate Data'!$CD80,0))))</f>
        <v/>
      </c>
      <c r="CX80" s="114" t="str">
        <f ca="1">IF($CD80="","",IF(OFFSET(BV$55,'Intermediate Data'!$CD80,0)=-98,"Unknown",IF(OFFSET(BV$55,'Intermediate Data'!$CD80,0)=-99,"N/A",OFFSET(BV$55,'Intermediate Data'!$CD80,0))))</f>
        <v/>
      </c>
      <c r="CY80" s="682" t="str">
        <f ca="1">IF($CD80="","",IF(OFFSET(BW$55,'Intermediate Data'!$CD80,0)=-98,"Unknown",IF(OFFSET(BW$55,'Intermediate Data'!$CD80,0)="N/A","",OFFSET(BW$55,'Intermediate Data'!$CD80,0))))</f>
        <v/>
      </c>
      <c r="CZ80" s="682" t="str">
        <f ca="1">IF($CD80="","",IF(OFFSET(BX$55,'Intermediate Data'!$CD80,0)=-98,"Unknown",IF(OFFSET(BX$55,'Intermediate Data'!$CD80,0)="N/A","",OFFSET(BX$55,'Intermediate Data'!$CD80,0))))</f>
        <v/>
      </c>
      <c r="DA80" s="682" t="str">
        <f ca="1">IF($CD80="","",IF(OFFSET(BY$55,'Intermediate Data'!$CD80,0)=-98,"Unknown",IF(OFFSET(BY$55,'Intermediate Data'!$CD80,0)="N/A","",OFFSET(BY$55,'Intermediate Data'!$CD80,0))))</f>
        <v/>
      </c>
      <c r="DB80" s="682" t="str">
        <f ca="1">IF($CD80="","",IF(OFFSET(BZ$55,'Intermediate Data'!$CD80,0)=-98,"Unknown",IF(OFFSET(BZ$55,'Intermediate Data'!$CD80,0)="N/A","",OFFSET(BZ$55,'Intermediate Data'!$CD80,0))))</f>
        <v/>
      </c>
    </row>
    <row r="81" spans="1:106" x14ac:dyDescent="0.2">
      <c r="A81" s="90">
        <f ca="1">IF(OFFSET(DATA!F30,0,$D$48)='Intermediate Data'!$E$48,IF(OR($E$49=$C$27,$E$48=$B$4),DATA!A30,IF($G$49=DATA!D30,DATA!A30,"")),"")</f>
        <v>26</v>
      </c>
      <c r="B81" s="90">
        <f ca="1">IF($A81="","",DATA!EH30)</f>
        <v>14</v>
      </c>
      <c r="C81" s="90" t="str">
        <f ca="1">IF($A81="","",DATA!B30)</f>
        <v>Vacuum cleaner - Built-in</v>
      </c>
      <c r="D81" s="90">
        <f ca="1">IF($A81="","",OFFSET(DATA!$H30,0,($D$50*5)))</f>
        <v>-99</v>
      </c>
      <c r="E81" s="90">
        <f ca="1">IF($A81="","",OFFSET(DATA!$H30,0,($D$50*5)+1))</f>
        <v>-99</v>
      </c>
      <c r="F81" s="90">
        <f ca="1">IF($A81="","",OFFSET(DATA!$H30,0,($D$50*5)+2))</f>
        <v>-99</v>
      </c>
      <c r="G81" s="90">
        <f ca="1">IF($A81="","",OFFSET(DATA!$H30,0,($D$50*5)+3))</f>
        <v>-99</v>
      </c>
      <c r="H81" s="90">
        <f ca="1">IF($A81="","",OFFSET(DATA!$H30,0,($D$50*5)+4))</f>
        <v>-99</v>
      </c>
      <c r="I81" s="90">
        <f t="shared" ca="1" si="2"/>
        <v>-99</v>
      </c>
      <c r="J81" s="90" t="str">
        <f t="shared" ca="1" si="3"/>
        <v/>
      </c>
      <c r="K81" s="90">
        <f ca="1">IF($A81="","",OFFSET(DATA!$AG30,0,($D$50*5)))</f>
        <v>-99</v>
      </c>
      <c r="L81" s="90">
        <f ca="1">IF($A81="","",OFFSET(DATA!$AG30,0,($D$50*5)+1))</f>
        <v>-99</v>
      </c>
      <c r="M81" s="90">
        <f ca="1">IF($A81="","",OFFSET(DATA!$AG30,0,($D$50*5)+2))</f>
        <v>-99</v>
      </c>
      <c r="N81" s="90">
        <f ca="1">IF($A81="","",OFFSET(DATA!$AG30,0,($D$50*5)+3))</f>
        <v>-99</v>
      </c>
      <c r="O81" s="90">
        <f ca="1">IF($A81="","",OFFSET(DATA!$AG30,0,($D$50*5)+4))</f>
        <v>-99</v>
      </c>
      <c r="P81" s="90">
        <f t="shared" ca="1" si="4"/>
        <v>-99</v>
      </c>
      <c r="Q81" s="90" t="str">
        <f t="shared" ca="1" si="5"/>
        <v/>
      </c>
      <c r="R81" s="699">
        <f ca="1">IF($A81="","",IF(DATA!BF30="",-99,DATA!BF30))</f>
        <v>-99</v>
      </c>
      <c r="S81" s="90">
        <f ca="1">IF($A81="","",IF(DATA!BG30="",-99,DATA!BF30-DATA!BG30))</f>
        <v>-99</v>
      </c>
      <c r="T81" s="90">
        <f ca="1">IF($A81="","",DATA!BH30)</f>
        <v>-99</v>
      </c>
      <c r="U81" s="90">
        <f ca="1">IF($A81="","",OFFSET(DATA!BM30,0,$D$48))</f>
        <v>-99</v>
      </c>
      <c r="V81" s="90">
        <f t="shared" ca="1" si="6"/>
        <v>14</v>
      </c>
      <c r="W81" s="99">
        <f t="shared" ca="1" si="7"/>
        <v>13.99988120081</v>
      </c>
      <c r="X81" s="112">
        <f t="shared" ca="1" si="8"/>
        <v>108.99988120139001</v>
      </c>
      <c r="Y81" s="90">
        <f t="shared" ca="1" si="9"/>
        <v>84</v>
      </c>
      <c r="AA81" s="90" t="str">
        <f ca="1">IF($Y81="","",IF(OFFSET(C$55,'Intermediate Data'!$Y81,0)=-98,"Unknown",IF(OFFSET(C$55,'Intermediate Data'!$Y81,0)=-99,"N/A",OFFSET(C$55,'Intermediate Data'!$Y81,0))))</f>
        <v>Decorative lighting</v>
      </c>
      <c r="AB81" s="90" t="str">
        <f ca="1">IF($Y81="","",IF(OFFSET(D$55,'Intermediate Data'!$Y81,0)=-98,"N/A",IF(OFFSET(D$55,'Intermediate Data'!$Y81,0)=-99,"N/A",OFFSET(D$55,'Intermediate Data'!$Y81,0))))</f>
        <v>N/A</v>
      </c>
      <c r="AC81" s="90" t="str">
        <f ca="1">IF($Y81="","",IF(OFFSET(E$55,'Intermediate Data'!$Y81,0)=-98,"N/A",IF(OFFSET(E$55,'Intermediate Data'!$Y81,0)=-99,"N/A",OFFSET(E$55,'Intermediate Data'!$Y81,0))))</f>
        <v>N/A</v>
      </c>
      <c r="AD81" s="90" t="str">
        <f ca="1">IF($Y81="","",IF(OFFSET(F$55,'Intermediate Data'!$Y81,0)=-98,"N/A",IF(OFFSET(F$55,'Intermediate Data'!$Y81,0)=-99,"N/A",OFFSET(F$55,'Intermediate Data'!$Y81,0))))</f>
        <v>N/A</v>
      </c>
      <c r="AE81" s="90" t="str">
        <f ca="1">IF($Y81="","",IF(OFFSET(G$55,'Intermediate Data'!$Y81,0)=-98,"N/A",IF(OFFSET(G$55,'Intermediate Data'!$Y81,0)=-99,"N/A",OFFSET(G$55,'Intermediate Data'!$Y81,0))))</f>
        <v>N/A</v>
      </c>
      <c r="AF81" s="90" t="str">
        <f ca="1">IF($Y81="","",IF(OFFSET(H$55,'Intermediate Data'!$Y81,0)=-98,"N/A",IF(OFFSET(H$55,'Intermediate Data'!$Y81,0)=-99,"N/A",OFFSET(H$55,'Intermediate Data'!$Y81,0))))</f>
        <v>N/A</v>
      </c>
      <c r="AG81" s="90" t="str">
        <f ca="1">IF($Y81="","",IF(OFFSET(I$55,'Intermediate Data'!$Y81,0)=-98,"N/A",IF(OFFSET(I$55,'Intermediate Data'!$Y81,0)=-99,"N/A",OFFSET(I$55,'Intermediate Data'!$Y81,0))))</f>
        <v>N/A</v>
      </c>
      <c r="AH81" s="90" t="str">
        <f ca="1">IF($Y81="","",IF(OFFSET(J$55,'Intermediate Data'!$Y81,0)=-98,"N/A",IF(OFFSET(J$55,'Intermediate Data'!$Y81,0)=-99,"N/A",OFFSET(J$55,'Intermediate Data'!$Y81,0))))</f>
        <v/>
      </c>
      <c r="AI81" s="90" t="str">
        <f ca="1">IF($Y81="","",IF(OFFSET(K$55,'Intermediate Data'!$Y81,0)=-98,"N/A",IF(OFFSET(K$55,'Intermediate Data'!$Y81,0)=-99,"N/A",OFFSET(K$55,'Intermediate Data'!$Y81,0))))</f>
        <v>N/A</v>
      </c>
      <c r="AJ81" s="90" t="str">
        <f ca="1">IF($Y81="","",IF(OFFSET(L$55,'Intermediate Data'!$Y81,0)=-98,"N/A",IF(OFFSET(L$55,'Intermediate Data'!$Y81,0)=-99,"N/A",OFFSET(L$55,'Intermediate Data'!$Y81,0))))</f>
        <v>N/A</v>
      </c>
      <c r="AK81" s="90" t="str">
        <f ca="1">IF($Y81="","",IF(OFFSET(M$55,'Intermediate Data'!$Y81,0)=-98,"N/A",IF(OFFSET(M$55,'Intermediate Data'!$Y81,0)=-99,"N/A",OFFSET(M$55,'Intermediate Data'!$Y81,0))))</f>
        <v>N/A</v>
      </c>
      <c r="AL81" s="90" t="str">
        <f ca="1">IF($Y81="","",IF(OFFSET(N$55,'Intermediate Data'!$Y81,0)=-98,"N/A",IF(OFFSET(N$55,'Intermediate Data'!$Y81,0)=-99,"N/A",OFFSET(N$55,'Intermediate Data'!$Y81,0))))</f>
        <v>N/A</v>
      </c>
      <c r="AM81" s="90" t="str">
        <f ca="1">IF($Y81="","",IF(OFFSET(O$55,'Intermediate Data'!$Y81,0)=-98,"N/A",IF(OFFSET(O$55,'Intermediate Data'!$Y81,0)=-99,"N/A",OFFSET(O$55,'Intermediate Data'!$Y81,0))))</f>
        <v>N/A</v>
      </c>
      <c r="AN81" s="90" t="str">
        <f ca="1">IF($Y81="","",IF(OFFSET(P$55,'Intermediate Data'!$Y81,0)=-98,"N/A",IF(OFFSET(P$55,'Intermediate Data'!$Y81,0)=-99,"N/A",OFFSET(P$55,'Intermediate Data'!$Y81,0))))</f>
        <v>N/A</v>
      </c>
      <c r="AO81" s="90" t="str">
        <f ca="1">IF($Y81="","",IF(OFFSET(Q$55,'Intermediate Data'!$Y81,0)=-98,"N/A",IF(OFFSET(Q$55,'Intermediate Data'!$Y81,0)=-99,"N/A",OFFSET(Q$55,'Intermediate Data'!$Y81,0))))</f>
        <v/>
      </c>
      <c r="AP81" s="697" t="str">
        <f ca="1">IF($Y81="","",IF(OFFSET(S$55,'Intermediate Data'!$Y81,0)=-98,"",IF(OFFSET(S$55,'Intermediate Data'!$Y81,0)=-99,"",OFFSET(S$55,'Intermediate Data'!$Y81,0))))</f>
        <v/>
      </c>
      <c r="AQ81" s="90" t="str">
        <f ca="1">IF($Y81="","",IF(OFFSET(T$55,'Intermediate Data'!$Y81,0)=-98,"Not published",IF(OFFSET(T$55,'Intermediate Data'!$Y81,0)=-99,"",OFFSET(T$55,'Intermediate Data'!$Y81,0))))</f>
        <v/>
      </c>
      <c r="AR81" s="90" t="str">
        <f ca="1">IF($Y81="","",IF(OFFSET(U$55,'Intermediate Data'!$Y81,0)=-98,"Unknown",IF(OFFSET(U$55,'Intermediate Data'!$Y81,0)=-99,"",OFFSET(U$55,'Intermediate Data'!$Y81,0))))</f>
        <v/>
      </c>
      <c r="AU81" s="112" t="str">
        <f ca="1">IF(AND(OFFSET(DATA!$F30,0,$AX$48)='Intermediate Data'!$AY$48,DATA!$E30="Tier 1"),IF(OR($AX$49=0,$AX$48=1),DATA!A30,IF(AND($AX$49=1,INDEX('Intermediate Data'!$AY$25:$AY$44,MATCH(DATA!$B30,'Intermediate Data'!$AX$25:$AX$44,0))=TRUE),DATA!A30,"")),"")</f>
        <v/>
      </c>
      <c r="AV81" s="112" t="str">
        <f ca="1">IF($AU81="","",DATA!B30)</f>
        <v/>
      </c>
      <c r="AW81" s="112" t="str">
        <f ca="1">IF(OR($AU81="",DATA!BI30=""),"",DATA!BI30)</f>
        <v/>
      </c>
      <c r="AX81" s="112" t="str">
        <f ca="1">IF(OR($AU81="",OFFSET(DATA!BK30,0,$AX$48)=""),"",OFFSET(DATA!BK30,0,$AX$48))</f>
        <v/>
      </c>
      <c r="AY81" s="112" t="str">
        <f ca="1">IF(OR($AU81="",OFFSET(DATA!BM30,0,$AX$48)=""),"",OFFSET(DATA!BM30,0,$AX$48))</f>
        <v/>
      </c>
      <c r="AZ81" s="112" t="str">
        <f ca="1">IF(OR($AU81="",OFFSET(DATA!BO30,0,'Intermediate Data'!$AX$48)=""),"",OFFSET(DATA!BO30,0,$AX$48))</f>
        <v/>
      </c>
      <c r="BA81" s="112" t="str">
        <f ca="1">IF(OR($AU81="",DATA!BQ30=""),"",DATA!BQ30)</f>
        <v/>
      </c>
      <c r="BB81" s="112" t="str">
        <f ca="1">IF($AU81="","",OFFSET(DATA!BS30,0,$AX$48))</f>
        <v/>
      </c>
      <c r="BC81" s="112" t="str">
        <f ca="1">IF($AU81="","",OFFSET(DATA!BU30,0,$AX$48))</f>
        <v/>
      </c>
      <c r="BD81" s="112" t="str">
        <f ca="1">IF($AU81="","",OFFSET(DATA!BW30,0,$AX$48))</f>
        <v/>
      </c>
      <c r="BE81" s="112" t="str">
        <f ca="1">IF($AU81="","",OFFSET(DATA!BY30,0,$AX$48))</f>
        <v/>
      </c>
      <c r="BF81" s="112" t="str">
        <f ca="1">IF($AU81="","",OFFSET(DATA!CA30,0,$AX$48))</f>
        <v/>
      </c>
      <c r="BG81" s="112" t="str">
        <f ca="1">IF($AU81="","",DATA!CC30)</f>
        <v/>
      </c>
      <c r="BH81" s="112" t="str">
        <f ca="1">IF($AU81="","",OFFSET(DATA!CE30,0,$AX$48))</f>
        <v/>
      </c>
      <c r="BI81" s="112" t="str">
        <f ca="1">IF($AU81="","",OFFSET(DATA!CG30,0,$AX$48))</f>
        <v/>
      </c>
      <c r="BJ81" s="112" t="str">
        <f ca="1">IF($AU81="","",OFFSET(DATA!CI30,0,$AX$48))</f>
        <v/>
      </c>
      <c r="BK81" s="112" t="str">
        <f ca="1">IF($AU81="","",OFFSET(DATA!CK30,0,$AX$48))</f>
        <v/>
      </c>
      <c r="BL81" s="112" t="str">
        <f ca="1">IF($AU81="","",OFFSET(DATA!CM30,0,$AX$48))</f>
        <v/>
      </c>
      <c r="BM81" s="112" t="str">
        <f ca="1">IF($AU81="","",DATA!BH30)</f>
        <v/>
      </c>
      <c r="BN81" s="112" t="str">
        <f ca="1">IF($AU81="","",DATA!DS30)</f>
        <v/>
      </c>
      <c r="BO81" s="112" t="str">
        <f ca="1">IF($AU81="","",DATA!DU30)</f>
        <v/>
      </c>
      <c r="BP81" s="112" t="str">
        <f ca="1">IF($AU81="","",DATA!DV30)</f>
        <v/>
      </c>
      <c r="BQ81" s="112" t="str">
        <f ca="1">IF($AU81="","",DATA!DX30)</f>
        <v/>
      </c>
      <c r="BR81" s="112" t="str">
        <f ca="1">IF($AU81="","",DATA!DZ30)</f>
        <v/>
      </c>
      <c r="BS81" s="171" t="str">
        <f ca="1">IF($AU81="","",DATA!EA30)</f>
        <v/>
      </c>
      <c r="BT81" s="171" t="str">
        <f ca="1">IF($AU81="","",DATA!EC30)</f>
        <v/>
      </c>
      <c r="BU81" s="171" t="str">
        <f ca="1">IF($AU81="","",DATA!EF30)</f>
        <v/>
      </c>
      <c r="BV81" s="113" t="str">
        <f t="shared" ca="1" si="10"/>
        <v/>
      </c>
      <c r="BW81" s="680" t="str">
        <f ca="1">IF(AU81="","",OFFSET(DATA!DC30,0,'Intermediate Data'!$AX$48))</f>
        <v/>
      </c>
      <c r="BX81" s="681" t="str">
        <f ca="1">IF($AU81="","",DATA!DG30)</f>
        <v/>
      </c>
      <c r="BY81" s="680" t="str">
        <f ca="1">IF($AU81="","",OFFSET(DATA!DE30,0,'Intermediate Data'!$AX$48))</f>
        <v/>
      </c>
      <c r="BZ81" s="681" t="str">
        <f ca="1">IF($AU81="","",DATA!DH30)</f>
        <v/>
      </c>
      <c r="CA81" s="90" t="str">
        <f t="shared" ca="1" si="11"/>
        <v/>
      </c>
      <c r="CB81" s="99" t="str">
        <f t="shared" ca="1" si="12"/>
        <v/>
      </c>
      <c r="CC81" s="90" t="str">
        <f t="shared" ca="1" si="13"/>
        <v/>
      </c>
      <c r="CD81" s="90" t="str">
        <f t="shared" ca="1" si="14"/>
        <v/>
      </c>
      <c r="CF81" s="90" t="str">
        <f ca="1">IF($CD81="","",IF(OFFSET(AV$55,'Intermediate Data'!$CD81,0)=-98,"Unknown",IF(OFFSET(AV$55,'Intermediate Data'!$CD81,0)=-99,"N/A",OFFSET(AV$55,'Intermediate Data'!$CD81,0))))</f>
        <v/>
      </c>
      <c r="CG81" s="90" t="str">
        <f ca="1">IF($CD81="","",IF(OFFSET(AW$55,'Intermediate Data'!$CD81,0)=-98,"",IF(OFFSET(AW$55,'Intermediate Data'!$CD81,0)=-99,"N/A",OFFSET(AW$55,'Intermediate Data'!$CD81,0))))</f>
        <v/>
      </c>
      <c r="CH81" s="90" t="str">
        <f ca="1">IF($CD81="","",IF(OFFSET(AX$55,'Intermediate Data'!$CD81,0)=-98,"Unknown",IF(OFFSET(AX$55,'Intermediate Data'!$CD81,0)=-99,"N/A",OFFSET(AX$55,'Intermediate Data'!$CD81,0))))</f>
        <v/>
      </c>
      <c r="CI81" s="125" t="str">
        <f ca="1">IF($CD81="","",IF(OFFSET(AY$55,'Intermediate Data'!$CD81,0)=-98,"Unknown",IF(OFFSET(AY$55,'Intermediate Data'!$CD81,0)=-99,"No spec",OFFSET(AY$55,'Intermediate Data'!$CD81,0))))</f>
        <v/>
      </c>
      <c r="CJ81" s="125" t="str">
        <f ca="1">IF($CD81="","",IF(OFFSET(AZ$55,'Intermediate Data'!$CD81,0)=-98,"Unknown",IF(OFFSET(AZ$55,'Intermediate Data'!$CD81,0)=-99,"N/A",OFFSET(AZ$55,'Intermediate Data'!$CD81,0))))</f>
        <v/>
      </c>
      <c r="CK81" s="90" t="str">
        <f ca="1">IF($CD81="","",IF(OFFSET(BA$55,'Intermediate Data'!$CD81,0)=-98,"Unknown",IF(OFFSET(BA$55,'Intermediate Data'!$CD81,0)=-99,"N/A",OFFSET(BA$55,'Intermediate Data'!$CD81,0))))</f>
        <v/>
      </c>
      <c r="CL81" s="90" t="str">
        <f ca="1">IF($CD81="","",IF(OFFSET(BB$55,'Intermediate Data'!$CD81,$AX$50)=-98,"Unknown",IF(OFFSET(BB$55,'Intermediate Data'!$CD81,$AX$50)="N/A","",OFFSET(BB$55,'Intermediate Data'!$CD81,$AX$50))))</f>
        <v/>
      </c>
      <c r="CM81" s="90" t="str">
        <f ca="1">IF($CD81="","",IF(OFFSET(BG$55,'Intermediate Data'!$CD81,0)="ET","ET",""))</f>
        <v/>
      </c>
      <c r="CN81" s="90" t="str">
        <f ca="1">IF($CD81="","",IF(OFFSET(BH$55,'Intermediate Data'!$CD81,$AX$50)=-98,"Unknown",IF(OFFSET(BH$55,'Intermediate Data'!$CD81,$AX$50)="N/A","",OFFSET(BH$55,'Intermediate Data'!$CD81,$AX$50))))</f>
        <v/>
      </c>
      <c r="CO81" s="90" t="str">
        <f ca="1">IF($CD81="","",IF(OFFSET(BM$55,'Intermediate Data'!$CD81,0)=-98,"Not published",IF(OFFSET(BM$55,'Intermediate Data'!$CD81,0)=-99,"No spec",OFFSET(BM$55,'Intermediate Data'!$CD81,0))))</f>
        <v/>
      </c>
      <c r="CP81" s="114" t="str">
        <f ca="1">IF($CD81="","",IF(OFFSET(BN$55,'Intermediate Data'!$CD81,0)=-98,"Unknown",IF(OFFSET(BN$55,'Intermediate Data'!$CD81,0)=-99,"N/A",OFFSET(BN$55,'Intermediate Data'!$CD81,0))))</f>
        <v/>
      </c>
      <c r="CQ81" s="114" t="str">
        <f ca="1">IF($CD81="","",IF(OFFSET(BO$55,'Intermediate Data'!$CD81,0)=-98,"Unknown",IF(OFFSET(BO$55,'Intermediate Data'!$CD81,0)=-99,"N/A",OFFSET(BO$55,'Intermediate Data'!$CD81,0))))</f>
        <v/>
      </c>
      <c r="CR81" s="114" t="str">
        <f ca="1">IF($CD81="","",IF(OFFSET(BP$55,'Intermediate Data'!$CD81,0)=-98,"Unknown",IF(OFFSET(BP$55,'Intermediate Data'!$CD81,0)=-99,"N/A",OFFSET(BP$55,'Intermediate Data'!$CD81,0))))</f>
        <v/>
      </c>
      <c r="CS81" s="114" t="str">
        <f ca="1">IF($CD81="","",IF(OFFSET(BQ$55,'Intermediate Data'!$CD81,0)=-98,"Unknown",IF(OFFSET(BQ$55,'Intermediate Data'!$CD81,0)=-99,"N/A",OFFSET(BQ$55,'Intermediate Data'!$CD81,0))))</f>
        <v/>
      </c>
      <c r="CT81" s="114" t="str">
        <f ca="1">IF($CD81="","",IF(OFFSET(BR$55,'Intermediate Data'!$CD81,0)=-98,"Unknown",IF(OFFSET(BR$55,'Intermediate Data'!$CD81,0)=-99,"N/A",OFFSET(BR$55,'Intermediate Data'!$CD81,0))))</f>
        <v/>
      </c>
      <c r="CU81" s="114" t="str">
        <f ca="1">IF($CD81="","",IF(OFFSET(BS$55,'Intermediate Data'!$CD81,0)=-98,"Unknown",IF(OFFSET(BS$55,'Intermediate Data'!$CD81,0)=-99,"N/A",OFFSET(BS$55,'Intermediate Data'!$CD81,0))))</f>
        <v/>
      </c>
      <c r="CV81" s="114" t="str">
        <f ca="1">IF($CD81="","",IF(OFFSET(BT$55,'Intermediate Data'!$CD81,0)=-98,"Unknown",IF(OFFSET(BT$55,'Intermediate Data'!$CD81,0)=-99,"N/A",OFFSET(BT$55,'Intermediate Data'!$CD81,0))))</f>
        <v/>
      </c>
      <c r="CW81" s="114" t="str">
        <f ca="1">IF($CD81="","",IF(OFFSET(BU$55,'Intermediate Data'!$CD81,0)=-98,"Unknown",IF(OFFSET(BU$55,'Intermediate Data'!$CD81,0)=-99,"N/A",OFFSET(BU$55,'Intermediate Data'!$CD81,0))))</f>
        <v/>
      </c>
      <c r="CX81" s="114" t="str">
        <f ca="1">IF($CD81="","",IF(OFFSET(BV$55,'Intermediate Data'!$CD81,0)=-98,"Unknown",IF(OFFSET(BV$55,'Intermediate Data'!$CD81,0)=-99,"N/A",OFFSET(BV$55,'Intermediate Data'!$CD81,0))))</f>
        <v/>
      </c>
      <c r="CY81" s="682" t="str">
        <f ca="1">IF($CD81="","",IF(OFFSET(BW$55,'Intermediate Data'!$CD81,0)=-98,"Unknown",IF(OFFSET(BW$55,'Intermediate Data'!$CD81,0)="N/A","",OFFSET(BW$55,'Intermediate Data'!$CD81,0))))</f>
        <v/>
      </c>
      <c r="CZ81" s="682" t="str">
        <f ca="1">IF($CD81="","",IF(OFFSET(BX$55,'Intermediate Data'!$CD81,0)=-98,"Unknown",IF(OFFSET(BX$55,'Intermediate Data'!$CD81,0)="N/A","",OFFSET(BX$55,'Intermediate Data'!$CD81,0))))</f>
        <v/>
      </c>
      <c r="DA81" s="682" t="str">
        <f ca="1">IF($CD81="","",IF(OFFSET(BY$55,'Intermediate Data'!$CD81,0)=-98,"Unknown",IF(OFFSET(BY$55,'Intermediate Data'!$CD81,0)="N/A","",OFFSET(BY$55,'Intermediate Data'!$CD81,0))))</f>
        <v/>
      </c>
      <c r="DB81" s="682" t="str">
        <f ca="1">IF($CD81="","",IF(OFFSET(BZ$55,'Intermediate Data'!$CD81,0)=-98,"Unknown",IF(OFFSET(BZ$55,'Intermediate Data'!$CD81,0)="N/A","",OFFSET(BZ$55,'Intermediate Data'!$CD81,0))))</f>
        <v/>
      </c>
    </row>
    <row r="82" spans="1:106" x14ac:dyDescent="0.2">
      <c r="A82" s="90">
        <f ca="1">IF(OFFSET(DATA!F31,0,$D$48)='Intermediate Data'!$E$48,IF(OR($E$49=$C$27,$E$48=$B$4),DATA!A31,IF($G$49=DATA!D31,DATA!A31,"")),"")</f>
        <v>27</v>
      </c>
      <c r="B82" s="90">
        <f ca="1">IF($A82="","",DATA!EH31)</f>
        <v>13</v>
      </c>
      <c r="C82" s="90" t="str">
        <f ca="1">IF($A82="","",DATA!B31)</f>
        <v>Vacuum cleaner - Portable</v>
      </c>
      <c r="D82" s="90">
        <f ca="1">IF($A82="","",OFFSET(DATA!$H31,0,($D$50*5)))</f>
        <v>-99</v>
      </c>
      <c r="E82" s="90">
        <f ca="1">IF($A82="","",OFFSET(DATA!$H31,0,($D$50*5)+1))</f>
        <v>-99</v>
      </c>
      <c r="F82" s="90">
        <f ca="1">IF($A82="","",OFFSET(DATA!$H31,0,($D$50*5)+2))</f>
        <v>-99</v>
      </c>
      <c r="G82" s="90">
        <f ca="1">IF($A82="","",OFFSET(DATA!$H31,0,($D$50*5)+3))</f>
        <v>-99</v>
      </c>
      <c r="H82" s="90">
        <f ca="1">IF($A82="","",OFFSET(DATA!$H31,0,($D$50*5)+4))</f>
        <v>-99</v>
      </c>
      <c r="I82" s="90">
        <f t="shared" ca="1" si="2"/>
        <v>-99</v>
      </c>
      <c r="J82" s="90" t="str">
        <f t="shared" ca="1" si="3"/>
        <v/>
      </c>
      <c r="K82" s="90">
        <f ca="1">IF($A82="","",OFFSET(DATA!$AG31,0,($D$50*5)))</f>
        <v>-99</v>
      </c>
      <c r="L82" s="90">
        <f ca="1">IF($A82="","",OFFSET(DATA!$AG31,0,($D$50*5)+1))</f>
        <v>-99</v>
      </c>
      <c r="M82" s="90">
        <f ca="1">IF($A82="","",OFFSET(DATA!$AG31,0,($D$50*5)+2))</f>
        <v>-99</v>
      </c>
      <c r="N82" s="90">
        <f ca="1">IF($A82="","",OFFSET(DATA!$AG31,0,($D$50*5)+3))</f>
        <v>-99</v>
      </c>
      <c r="O82" s="90">
        <f ca="1">IF($A82="","",OFFSET(DATA!$AG31,0,($D$50*5)+4))</f>
        <v>-99</v>
      </c>
      <c r="P82" s="90">
        <f t="shared" ca="1" si="4"/>
        <v>-99</v>
      </c>
      <c r="Q82" s="90" t="str">
        <f t="shared" ca="1" si="5"/>
        <v/>
      </c>
      <c r="R82" s="699">
        <f ca="1">IF($A82="","",IF(DATA!BF31="",-99,DATA!BF31))</f>
        <v>-99</v>
      </c>
      <c r="S82" s="90">
        <f ca="1">IF($A82="","",IF(DATA!BG31="",-99,DATA!BF31-DATA!BG31))</f>
        <v>-99</v>
      </c>
      <c r="T82" s="90">
        <f ca="1">IF($A82="","",DATA!BH31)</f>
        <v>-99</v>
      </c>
      <c r="U82" s="90">
        <f ca="1">IF($A82="","",OFFSET(DATA!BM31,0,$D$48))</f>
        <v>-99</v>
      </c>
      <c r="V82" s="90">
        <f t="shared" ca="1" si="6"/>
        <v>13</v>
      </c>
      <c r="W82" s="99">
        <f t="shared" ca="1" si="7"/>
        <v>12.999881200820001</v>
      </c>
      <c r="X82" s="112">
        <f t="shared" ca="1" si="8"/>
        <v>107.9999448033429</v>
      </c>
      <c r="Y82" s="90">
        <f t="shared" ca="1" si="9"/>
        <v>71</v>
      </c>
      <c r="AA82" s="90" t="str">
        <f ca="1">IF($Y82="","",IF(OFFSET(C$55,'Intermediate Data'!$Y82,0)=-98,"Unknown",IF(OFFSET(C$55,'Intermediate Data'!$Y82,0)=-99,"N/A",OFFSET(C$55,'Intermediate Data'!$Y82,0))))</f>
        <v>Dehumidifier</v>
      </c>
      <c r="AB82" s="90" t="str">
        <f ca="1">IF($Y82="","",IF(OFFSET(D$55,'Intermediate Data'!$Y82,0)=-98,"N/A",IF(OFFSET(D$55,'Intermediate Data'!$Y82,0)=-99,"N/A",OFFSET(D$55,'Intermediate Data'!$Y82,0))))</f>
        <v>N/A</v>
      </c>
      <c r="AC82" s="90">
        <f ca="1">IF($Y82="","",IF(OFFSET(E$55,'Intermediate Data'!$Y82,0)=-98,"N/A",IF(OFFSET(E$55,'Intermediate Data'!$Y82,0)=-99,"N/A",OFFSET(E$55,'Intermediate Data'!$Y82,0))))</f>
        <v>1.0073942579849681E-2</v>
      </c>
      <c r="AD82" s="90" t="str">
        <f ca="1">IF($Y82="","",IF(OFFSET(F$55,'Intermediate Data'!$Y82,0)=-98,"N/A",IF(OFFSET(F$55,'Intermediate Data'!$Y82,0)=-99,"N/A",OFFSET(F$55,'Intermediate Data'!$Y82,0))))</f>
        <v>N/A</v>
      </c>
      <c r="AE82" s="90" t="str">
        <f ca="1">IF($Y82="","",IF(OFFSET(G$55,'Intermediate Data'!$Y82,0)=-98,"N/A",IF(OFFSET(G$55,'Intermediate Data'!$Y82,0)=-99,"N/A",OFFSET(G$55,'Intermediate Data'!$Y82,0))))</f>
        <v>N/A</v>
      </c>
      <c r="AF82" s="90" t="str">
        <f ca="1">IF($Y82="","",IF(OFFSET(H$55,'Intermediate Data'!$Y82,0)=-98,"N/A",IF(OFFSET(H$55,'Intermediate Data'!$Y82,0)=-99,"N/A",OFFSET(H$55,'Intermediate Data'!$Y82,0))))</f>
        <v>N/A</v>
      </c>
      <c r="AG82" s="90">
        <f ca="1">IF($Y82="","",IF(OFFSET(I$55,'Intermediate Data'!$Y82,0)=-98,"N/A",IF(OFFSET(I$55,'Intermediate Data'!$Y82,0)=-99,"N/A",OFFSET(I$55,'Intermediate Data'!$Y82,0))))</f>
        <v>1.0073942579849681E-2</v>
      </c>
      <c r="AH82" s="90" t="str">
        <f ca="1">IF($Y82="","",IF(OFFSET(J$55,'Intermediate Data'!$Y82,0)=-98,"N/A",IF(OFFSET(J$55,'Intermediate Data'!$Y82,0)=-99,"N/A",OFFSET(J$55,'Intermediate Data'!$Y82,0))))</f>
        <v>RASS</v>
      </c>
      <c r="AI82" s="90" t="str">
        <f ca="1">IF($Y82="","",IF(OFFSET(K$55,'Intermediate Data'!$Y82,0)=-98,"N/A",IF(OFFSET(K$55,'Intermediate Data'!$Y82,0)=-99,"N/A",OFFSET(K$55,'Intermediate Data'!$Y82,0))))</f>
        <v>N/A</v>
      </c>
      <c r="AJ82" s="90">
        <f ca="1">IF($Y82="","",IF(OFFSET(L$55,'Intermediate Data'!$Y82,0)=-98,"N/A",IF(OFFSET(L$55,'Intermediate Data'!$Y82,0)=-99,"N/A",OFFSET(L$55,'Intermediate Data'!$Y82,0))))</f>
        <v>1.0681076803695913E-2</v>
      </c>
      <c r="AK82" s="90" t="str">
        <f ca="1">IF($Y82="","",IF(OFFSET(M$55,'Intermediate Data'!$Y82,0)=-98,"N/A",IF(OFFSET(M$55,'Intermediate Data'!$Y82,0)=-99,"N/A",OFFSET(M$55,'Intermediate Data'!$Y82,0))))</f>
        <v>N/A</v>
      </c>
      <c r="AL82" s="90" t="str">
        <f ca="1">IF($Y82="","",IF(OFFSET(N$55,'Intermediate Data'!$Y82,0)=-98,"N/A",IF(OFFSET(N$55,'Intermediate Data'!$Y82,0)=-99,"N/A",OFFSET(N$55,'Intermediate Data'!$Y82,0))))</f>
        <v>N/A</v>
      </c>
      <c r="AM82" s="90" t="str">
        <f ca="1">IF($Y82="","",IF(OFFSET(O$55,'Intermediate Data'!$Y82,0)=-98,"N/A",IF(OFFSET(O$55,'Intermediate Data'!$Y82,0)=-99,"N/A",OFFSET(O$55,'Intermediate Data'!$Y82,0))))</f>
        <v>N/A</v>
      </c>
      <c r="AN82" s="90">
        <f ca="1">IF($Y82="","",IF(OFFSET(P$55,'Intermediate Data'!$Y82,0)=-98,"N/A",IF(OFFSET(P$55,'Intermediate Data'!$Y82,0)=-99,"N/A",OFFSET(P$55,'Intermediate Data'!$Y82,0))))</f>
        <v>1.0681076803695913E-2</v>
      </c>
      <c r="AO82" s="90" t="str">
        <f ca="1">IF($Y82="","",IF(OFFSET(Q$55,'Intermediate Data'!$Y82,0)=-98,"N/A",IF(OFFSET(Q$55,'Intermediate Data'!$Y82,0)=-99,"N/A",OFFSET(Q$55,'Intermediate Data'!$Y82,0))))</f>
        <v>RASS</v>
      </c>
      <c r="AP82" s="697" t="str">
        <f ca="1">IF($Y82="","",IF(OFFSET(S$55,'Intermediate Data'!$Y82,0)=-98,"",IF(OFFSET(S$55,'Intermediate Data'!$Y82,0)=-99,"",OFFSET(S$55,'Intermediate Data'!$Y82,0))))</f>
        <v/>
      </c>
      <c r="AQ82" s="90">
        <f ca="1">IF($Y82="","",IF(OFFSET(T$55,'Intermediate Data'!$Y82,0)=-98,"Not published",IF(OFFSET(T$55,'Intermediate Data'!$Y82,0)=-99,"",OFFSET(T$55,'Intermediate Data'!$Y82,0))))</f>
        <v>0.99</v>
      </c>
      <c r="AR82" s="90">
        <f ca="1">IF($Y82="","",IF(OFFSET(U$55,'Intermediate Data'!$Y82,0)=-98,"Unknown",IF(OFFSET(U$55,'Intermediate Data'!$Y82,0)=-99,"",OFFSET(U$55,'Intermediate Data'!$Y82,0))))</f>
        <v>140</v>
      </c>
      <c r="AU82" s="112" t="str">
        <f ca="1">IF(AND(OFFSET(DATA!$F31,0,$AX$48)='Intermediate Data'!$AY$48,DATA!$E31="Tier 1"),IF(OR($AX$49=0,$AX$48=1),DATA!A31,IF(AND($AX$49=1,INDEX('Intermediate Data'!$AY$25:$AY$44,MATCH(DATA!$B31,'Intermediate Data'!$AX$25:$AX$44,0))=TRUE),DATA!A31,"")),"")</f>
        <v/>
      </c>
      <c r="AV82" s="112" t="str">
        <f ca="1">IF($AU82="","",DATA!B31)</f>
        <v/>
      </c>
      <c r="AW82" s="112" t="str">
        <f ca="1">IF(OR($AU82="",DATA!BI31=""),"",DATA!BI31)</f>
        <v/>
      </c>
      <c r="AX82" s="112" t="str">
        <f ca="1">IF(OR($AU82="",OFFSET(DATA!BK31,0,$AX$48)=""),"",OFFSET(DATA!BK31,0,$AX$48))</f>
        <v/>
      </c>
      <c r="AY82" s="112" t="str">
        <f ca="1">IF(OR($AU82="",OFFSET(DATA!BM31,0,$AX$48)=""),"",OFFSET(DATA!BM31,0,$AX$48))</f>
        <v/>
      </c>
      <c r="AZ82" s="112" t="str">
        <f ca="1">IF(OR($AU82="",OFFSET(DATA!BO31,0,'Intermediate Data'!$AX$48)=""),"",OFFSET(DATA!BO31,0,$AX$48))</f>
        <v/>
      </c>
      <c r="BA82" s="112" t="str">
        <f ca="1">IF(OR($AU82="",DATA!BQ31=""),"",DATA!BQ31)</f>
        <v/>
      </c>
      <c r="BB82" s="112" t="str">
        <f ca="1">IF($AU82="","",OFFSET(DATA!BS31,0,$AX$48))</f>
        <v/>
      </c>
      <c r="BC82" s="112" t="str">
        <f ca="1">IF($AU82="","",OFFSET(DATA!BU31,0,$AX$48))</f>
        <v/>
      </c>
      <c r="BD82" s="112" t="str">
        <f ca="1">IF($AU82="","",OFFSET(DATA!BW31,0,$AX$48))</f>
        <v/>
      </c>
      <c r="BE82" s="112" t="str">
        <f ca="1">IF($AU82="","",OFFSET(DATA!BY31,0,$AX$48))</f>
        <v/>
      </c>
      <c r="BF82" s="112" t="str">
        <f ca="1">IF($AU82="","",OFFSET(DATA!CA31,0,$AX$48))</f>
        <v/>
      </c>
      <c r="BG82" s="112" t="str">
        <f ca="1">IF($AU82="","",DATA!CC31)</f>
        <v/>
      </c>
      <c r="BH82" s="112" t="str">
        <f ca="1">IF($AU82="","",OFFSET(DATA!CE31,0,$AX$48))</f>
        <v/>
      </c>
      <c r="BI82" s="112" t="str">
        <f ca="1">IF($AU82="","",OFFSET(DATA!CG31,0,$AX$48))</f>
        <v/>
      </c>
      <c r="BJ82" s="112" t="str">
        <f ca="1">IF($AU82="","",OFFSET(DATA!CI31,0,$AX$48))</f>
        <v/>
      </c>
      <c r="BK82" s="112" t="str">
        <f ca="1">IF($AU82="","",OFFSET(DATA!CK31,0,$AX$48))</f>
        <v/>
      </c>
      <c r="BL82" s="112" t="str">
        <f ca="1">IF($AU82="","",OFFSET(DATA!CM31,0,$AX$48))</f>
        <v/>
      </c>
      <c r="BM82" s="112" t="str">
        <f ca="1">IF($AU82="","",DATA!BH31)</f>
        <v/>
      </c>
      <c r="BN82" s="112" t="str">
        <f ca="1">IF($AU82="","",DATA!DS31)</f>
        <v/>
      </c>
      <c r="BO82" s="112" t="str">
        <f ca="1">IF($AU82="","",DATA!DU31)</f>
        <v/>
      </c>
      <c r="BP82" s="112" t="str">
        <f ca="1">IF($AU82="","",DATA!DV31)</f>
        <v/>
      </c>
      <c r="BQ82" s="112" t="str">
        <f ca="1">IF($AU82="","",DATA!DX31)</f>
        <v/>
      </c>
      <c r="BR82" s="112" t="str">
        <f ca="1">IF($AU82="","",DATA!DZ31)</f>
        <v/>
      </c>
      <c r="BS82" s="171" t="str">
        <f ca="1">IF($AU82="","",DATA!EA31)</f>
        <v/>
      </c>
      <c r="BT82" s="171" t="str">
        <f ca="1">IF($AU82="","",DATA!EC31)</f>
        <v/>
      </c>
      <c r="BU82" s="171" t="str">
        <f ca="1">IF($AU82="","",DATA!EF31)</f>
        <v/>
      </c>
      <c r="BV82" s="113" t="str">
        <f t="shared" ca="1" si="10"/>
        <v/>
      </c>
      <c r="BW82" s="680" t="str">
        <f ca="1">IF(AU82="","",OFFSET(DATA!DC31,0,'Intermediate Data'!$AX$48))</f>
        <v/>
      </c>
      <c r="BX82" s="681" t="str">
        <f ca="1">IF($AU82="","",DATA!DG31)</f>
        <v/>
      </c>
      <c r="BY82" s="680" t="str">
        <f ca="1">IF($AU82="","",OFFSET(DATA!DE31,0,'Intermediate Data'!$AX$48))</f>
        <v/>
      </c>
      <c r="BZ82" s="681" t="str">
        <f ca="1">IF($AU82="","",DATA!DH31)</f>
        <v/>
      </c>
      <c r="CA82" s="90" t="str">
        <f t="shared" ca="1" si="11"/>
        <v/>
      </c>
      <c r="CB82" s="99" t="str">
        <f t="shared" ca="1" si="12"/>
        <v/>
      </c>
      <c r="CC82" s="90" t="str">
        <f t="shared" ca="1" si="13"/>
        <v/>
      </c>
      <c r="CD82" s="90" t="str">
        <f t="shared" ca="1" si="14"/>
        <v/>
      </c>
      <c r="CF82" s="90" t="str">
        <f ca="1">IF($CD82="","",IF(OFFSET(AV$55,'Intermediate Data'!$CD82,0)=-98,"Unknown",IF(OFFSET(AV$55,'Intermediate Data'!$CD82,0)=-99,"N/A",OFFSET(AV$55,'Intermediate Data'!$CD82,0))))</f>
        <v/>
      </c>
      <c r="CG82" s="90" t="str">
        <f ca="1">IF($CD82="","",IF(OFFSET(AW$55,'Intermediate Data'!$CD82,0)=-98,"",IF(OFFSET(AW$55,'Intermediate Data'!$CD82,0)=-99,"N/A",OFFSET(AW$55,'Intermediate Data'!$CD82,0))))</f>
        <v/>
      </c>
      <c r="CH82" s="90" t="str">
        <f ca="1">IF($CD82="","",IF(OFFSET(AX$55,'Intermediate Data'!$CD82,0)=-98,"Unknown",IF(OFFSET(AX$55,'Intermediate Data'!$CD82,0)=-99,"N/A",OFFSET(AX$55,'Intermediate Data'!$CD82,0))))</f>
        <v/>
      </c>
      <c r="CI82" s="125" t="str">
        <f ca="1">IF($CD82="","",IF(OFFSET(AY$55,'Intermediate Data'!$CD82,0)=-98,"Unknown",IF(OFFSET(AY$55,'Intermediate Data'!$CD82,0)=-99,"No spec",OFFSET(AY$55,'Intermediate Data'!$CD82,0))))</f>
        <v/>
      </c>
      <c r="CJ82" s="125" t="str">
        <f ca="1">IF($CD82="","",IF(OFFSET(AZ$55,'Intermediate Data'!$CD82,0)=-98,"Unknown",IF(OFFSET(AZ$55,'Intermediate Data'!$CD82,0)=-99,"N/A",OFFSET(AZ$55,'Intermediate Data'!$CD82,0))))</f>
        <v/>
      </c>
      <c r="CK82" s="90" t="str">
        <f ca="1">IF($CD82="","",IF(OFFSET(BA$55,'Intermediate Data'!$CD82,0)=-98,"Unknown",IF(OFFSET(BA$55,'Intermediate Data'!$CD82,0)=-99,"N/A",OFFSET(BA$55,'Intermediate Data'!$CD82,0))))</f>
        <v/>
      </c>
      <c r="CL82" s="90" t="str">
        <f ca="1">IF($CD82="","",IF(OFFSET(BB$55,'Intermediate Data'!$CD82,$AX$50)=-98,"Unknown",IF(OFFSET(BB$55,'Intermediate Data'!$CD82,$AX$50)="N/A","",OFFSET(BB$55,'Intermediate Data'!$CD82,$AX$50))))</f>
        <v/>
      </c>
      <c r="CM82" s="90" t="str">
        <f ca="1">IF($CD82="","",IF(OFFSET(BG$55,'Intermediate Data'!$CD82,0)="ET","ET",""))</f>
        <v/>
      </c>
      <c r="CN82" s="90" t="str">
        <f ca="1">IF($CD82="","",IF(OFFSET(BH$55,'Intermediate Data'!$CD82,$AX$50)=-98,"Unknown",IF(OFFSET(BH$55,'Intermediate Data'!$CD82,$AX$50)="N/A","",OFFSET(BH$55,'Intermediate Data'!$CD82,$AX$50))))</f>
        <v/>
      </c>
      <c r="CO82" s="90" t="str">
        <f ca="1">IF($CD82="","",IF(OFFSET(BM$55,'Intermediate Data'!$CD82,0)=-98,"Not published",IF(OFFSET(BM$55,'Intermediate Data'!$CD82,0)=-99,"No spec",OFFSET(BM$55,'Intermediate Data'!$CD82,0))))</f>
        <v/>
      </c>
      <c r="CP82" s="114" t="str">
        <f ca="1">IF($CD82="","",IF(OFFSET(BN$55,'Intermediate Data'!$CD82,0)=-98,"Unknown",IF(OFFSET(BN$55,'Intermediate Data'!$CD82,0)=-99,"N/A",OFFSET(BN$55,'Intermediate Data'!$CD82,0))))</f>
        <v/>
      </c>
      <c r="CQ82" s="114" t="str">
        <f ca="1">IF($CD82="","",IF(OFFSET(BO$55,'Intermediate Data'!$CD82,0)=-98,"Unknown",IF(OFFSET(BO$55,'Intermediate Data'!$CD82,0)=-99,"N/A",OFFSET(BO$55,'Intermediate Data'!$CD82,0))))</f>
        <v/>
      </c>
      <c r="CR82" s="114" t="str">
        <f ca="1">IF($CD82="","",IF(OFFSET(BP$55,'Intermediate Data'!$CD82,0)=-98,"Unknown",IF(OFFSET(BP$55,'Intermediate Data'!$CD82,0)=-99,"N/A",OFFSET(BP$55,'Intermediate Data'!$CD82,0))))</f>
        <v/>
      </c>
      <c r="CS82" s="114" t="str">
        <f ca="1">IF($CD82="","",IF(OFFSET(BQ$55,'Intermediate Data'!$CD82,0)=-98,"Unknown",IF(OFFSET(BQ$55,'Intermediate Data'!$CD82,0)=-99,"N/A",OFFSET(BQ$55,'Intermediate Data'!$CD82,0))))</f>
        <v/>
      </c>
      <c r="CT82" s="114" t="str">
        <f ca="1">IF($CD82="","",IF(OFFSET(BR$55,'Intermediate Data'!$CD82,0)=-98,"Unknown",IF(OFFSET(BR$55,'Intermediate Data'!$CD82,0)=-99,"N/A",OFFSET(BR$55,'Intermediate Data'!$CD82,0))))</f>
        <v/>
      </c>
      <c r="CU82" s="114" t="str">
        <f ca="1">IF($CD82="","",IF(OFFSET(BS$55,'Intermediate Data'!$CD82,0)=-98,"Unknown",IF(OFFSET(BS$55,'Intermediate Data'!$CD82,0)=-99,"N/A",OFFSET(BS$55,'Intermediate Data'!$CD82,0))))</f>
        <v/>
      </c>
      <c r="CV82" s="114" t="str">
        <f ca="1">IF($CD82="","",IF(OFFSET(BT$55,'Intermediate Data'!$CD82,0)=-98,"Unknown",IF(OFFSET(BT$55,'Intermediate Data'!$CD82,0)=-99,"N/A",OFFSET(BT$55,'Intermediate Data'!$CD82,0))))</f>
        <v/>
      </c>
      <c r="CW82" s="114" t="str">
        <f ca="1">IF($CD82="","",IF(OFFSET(BU$55,'Intermediate Data'!$CD82,0)=-98,"Unknown",IF(OFFSET(BU$55,'Intermediate Data'!$CD82,0)=-99,"N/A",OFFSET(BU$55,'Intermediate Data'!$CD82,0))))</f>
        <v/>
      </c>
      <c r="CX82" s="114" t="str">
        <f ca="1">IF($CD82="","",IF(OFFSET(BV$55,'Intermediate Data'!$CD82,0)=-98,"Unknown",IF(OFFSET(BV$55,'Intermediate Data'!$CD82,0)=-99,"N/A",OFFSET(BV$55,'Intermediate Data'!$CD82,0))))</f>
        <v/>
      </c>
      <c r="CY82" s="682" t="str">
        <f ca="1">IF($CD82="","",IF(OFFSET(BW$55,'Intermediate Data'!$CD82,0)=-98,"Unknown",IF(OFFSET(BW$55,'Intermediate Data'!$CD82,0)="N/A","",OFFSET(BW$55,'Intermediate Data'!$CD82,0))))</f>
        <v/>
      </c>
      <c r="CZ82" s="682" t="str">
        <f ca="1">IF($CD82="","",IF(OFFSET(BX$55,'Intermediate Data'!$CD82,0)=-98,"Unknown",IF(OFFSET(BX$55,'Intermediate Data'!$CD82,0)="N/A","",OFFSET(BX$55,'Intermediate Data'!$CD82,0))))</f>
        <v/>
      </c>
      <c r="DA82" s="682" t="str">
        <f ca="1">IF($CD82="","",IF(OFFSET(BY$55,'Intermediate Data'!$CD82,0)=-98,"Unknown",IF(OFFSET(BY$55,'Intermediate Data'!$CD82,0)="N/A","",OFFSET(BY$55,'Intermediate Data'!$CD82,0))))</f>
        <v/>
      </c>
      <c r="DB82" s="682" t="str">
        <f ca="1">IF($CD82="","",IF(OFFSET(BZ$55,'Intermediate Data'!$CD82,0)=-98,"Unknown",IF(OFFSET(BZ$55,'Intermediate Data'!$CD82,0)="N/A","",OFFSET(BZ$55,'Intermediate Data'!$CD82,0))))</f>
        <v/>
      </c>
    </row>
    <row r="83" spans="1:106" x14ac:dyDescent="0.2">
      <c r="A83" s="90">
        <f ca="1">IF(OFFSET(DATA!F32,0,$D$48)='Intermediate Data'!$E$48,IF(OR($E$49=$C$27,$E$48=$B$4),DATA!A32,IF($G$49=DATA!D32,DATA!A32,"")),"")</f>
        <v>28</v>
      </c>
      <c r="B83" s="90">
        <f ca="1">IF($A83="","",DATA!EH32)</f>
        <v>8</v>
      </c>
      <c r="C83" s="90" t="str">
        <f ca="1">IF($A83="","",DATA!B32)</f>
        <v>Waste disposal/Insink-erator</v>
      </c>
      <c r="D83" s="90">
        <f ca="1">IF($A83="","",OFFSET(DATA!$H32,0,($D$50*5)))</f>
        <v>-99</v>
      </c>
      <c r="E83" s="90">
        <f ca="1">IF($A83="","",OFFSET(DATA!$H32,0,($D$50*5)+1))</f>
        <v>-99</v>
      </c>
      <c r="F83" s="90">
        <f ca="1">IF($A83="","",OFFSET(DATA!$H32,0,($D$50*5)+2))</f>
        <v>-99</v>
      </c>
      <c r="G83" s="90">
        <f ca="1">IF($A83="","",OFFSET(DATA!$H32,0,($D$50*5)+3))</f>
        <v>-99</v>
      </c>
      <c r="H83" s="90">
        <f ca="1">IF($A83="","",OFFSET(DATA!$H32,0,($D$50*5)+4))</f>
        <v>-99</v>
      </c>
      <c r="I83" s="90">
        <f t="shared" ca="1" si="2"/>
        <v>-99</v>
      </c>
      <c r="J83" s="90" t="str">
        <f t="shared" ca="1" si="3"/>
        <v/>
      </c>
      <c r="K83" s="90">
        <f ca="1">IF($A83="","",OFFSET(DATA!$AG32,0,($D$50*5)))</f>
        <v>-99</v>
      </c>
      <c r="L83" s="90">
        <f ca="1">IF($A83="","",OFFSET(DATA!$AG32,0,($D$50*5)+1))</f>
        <v>-99</v>
      </c>
      <c r="M83" s="90">
        <f ca="1">IF($A83="","",OFFSET(DATA!$AG32,0,($D$50*5)+2))</f>
        <v>-99</v>
      </c>
      <c r="N83" s="90">
        <f ca="1">IF($A83="","",OFFSET(DATA!$AG32,0,($D$50*5)+3))</f>
        <v>-99</v>
      </c>
      <c r="O83" s="90">
        <f ca="1">IF($A83="","",OFFSET(DATA!$AG32,0,($D$50*5)+4))</f>
        <v>-99</v>
      </c>
      <c r="P83" s="90">
        <f t="shared" ca="1" si="4"/>
        <v>-99</v>
      </c>
      <c r="Q83" s="90" t="str">
        <f t="shared" ca="1" si="5"/>
        <v/>
      </c>
      <c r="R83" s="699">
        <f ca="1">IF($A83="","",IF(DATA!BF32="",-99,DATA!BF32))</f>
        <v>-99</v>
      </c>
      <c r="S83" s="90">
        <f ca="1">IF($A83="","",IF(DATA!BG32="",-99,DATA!BF32-DATA!BG32))</f>
        <v>-99</v>
      </c>
      <c r="T83" s="90">
        <f ca="1">IF($A83="","",DATA!BH32)</f>
        <v>-99</v>
      </c>
      <c r="U83" s="90">
        <f ca="1">IF($A83="","",OFFSET(DATA!BM32,0,$D$48))</f>
        <v>-99</v>
      </c>
      <c r="V83" s="90">
        <f t="shared" ca="1" si="6"/>
        <v>8</v>
      </c>
      <c r="W83" s="99">
        <f t="shared" ca="1" si="7"/>
        <v>7.99988120083</v>
      </c>
      <c r="X83" s="112">
        <f t="shared" ca="1" si="8"/>
        <v>106.99994766600668</v>
      </c>
      <c r="Y83" s="90">
        <f t="shared" ca="1" si="9"/>
        <v>18</v>
      </c>
      <c r="AA83" s="90" t="str">
        <f ca="1">IF($Y83="","",IF(OFFSET(C$55,'Intermediate Data'!$Y83,0)=-98,"Unknown",IF(OFFSET(C$55,'Intermediate Data'!$Y83,0)=-99,"N/A",OFFSET(C$55,'Intermediate Data'!$Y83,0))))</f>
        <v>Desktop (non-portable computer)</v>
      </c>
      <c r="AB83" s="90" t="str">
        <f ca="1">IF($Y83="","",IF(OFFSET(D$55,'Intermediate Data'!$Y83,0)=-98,"N/A",IF(OFFSET(D$55,'Intermediate Data'!$Y83,0)=-99,"N/A",OFFSET(D$55,'Intermediate Data'!$Y83,0))))</f>
        <v>N/A</v>
      </c>
      <c r="AC83" s="90" t="str">
        <f ca="1">IF($Y83="","",IF(OFFSET(E$55,'Intermediate Data'!$Y83,0)=-98,"N/A",IF(OFFSET(E$55,'Intermediate Data'!$Y83,0)=-99,"N/A",OFFSET(E$55,'Intermediate Data'!$Y83,0))))</f>
        <v>N/A</v>
      </c>
      <c r="AD83" s="90" t="str">
        <f ca="1">IF($Y83="","",IF(OFFSET(F$55,'Intermediate Data'!$Y83,0)=-98,"N/A",IF(OFFSET(F$55,'Intermediate Data'!$Y83,0)=-99,"N/A",OFFSET(F$55,'Intermediate Data'!$Y83,0))))</f>
        <v>N/A</v>
      </c>
      <c r="AE83" s="90">
        <f ca="1">IF($Y83="","",IF(OFFSET(G$55,'Intermediate Data'!$Y83,0)=-98,"N/A",IF(OFFSET(G$55,'Intermediate Data'!$Y83,0)=-99,"N/A",OFFSET(G$55,'Intermediate Data'!$Y83,0))))</f>
        <v>0.67522694191320654</v>
      </c>
      <c r="AF83" s="90">
        <f ca="1">IF($Y83="","",IF(OFFSET(H$55,'Intermediate Data'!$Y83,0)=-98,"N/A",IF(OFFSET(H$55,'Intermediate Data'!$Y83,0)=-99,"N/A",OFFSET(H$55,'Intermediate Data'!$Y83,0))))</f>
        <v>0.43874800000000003</v>
      </c>
      <c r="AG83" s="90">
        <f ca="1">IF($Y83="","",IF(OFFSET(I$55,'Intermediate Data'!$Y83,0)=-98,"N/A",IF(OFFSET(I$55,'Intermediate Data'!$Y83,0)=-99,"N/A",OFFSET(I$55,'Intermediate Data'!$Y83,0))))</f>
        <v>0.43874800000000003</v>
      </c>
      <c r="AH83" s="90" t="str">
        <f ca="1">IF($Y83="","",IF(OFFSET(J$55,'Intermediate Data'!$Y83,0)=-98,"N/A",IF(OFFSET(J$55,'Intermediate Data'!$Y83,0)=-99,"N/A",OFFSET(J$55,'Intermediate Data'!$Y83,0))))</f>
        <v>CLASS</v>
      </c>
      <c r="AI83" s="90" t="str">
        <f ca="1">IF($Y83="","",IF(OFFSET(K$55,'Intermediate Data'!$Y83,0)=-98,"N/A",IF(OFFSET(K$55,'Intermediate Data'!$Y83,0)=-99,"N/A",OFFSET(K$55,'Intermediate Data'!$Y83,0))))</f>
        <v>N/A</v>
      </c>
      <c r="AJ83" s="90" t="str">
        <f ca="1">IF($Y83="","",IF(OFFSET(L$55,'Intermediate Data'!$Y83,0)=-98,"N/A",IF(OFFSET(L$55,'Intermediate Data'!$Y83,0)=-99,"N/A",OFFSET(L$55,'Intermediate Data'!$Y83,0))))</f>
        <v>N/A</v>
      </c>
      <c r="AK83" s="90" t="str">
        <f ca="1">IF($Y83="","",IF(OFFSET(M$55,'Intermediate Data'!$Y83,0)=-98,"N/A",IF(OFFSET(M$55,'Intermediate Data'!$Y83,0)=-99,"N/A",OFFSET(M$55,'Intermediate Data'!$Y83,0))))</f>
        <v>N/A</v>
      </c>
      <c r="AL83" s="90">
        <f ca="1">IF($Y83="","",IF(OFFSET(N$55,'Intermediate Data'!$Y83,0)=-98,"N/A",IF(OFFSET(N$55,'Intermediate Data'!$Y83,0)=-99,"N/A",OFFSET(N$55,'Intermediate Data'!$Y83,0))))</f>
        <v>0.85004380227807019</v>
      </c>
      <c r="AM83" s="90" t="str">
        <f ca="1">IF($Y83="","",IF(OFFSET(O$55,'Intermediate Data'!$Y83,0)=-98,"N/A",IF(OFFSET(O$55,'Intermediate Data'!$Y83,0)=-99,"N/A",OFFSET(O$55,'Intermediate Data'!$Y83,0))))</f>
        <v>N/A</v>
      </c>
      <c r="AN83" s="90">
        <f ca="1">IF($Y83="","",IF(OFFSET(P$55,'Intermediate Data'!$Y83,0)=-98,"N/A",IF(OFFSET(P$55,'Intermediate Data'!$Y83,0)=-99,"N/A",OFFSET(P$55,'Intermediate Data'!$Y83,0))))</f>
        <v>0.85004380227807019</v>
      </c>
      <c r="AO83" s="90" t="str">
        <f ca="1">IF($Y83="","",IF(OFFSET(Q$55,'Intermediate Data'!$Y83,0)=-98,"N/A",IF(OFFSET(Q$55,'Intermediate Data'!$Y83,0)=-99,"N/A",OFFSET(Q$55,'Intermediate Data'!$Y83,0))))</f>
        <v>RASS</v>
      </c>
      <c r="AP83" s="697" t="str">
        <f ca="1">IF($Y83="","",IF(OFFSET(S$55,'Intermediate Data'!$Y83,0)=-98,"",IF(OFFSET(S$55,'Intermediate Data'!$Y83,0)=-99,"",OFFSET(S$55,'Intermediate Data'!$Y83,0))))</f>
        <v/>
      </c>
      <c r="AQ83" s="90">
        <f ca="1">IF($Y83="","",IF(OFFSET(T$55,'Intermediate Data'!$Y83,0)=-98,"Not published",IF(OFFSET(T$55,'Intermediate Data'!$Y83,0)=-99,"",OFFSET(T$55,'Intermediate Data'!$Y83,0))))</f>
        <v>0.25</v>
      </c>
      <c r="AR83" s="90">
        <f ca="1">IF($Y83="","",IF(OFFSET(U$55,'Intermediate Data'!$Y83,0)=-98,"Unknown",IF(OFFSET(U$55,'Intermediate Data'!$Y83,0)=-99,"",OFFSET(U$55,'Intermediate Data'!$Y83,0))))</f>
        <v>66</v>
      </c>
      <c r="AU83" s="112" t="str">
        <f ca="1">IF(AND(OFFSET(DATA!$F32,0,$AX$48)='Intermediate Data'!$AY$48,DATA!$E32="Tier 1"),IF(OR($AX$49=0,$AX$48=1),DATA!A32,IF(AND($AX$49=1,INDEX('Intermediate Data'!$AY$25:$AY$44,MATCH(DATA!$B32,'Intermediate Data'!$AX$25:$AX$44,0))=TRUE),DATA!A32,"")),"")</f>
        <v/>
      </c>
      <c r="AV83" s="112" t="str">
        <f ca="1">IF($AU83="","",DATA!B32)</f>
        <v/>
      </c>
      <c r="AW83" s="112" t="str">
        <f ca="1">IF(OR($AU83="",DATA!BI32=""),"",DATA!BI32)</f>
        <v/>
      </c>
      <c r="AX83" s="112" t="str">
        <f ca="1">IF(OR($AU83="",OFFSET(DATA!BK32,0,$AX$48)=""),"",OFFSET(DATA!BK32,0,$AX$48))</f>
        <v/>
      </c>
      <c r="AY83" s="112" t="str">
        <f ca="1">IF(OR($AU83="",OFFSET(DATA!BM32,0,$AX$48)=""),"",OFFSET(DATA!BM32,0,$AX$48))</f>
        <v/>
      </c>
      <c r="AZ83" s="112" t="str">
        <f ca="1">IF(OR($AU83="",OFFSET(DATA!BO32,0,'Intermediate Data'!$AX$48)=""),"",OFFSET(DATA!BO32,0,$AX$48))</f>
        <v/>
      </c>
      <c r="BA83" s="112" t="str">
        <f ca="1">IF(OR($AU83="",DATA!BQ32=""),"",DATA!BQ32)</f>
        <v/>
      </c>
      <c r="BB83" s="112" t="str">
        <f ca="1">IF($AU83="","",OFFSET(DATA!BS32,0,$AX$48))</f>
        <v/>
      </c>
      <c r="BC83" s="112" t="str">
        <f ca="1">IF($AU83="","",OFFSET(DATA!BU32,0,$AX$48))</f>
        <v/>
      </c>
      <c r="BD83" s="112" t="str">
        <f ca="1">IF($AU83="","",OFFSET(DATA!BW32,0,$AX$48))</f>
        <v/>
      </c>
      <c r="BE83" s="112" t="str">
        <f ca="1">IF($AU83="","",OFFSET(DATA!BY32,0,$AX$48))</f>
        <v/>
      </c>
      <c r="BF83" s="112" t="str">
        <f ca="1">IF($AU83="","",OFFSET(DATA!CA32,0,$AX$48))</f>
        <v/>
      </c>
      <c r="BG83" s="112" t="str">
        <f ca="1">IF($AU83="","",DATA!CC32)</f>
        <v/>
      </c>
      <c r="BH83" s="112" t="str">
        <f ca="1">IF($AU83="","",OFFSET(DATA!CE32,0,$AX$48))</f>
        <v/>
      </c>
      <c r="BI83" s="112" t="str">
        <f ca="1">IF($AU83="","",OFFSET(DATA!CG32,0,$AX$48))</f>
        <v/>
      </c>
      <c r="BJ83" s="112" t="str">
        <f ca="1">IF($AU83="","",OFFSET(DATA!CI32,0,$AX$48))</f>
        <v/>
      </c>
      <c r="BK83" s="112" t="str">
        <f ca="1">IF($AU83="","",OFFSET(DATA!CK32,0,$AX$48))</f>
        <v/>
      </c>
      <c r="BL83" s="112" t="str">
        <f ca="1">IF($AU83="","",OFFSET(DATA!CM32,0,$AX$48))</f>
        <v/>
      </c>
      <c r="BM83" s="112" t="str">
        <f ca="1">IF($AU83="","",DATA!BH32)</f>
        <v/>
      </c>
      <c r="BN83" s="112" t="str">
        <f ca="1">IF($AU83="","",DATA!DS32)</f>
        <v/>
      </c>
      <c r="BO83" s="112" t="str">
        <f ca="1">IF($AU83="","",DATA!DU32)</f>
        <v/>
      </c>
      <c r="BP83" s="112" t="str">
        <f ca="1">IF($AU83="","",DATA!DV32)</f>
        <v/>
      </c>
      <c r="BQ83" s="112" t="str">
        <f ca="1">IF($AU83="","",DATA!DX32)</f>
        <v/>
      </c>
      <c r="BR83" s="112" t="str">
        <f ca="1">IF($AU83="","",DATA!DZ32)</f>
        <v/>
      </c>
      <c r="BS83" s="171" t="str">
        <f ca="1">IF($AU83="","",DATA!EA32)</f>
        <v/>
      </c>
      <c r="BT83" s="171" t="str">
        <f ca="1">IF($AU83="","",DATA!EC32)</f>
        <v/>
      </c>
      <c r="BU83" s="171" t="str">
        <f ca="1">IF($AU83="","",DATA!EF32)</f>
        <v/>
      </c>
      <c r="BV83" s="113" t="str">
        <f t="shared" ca="1" si="10"/>
        <v/>
      </c>
      <c r="BW83" s="680" t="str">
        <f ca="1">IF(AU83="","",OFFSET(DATA!DC32,0,'Intermediate Data'!$AX$48))</f>
        <v/>
      </c>
      <c r="BX83" s="681" t="str">
        <f ca="1">IF($AU83="","",DATA!DG32)</f>
        <v/>
      </c>
      <c r="BY83" s="680" t="str">
        <f ca="1">IF($AU83="","",OFFSET(DATA!DE32,0,'Intermediate Data'!$AX$48))</f>
        <v/>
      </c>
      <c r="BZ83" s="681" t="str">
        <f ca="1">IF($AU83="","",DATA!DH32)</f>
        <v/>
      </c>
      <c r="CA83" s="90" t="str">
        <f t="shared" ca="1" si="11"/>
        <v/>
      </c>
      <c r="CB83" s="99" t="str">
        <f t="shared" ca="1" si="12"/>
        <v/>
      </c>
      <c r="CC83" s="90" t="str">
        <f t="shared" ca="1" si="13"/>
        <v/>
      </c>
      <c r="CD83" s="90" t="str">
        <f t="shared" ca="1" si="14"/>
        <v/>
      </c>
      <c r="CF83" s="90" t="str">
        <f ca="1">IF($CD83="","",IF(OFFSET(AV$55,'Intermediate Data'!$CD83,0)=-98,"Unknown",IF(OFFSET(AV$55,'Intermediate Data'!$CD83,0)=-99,"N/A",OFFSET(AV$55,'Intermediate Data'!$CD83,0))))</f>
        <v/>
      </c>
      <c r="CG83" s="90" t="str">
        <f ca="1">IF($CD83="","",IF(OFFSET(AW$55,'Intermediate Data'!$CD83,0)=-98,"",IF(OFFSET(AW$55,'Intermediate Data'!$CD83,0)=-99,"N/A",OFFSET(AW$55,'Intermediate Data'!$CD83,0))))</f>
        <v/>
      </c>
      <c r="CH83" s="90" t="str">
        <f ca="1">IF($CD83="","",IF(OFFSET(AX$55,'Intermediate Data'!$CD83,0)=-98,"Unknown",IF(OFFSET(AX$55,'Intermediate Data'!$CD83,0)=-99,"N/A",OFFSET(AX$55,'Intermediate Data'!$CD83,0))))</f>
        <v/>
      </c>
      <c r="CI83" s="125" t="str">
        <f ca="1">IF($CD83="","",IF(OFFSET(AY$55,'Intermediate Data'!$CD83,0)=-98,"Unknown",IF(OFFSET(AY$55,'Intermediate Data'!$CD83,0)=-99,"No spec",OFFSET(AY$55,'Intermediate Data'!$CD83,0))))</f>
        <v/>
      </c>
      <c r="CJ83" s="125" t="str">
        <f ca="1">IF($CD83="","",IF(OFFSET(AZ$55,'Intermediate Data'!$CD83,0)=-98,"Unknown",IF(OFFSET(AZ$55,'Intermediate Data'!$CD83,0)=-99,"N/A",OFFSET(AZ$55,'Intermediate Data'!$CD83,0))))</f>
        <v/>
      </c>
      <c r="CK83" s="90" t="str">
        <f ca="1">IF($CD83="","",IF(OFFSET(BA$55,'Intermediate Data'!$CD83,0)=-98,"Unknown",IF(OFFSET(BA$55,'Intermediate Data'!$CD83,0)=-99,"N/A",OFFSET(BA$55,'Intermediate Data'!$CD83,0))))</f>
        <v/>
      </c>
      <c r="CL83" s="90" t="str">
        <f ca="1">IF($CD83="","",IF(OFFSET(BB$55,'Intermediate Data'!$CD83,$AX$50)=-98,"Unknown",IF(OFFSET(BB$55,'Intermediate Data'!$CD83,$AX$50)="N/A","",OFFSET(BB$55,'Intermediate Data'!$CD83,$AX$50))))</f>
        <v/>
      </c>
      <c r="CM83" s="90" t="str">
        <f ca="1">IF($CD83="","",IF(OFFSET(BG$55,'Intermediate Data'!$CD83,0)="ET","ET",""))</f>
        <v/>
      </c>
      <c r="CN83" s="90" t="str">
        <f ca="1">IF($CD83="","",IF(OFFSET(BH$55,'Intermediate Data'!$CD83,$AX$50)=-98,"Unknown",IF(OFFSET(BH$55,'Intermediate Data'!$CD83,$AX$50)="N/A","",OFFSET(BH$55,'Intermediate Data'!$CD83,$AX$50))))</f>
        <v/>
      </c>
      <c r="CO83" s="90" t="str">
        <f ca="1">IF($CD83="","",IF(OFFSET(BM$55,'Intermediate Data'!$CD83,0)=-98,"Not published",IF(OFFSET(BM$55,'Intermediate Data'!$CD83,0)=-99,"No spec",OFFSET(BM$55,'Intermediate Data'!$CD83,0))))</f>
        <v/>
      </c>
      <c r="CP83" s="114" t="str">
        <f ca="1">IF($CD83="","",IF(OFFSET(BN$55,'Intermediate Data'!$CD83,0)=-98,"Unknown",IF(OFFSET(BN$55,'Intermediate Data'!$CD83,0)=-99,"N/A",OFFSET(BN$55,'Intermediate Data'!$CD83,0))))</f>
        <v/>
      </c>
      <c r="CQ83" s="114" t="str">
        <f ca="1">IF($CD83="","",IF(OFFSET(BO$55,'Intermediate Data'!$CD83,0)=-98,"Unknown",IF(OFFSET(BO$55,'Intermediate Data'!$CD83,0)=-99,"N/A",OFFSET(BO$55,'Intermediate Data'!$CD83,0))))</f>
        <v/>
      </c>
      <c r="CR83" s="114" t="str">
        <f ca="1">IF($CD83="","",IF(OFFSET(BP$55,'Intermediate Data'!$CD83,0)=-98,"Unknown",IF(OFFSET(BP$55,'Intermediate Data'!$CD83,0)=-99,"N/A",OFFSET(BP$55,'Intermediate Data'!$CD83,0))))</f>
        <v/>
      </c>
      <c r="CS83" s="114" t="str">
        <f ca="1">IF($CD83="","",IF(OFFSET(BQ$55,'Intermediate Data'!$CD83,0)=-98,"Unknown",IF(OFFSET(BQ$55,'Intermediate Data'!$CD83,0)=-99,"N/A",OFFSET(BQ$55,'Intermediate Data'!$CD83,0))))</f>
        <v/>
      </c>
      <c r="CT83" s="114" t="str">
        <f ca="1">IF($CD83="","",IF(OFFSET(BR$55,'Intermediate Data'!$CD83,0)=-98,"Unknown",IF(OFFSET(BR$55,'Intermediate Data'!$CD83,0)=-99,"N/A",OFFSET(BR$55,'Intermediate Data'!$CD83,0))))</f>
        <v/>
      </c>
      <c r="CU83" s="114" t="str">
        <f ca="1">IF($CD83="","",IF(OFFSET(BS$55,'Intermediate Data'!$CD83,0)=-98,"Unknown",IF(OFFSET(BS$55,'Intermediate Data'!$CD83,0)=-99,"N/A",OFFSET(BS$55,'Intermediate Data'!$CD83,0))))</f>
        <v/>
      </c>
      <c r="CV83" s="114" t="str">
        <f ca="1">IF($CD83="","",IF(OFFSET(BT$55,'Intermediate Data'!$CD83,0)=-98,"Unknown",IF(OFFSET(BT$55,'Intermediate Data'!$CD83,0)=-99,"N/A",OFFSET(BT$55,'Intermediate Data'!$CD83,0))))</f>
        <v/>
      </c>
      <c r="CW83" s="114" t="str">
        <f ca="1">IF($CD83="","",IF(OFFSET(BU$55,'Intermediate Data'!$CD83,0)=-98,"Unknown",IF(OFFSET(BU$55,'Intermediate Data'!$CD83,0)=-99,"N/A",OFFSET(BU$55,'Intermediate Data'!$CD83,0))))</f>
        <v/>
      </c>
      <c r="CX83" s="114" t="str">
        <f ca="1">IF($CD83="","",IF(OFFSET(BV$55,'Intermediate Data'!$CD83,0)=-98,"Unknown",IF(OFFSET(BV$55,'Intermediate Data'!$CD83,0)=-99,"N/A",OFFSET(BV$55,'Intermediate Data'!$CD83,0))))</f>
        <v/>
      </c>
      <c r="CY83" s="682" t="str">
        <f ca="1">IF($CD83="","",IF(OFFSET(BW$55,'Intermediate Data'!$CD83,0)=-98,"Unknown",IF(OFFSET(BW$55,'Intermediate Data'!$CD83,0)="N/A","",OFFSET(BW$55,'Intermediate Data'!$CD83,0))))</f>
        <v/>
      </c>
      <c r="CZ83" s="682" t="str">
        <f ca="1">IF($CD83="","",IF(OFFSET(BX$55,'Intermediate Data'!$CD83,0)=-98,"Unknown",IF(OFFSET(BX$55,'Intermediate Data'!$CD83,0)="N/A","",OFFSET(BX$55,'Intermediate Data'!$CD83,0))))</f>
        <v/>
      </c>
      <c r="DA83" s="682" t="str">
        <f ca="1">IF($CD83="","",IF(OFFSET(BY$55,'Intermediate Data'!$CD83,0)=-98,"Unknown",IF(OFFSET(BY$55,'Intermediate Data'!$CD83,0)="N/A","",OFFSET(BY$55,'Intermediate Data'!$CD83,0))))</f>
        <v/>
      </c>
      <c r="DB83" s="682" t="str">
        <f ca="1">IF($CD83="","",IF(OFFSET(BZ$55,'Intermediate Data'!$CD83,0)=-98,"Unknown",IF(OFFSET(BZ$55,'Intermediate Data'!$CD83,0)="N/A","",OFFSET(BZ$55,'Intermediate Data'!$CD83,0))))</f>
        <v/>
      </c>
    </row>
    <row r="84" spans="1:106" x14ac:dyDescent="0.2">
      <c r="A84" s="90">
        <f ca="1">IF(OFFSET(DATA!F33,0,$D$48)='Intermediate Data'!$E$48,IF(OR($E$49=$C$27,$E$48=$B$4),DATA!A33,IF($G$49=DATA!D33,DATA!A33,"")),"")</f>
        <v>29</v>
      </c>
      <c r="B84" s="90">
        <f ca="1">IF($A84="","",DATA!EH33)</f>
        <v>132</v>
      </c>
      <c r="C84" s="90" t="str">
        <f ca="1">IF($A84="","",DATA!B33)</f>
        <v>Barbeque - Electric</v>
      </c>
      <c r="D84" s="90">
        <f ca="1">IF($A84="","",OFFSET(DATA!$H33,0,($D$50*5)))</f>
        <v>-99</v>
      </c>
      <c r="E84" s="90">
        <f ca="1">IF($A84="","",OFFSET(DATA!$H33,0,($D$50*5)+1))</f>
        <v>7.0590057387349059E-3</v>
      </c>
      <c r="F84" s="90">
        <f ca="1">IF($A84="","",OFFSET(DATA!$H33,0,($D$50*5)+2))</f>
        <v>-99</v>
      </c>
      <c r="G84" s="90">
        <f ca="1">IF($A84="","",OFFSET(DATA!$H33,0,($D$50*5)+3))</f>
        <v>1.3270033741480489E-2</v>
      </c>
      <c r="H84" s="90">
        <f ca="1">IF($A84="","",OFFSET(DATA!$H33,0,($D$50*5)+4))</f>
        <v>-99</v>
      </c>
      <c r="I84" s="90">
        <f t="shared" ca="1" si="2"/>
        <v>1.3270033741480489E-2</v>
      </c>
      <c r="J84" s="90" t="str">
        <f t="shared" ca="1" si="3"/>
        <v>RASS</v>
      </c>
      <c r="K84" s="90">
        <f ca="1">IF($A84="","",OFFSET(DATA!$AG33,0,($D$50*5)))</f>
        <v>-99</v>
      </c>
      <c r="L84" s="90">
        <f ca="1">IF($A84="","",OFFSET(DATA!$AG33,0,($D$50*5)+1))</f>
        <v>-99</v>
      </c>
      <c r="M84" s="90">
        <f ca="1">IF($A84="","",OFFSET(DATA!$AG33,0,($D$50*5)+2))</f>
        <v>-99</v>
      </c>
      <c r="N84" s="90">
        <f ca="1">IF($A84="","",OFFSET(DATA!$AG33,0,($D$50*5)+3))</f>
        <v>-99</v>
      </c>
      <c r="O84" s="90">
        <f ca="1">IF($A84="","",OFFSET(DATA!$AG33,0,($D$50*5)+4))</f>
        <v>-99</v>
      </c>
      <c r="P84" s="90">
        <f t="shared" ca="1" si="4"/>
        <v>-99</v>
      </c>
      <c r="Q84" s="90" t="str">
        <f t="shared" ca="1" si="5"/>
        <v/>
      </c>
      <c r="R84" s="699">
        <f ca="1">IF($A84="","",IF(DATA!BF33="",-99,DATA!BF33))</f>
        <v>-99</v>
      </c>
      <c r="S84" s="90">
        <f ca="1">IF($A84="","",IF(DATA!BG33="",-99,DATA!BF33-DATA!BG33))</f>
        <v>-99</v>
      </c>
      <c r="T84" s="90">
        <f ca="1">IF($A84="","",DATA!BH33)</f>
        <v>-99</v>
      </c>
      <c r="U84" s="90">
        <f ca="1">IF($A84="","",OFFSET(DATA!BM33,0,$D$48))</f>
        <v>-99</v>
      </c>
      <c r="V84" s="90">
        <f t="shared" ca="1" si="6"/>
        <v>132</v>
      </c>
      <c r="W84" s="99">
        <f t="shared" ca="1" si="7"/>
        <v>131.99991090419991</v>
      </c>
      <c r="X84" s="112">
        <f t="shared" ca="1" si="8"/>
        <v>105.99990230159</v>
      </c>
      <c r="Y84" s="90">
        <f t="shared" ca="1" si="9"/>
        <v>104</v>
      </c>
      <c r="AA84" s="90" t="str">
        <f ca="1">IF($Y84="","",IF(OFFSET(C$55,'Intermediate Data'!$Y84,0)=-98,"Unknown",IF(OFFSET(C$55,'Intermediate Data'!$Y84,0)=-99,"N/A",OFFSET(C$55,'Intermediate Data'!$Y84,0))))</f>
        <v>Digital photo frame</v>
      </c>
      <c r="AB84" s="90" t="str">
        <f ca="1">IF($Y84="","",IF(OFFSET(D$55,'Intermediate Data'!$Y84,0)=-98,"N/A",IF(OFFSET(D$55,'Intermediate Data'!$Y84,0)=-99,"N/A",OFFSET(D$55,'Intermediate Data'!$Y84,0))))</f>
        <v>N/A</v>
      </c>
      <c r="AC84" s="90" t="str">
        <f ca="1">IF($Y84="","",IF(OFFSET(E$55,'Intermediate Data'!$Y84,0)=-98,"N/A",IF(OFFSET(E$55,'Intermediate Data'!$Y84,0)=-99,"N/A",OFFSET(E$55,'Intermediate Data'!$Y84,0))))</f>
        <v>N/A</v>
      </c>
      <c r="AD84" s="90" t="str">
        <f ca="1">IF($Y84="","",IF(OFFSET(F$55,'Intermediate Data'!$Y84,0)=-98,"N/A",IF(OFFSET(F$55,'Intermediate Data'!$Y84,0)=-99,"N/A",OFFSET(F$55,'Intermediate Data'!$Y84,0))))</f>
        <v>N/A</v>
      </c>
      <c r="AE84" s="90" t="str">
        <f ca="1">IF($Y84="","",IF(OFFSET(G$55,'Intermediate Data'!$Y84,0)=-98,"N/A",IF(OFFSET(G$55,'Intermediate Data'!$Y84,0)=-99,"N/A",OFFSET(G$55,'Intermediate Data'!$Y84,0))))</f>
        <v>N/A</v>
      </c>
      <c r="AF84" s="90" t="str">
        <f ca="1">IF($Y84="","",IF(OFFSET(H$55,'Intermediate Data'!$Y84,0)=-98,"N/A",IF(OFFSET(H$55,'Intermediate Data'!$Y84,0)=-99,"N/A",OFFSET(H$55,'Intermediate Data'!$Y84,0))))</f>
        <v>N/A</v>
      </c>
      <c r="AG84" s="90" t="str">
        <f ca="1">IF($Y84="","",IF(OFFSET(I$55,'Intermediate Data'!$Y84,0)=-98,"N/A",IF(OFFSET(I$55,'Intermediate Data'!$Y84,0)=-99,"N/A",OFFSET(I$55,'Intermediate Data'!$Y84,0))))</f>
        <v>N/A</v>
      </c>
      <c r="AH84" s="90" t="str">
        <f ca="1">IF($Y84="","",IF(OFFSET(J$55,'Intermediate Data'!$Y84,0)=-98,"N/A",IF(OFFSET(J$55,'Intermediate Data'!$Y84,0)=-99,"N/A",OFFSET(J$55,'Intermediate Data'!$Y84,0))))</f>
        <v/>
      </c>
      <c r="AI84" s="90" t="str">
        <f ca="1">IF($Y84="","",IF(OFFSET(K$55,'Intermediate Data'!$Y84,0)=-98,"N/A",IF(OFFSET(K$55,'Intermediate Data'!$Y84,0)=-99,"N/A",OFFSET(K$55,'Intermediate Data'!$Y84,0))))</f>
        <v>N/A</v>
      </c>
      <c r="AJ84" s="90" t="str">
        <f ca="1">IF($Y84="","",IF(OFFSET(L$55,'Intermediate Data'!$Y84,0)=-98,"N/A",IF(OFFSET(L$55,'Intermediate Data'!$Y84,0)=-99,"N/A",OFFSET(L$55,'Intermediate Data'!$Y84,0))))</f>
        <v>N/A</v>
      </c>
      <c r="AK84" s="90" t="str">
        <f ca="1">IF($Y84="","",IF(OFFSET(M$55,'Intermediate Data'!$Y84,0)=-98,"N/A",IF(OFFSET(M$55,'Intermediate Data'!$Y84,0)=-99,"N/A",OFFSET(M$55,'Intermediate Data'!$Y84,0))))</f>
        <v>N/A</v>
      </c>
      <c r="AL84" s="90" t="str">
        <f ca="1">IF($Y84="","",IF(OFFSET(N$55,'Intermediate Data'!$Y84,0)=-98,"N/A",IF(OFFSET(N$55,'Intermediate Data'!$Y84,0)=-99,"N/A",OFFSET(N$55,'Intermediate Data'!$Y84,0))))</f>
        <v>N/A</v>
      </c>
      <c r="AM84" s="90" t="str">
        <f ca="1">IF($Y84="","",IF(OFFSET(O$55,'Intermediate Data'!$Y84,0)=-98,"N/A",IF(OFFSET(O$55,'Intermediate Data'!$Y84,0)=-99,"N/A",OFFSET(O$55,'Intermediate Data'!$Y84,0))))</f>
        <v>N/A</v>
      </c>
      <c r="AN84" s="90" t="str">
        <f ca="1">IF($Y84="","",IF(OFFSET(P$55,'Intermediate Data'!$Y84,0)=-98,"N/A",IF(OFFSET(P$55,'Intermediate Data'!$Y84,0)=-99,"N/A",OFFSET(P$55,'Intermediate Data'!$Y84,0))))</f>
        <v>N/A</v>
      </c>
      <c r="AO84" s="90" t="str">
        <f ca="1">IF($Y84="","",IF(OFFSET(Q$55,'Intermediate Data'!$Y84,0)=-98,"N/A",IF(OFFSET(Q$55,'Intermediate Data'!$Y84,0)=-99,"N/A",OFFSET(Q$55,'Intermediate Data'!$Y84,0))))</f>
        <v/>
      </c>
      <c r="AP84" s="697" t="str">
        <f ca="1">IF($Y84="","",IF(OFFSET(S$55,'Intermediate Data'!$Y84,0)=-98,"",IF(OFFSET(S$55,'Intermediate Data'!$Y84,0)=-99,"",OFFSET(S$55,'Intermediate Data'!$Y84,0))))</f>
        <v/>
      </c>
      <c r="AQ84" s="90">
        <f ca="1">IF($Y84="","",IF(OFFSET(T$55,'Intermediate Data'!$Y84,0)=-98,"Not published",IF(OFFSET(T$55,'Intermediate Data'!$Y84,0)=-99,"",OFFSET(T$55,'Intermediate Data'!$Y84,0))))</f>
        <v>0</v>
      </c>
      <c r="AR84" s="90">
        <f ca="1">IF($Y84="","",IF(OFFSET(U$55,'Intermediate Data'!$Y84,0)=-98,"Unknown",IF(OFFSET(U$55,'Intermediate Data'!$Y84,0)=-99,"",OFFSET(U$55,'Intermediate Data'!$Y84,0))))</f>
        <v>13</v>
      </c>
      <c r="AU84" s="112" t="str">
        <f ca="1">IF(AND(OFFSET(DATA!$F33,0,$AX$48)='Intermediate Data'!$AY$48,DATA!$E33="Tier 1"),IF(OR($AX$49=0,$AX$48=1),DATA!A33,IF(AND($AX$49=1,INDEX('Intermediate Data'!$AY$25:$AY$44,MATCH(DATA!$B33,'Intermediate Data'!$AX$25:$AX$44,0))=TRUE),DATA!A33,"")),"")</f>
        <v/>
      </c>
      <c r="AV84" s="112" t="str">
        <f ca="1">IF($AU84="","",DATA!B33)</f>
        <v/>
      </c>
      <c r="AW84" s="112" t="str">
        <f ca="1">IF(OR($AU84="",DATA!BI33=""),"",DATA!BI33)</f>
        <v/>
      </c>
      <c r="AX84" s="112" t="str">
        <f ca="1">IF(OR($AU84="",OFFSET(DATA!BK33,0,$AX$48)=""),"",OFFSET(DATA!BK33,0,$AX$48))</f>
        <v/>
      </c>
      <c r="AY84" s="112" t="str">
        <f ca="1">IF(OR($AU84="",OFFSET(DATA!BM33,0,$AX$48)=""),"",OFFSET(DATA!BM33,0,$AX$48))</f>
        <v/>
      </c>
      <c r="AZ84" s="112" t="str">
        <f ca="1">IF(OR($AU84="",OFFSET(DATA!BO33,0,'Intermediate Data'!$AX$48)=""),"",OFFSET(DATA!BO33,0,$AX$48))</f>
        <v/>
      </c>
      <c r="BA84" s="112" t="str">
        <f ca="1">IF(OR($AU84="",DATA!BQ33=""),"",DATA!BQ33)</f>
        <v/>
      </c>
      <c r="BB84" s="112" t="str">
        <f ca="1">IF($AU84="","",OFFSET(DATA!BS33,0,$AX$48))</f>
        <v/>
      </c>
      <c r="BC84" s="112" t="str">
        <f ca="1">IF($AU84="","",OFFSET(DATA!BU33,0,$AX$48))</f>
        <v/>
      </c>
      <c r="BD84" s="112" t="str">
        <f ca="1">IF($AU84="","",OFFSET(DATA!BW33,0,$AX$48))</f>
        <v/>
      </c>
      <c r="BE84" s="112" t="str">
        <f ca="1">IF($AU84="","",OFFSET(DATA!BY33,0,$AX$48))</f>
        <v/>
      </c>
      <c r="BF84" s="112" t="str">
        <f ca="1">IF($AU84="","",OFFSET(DATA!CA33,0,$AX$48))</f>
        <v/>
      </c>
      <c r="BG84" s="112" t="str">
        <f ca="1">IF($AU84="","",DATA!CC33)</f>
        <v/>
      </c>
      <c r="BH84" s="112" t="str">
        <f ca="1">IF($AU84="","",OFFSET(DATA!CE33,0,$AX$48))</f>
        <v/>
      </c>
      <c r="BI84" s="112" t="str">
        <f ca="1">IF($AU84="","",OFFSET(DATA!CG33,0,$AX$48))</f>
        <v/>
      </c>
      <c r="BJ84" s="112" t="str">
        <f ca="1">IF($AU84="","",OFFSET(DATA!CI33,0,$AX$48))</f>
        <v/>
      </c>
      <c r="BK84" s="112" t="str">
        <f ca="1">IF($AU84="","",OFFSET(DATA!CK33,0,$AX$48))</f>
        <v/>
      </c>
      <c r="BL84" s="112" t="str">
        <f ca="1">IF($AU84="","",OFFSET(DATA!CM33,0,$AX$48))</f>
        <v/>
      </c>
      <c r="BM84" s="112" t="str">
        <f ca="1">IF($AU84="","",DATA!BH33)</f>
        <v/>
      </c>
      <c r="BN84" s="112" t="str">
        <f ca="1">IF($AU84="","",DATA!DS33)</f>
        <v/>
      </c>
      <c r="BO84" s="112" t="str">
        <f ca="1">IF($AU84="","",DATA!DU33)</f>
        <v/>
      </c>
      <c r="BP84" s="112" t="str">
        <f ca="1">IF($AU84="","",DATA!DV33)</f>
        <v/>
      </c>
      <c r="BQ84" s="112" t="str">
        <f ca="1">IF($AU84="","",DATA!DX33)</f>
        <v/>
      </c>
      <c r="BR84" s="112" t="str">
        <f ca="1">IF($AU84="","",DATA!DZ33)</f>
        <v/>
      </c>
      <c r="BS84" s="171" t="str">
        <f ca="1">IF($AU84="","",DATA!EA33)</f>
        <v/>
      </c>
      <c r="BT84" s="171" t="str">
        <f ca="1">IF($AU84="","",DATA!EC33)</f>
        <v/>
      </c>
      <c r="BU84" s="171" t="str">
        <f ca="1">IF($AU84="","",DATA!EF33)</f>
        <v/>
      </c>
      <c r="BV84" s="113" t="str">
        <f t="shared" ca="1" si="10"/>
        <v/>
      </c>
      <c r="BW84" s="680" t="str">
        <f ca="1">IF(AU84="","",OFFSET(DATA!DC33,0,'Intermediate Data'!$AX$48))</f>
        <v/>
      </c>
      <c r="BX84" s="681" t="str">
        <f ca="1">IF($AU84="","",DATA!DG33)</f>
        <v/>
      </c>
      <c r="BY84" s="680" t="str">
        <f ca="1">IF($AU84="","",OFFSET(DATA!DE33,0,'Intermediate Data'!$AX$48))</f>
        <v/>
      </c>
      <c r="BZ84" s="681" t="str">
        <f ca="1">IF($AU84="","",DATA!DH33)</f>
        <v/>
      </c>
      <c r="CA84" s="90" t="str">
        <f t="shared" ca="1" si="11"/>
        <v/>
      </c>
      <c r="CB84" s="99" t="str">
        <f t="shared" ca="1" si="12"/>
        <v/>
      </c>
      <c r="CC84" s="90" t="str">
        <f t="shared" ca="1" si="13"/>
        <v/>
      </c>
      <c r="CD84" s="90" t="str">
        <f t="shared" ca="1" si="14"/>
        <v/>
      </c>
      <c r="CF84" s="90" t="str">
        <f ca="1">IF($CD84="","",IF(OFFSET(AV$55,'Intermediate Data'!$CD84,0)=-98,"Unknown",IF(OFFSET(AV$55,'Intermediate Data'!$CD84,0)=-99,"N/A",OFFSET(AV$55,'Intermediate Data'!$CD84,0))))</f>
        <v/>
      </c>
      <c r="CG84" s="90" t="str">
        <f ca="1">IF($CD84="","",IF(OFFSET(AW$55,'Intermediate Data'!$CD84,0)=-98,"",IF(OFFSET(AW$55,'Intermediate Data'!$CD84,0)=-99,"N/A",OFFSET(AW$55,'Intermediate Data'!$CD84,0))))</f>
        <v/>
      </c>
      <c r="CH84" s="90" t="str">
        <f ca="1">IF($CD84="","",IF(OFFSET(AX$55,'Intermediate Data'!$CD84,0)=-98,"Unknown",IF(OFFSET(AX$55,'Intermediate Data'!$CD84,0)=-99,"N/A",OFFSET(AX$55,'Intermediate Data'!$CD84,0))))</f>
        <v/>
      </c>
      <c r="CI84" s="125" t="str">
        <f ca="1">IF($CD84="","",IF(OFFSET(AY$55,'Intermediate Data'!$CD84,0)=-98,"Unknown",IF(OFFSET(AY$55,'Intermediate Data'!$CD84,0)=-99,"No spec",OFFSET(AY$55,'Intermediate Data'!$CD84,0))))</f>
        <v/>
      </c>
      <c r="CJ84" s="125" t="str">
        <f ca="1">IF($CD84="","",IF(OFFSET(AZ$55,'Intermediate Data'!$CD84,0)=-98,"Unknown",IF(OFFSET(AZ$55,'Intermediate Data'!$CD84,0)=-99,"N/A",OFFSET(AZ$55,'Intermediate Data'!$CD84,0))))</f>
        <v/>
      </c>
      <c r="CK84" s="90" t="str">
        <f ca="1">IF($CD84="","",IF(OFFSET(BA$55,'Intermediate Data'!$CD84,0)=-98,"Unknown",IF(OFFSET(BA$55,'Intermediate Data'!$CD84,0)=-99,"N/A",OFFSET(BA$55,'Intermediate Data'!$CD84,0))))</f>
        <v/>
      </c>
      <c r="CL84" s="90" t="str">
        <f ca="1">IF($CD84="","",IF(OFFSET(BB$55,'Intermediate Data'!$CD84,$AX$50)=-98,"Unknown",IF(OFFSET(BB$55,'Intermediate Data'!$CD84,$AX$50)="N/A","",OFFSET(BB$55,'Intermediate Data'!$CD84,$AX$50))))</f>
        <v/>
      </c>
      <c r="CM84" s="90" t="str">
        <f ca="1">IF($CD84="","",IF(OFFSET(BG$55,'Intermediate Data'!$CD84,0)="ET","ET",""))</f>
        <v/>
      </c>
      <c r="CN84" s="90" t="str">
        <f ca="1">IF($CD84="","",IF(OFFSET(BH$55,'Intermediate Data'!$CD84,$AX$50)=-98,"Unknown",IF(OFFSET(BH$55,'Intermediate Data'!$CD84,$AX$50)="N/A","",OFFSET(BH$55,'Intermediate Data'!$CD84,$AX$50))))</f>
        <v/>
      </c>
      <c r="CO84" s="90" t="str">
        <f ca="1">IF($CD84="","",IF(OFFSET(BM$55,'Intermediate Data'!$CD84,0)=-98,"Not published",IF(OFFSET(BM$55,'Intermediate Data'!$CD84,0)=-99,"No spec",OFFSET(BM$55,'Intermediate Data'!$CD84,0))))</f>
        <v/>
      </c>
      <c r="CP84" s="114" t="str">
        <f ca="1">IF($CD84="","",IF(OFFSET(BN$55,'Intermediate Data'!$CD84,0)=-98,"Unknown",IF(OFFSET(BN$55,'Intermediate Data'!$CD84,0)=-99,"N/A",OFFSET(BN$55,'Intermediate Data'!$CD84,0))))</f>
        <v/>
      </c>
      <c r="CQ84" s="114" t="str">
        <f ca="1">IF($CD84="","",IF(OFFSET(BO$55,'Intermediate Data'!$CD84,0)=-98,"Unknown",IF(OFFSET(BO$55,'Intermediate Data'!$CD84,0)=-99,"N/A",OFFSET(BO$55,'Intermediate Data'!$CD84,0))))</f>
        <v/>
      </c>
      <c r="CR84" s="114" t="str">
        <f ca="1">IF($CD84="","",IF(OFFSET(BP$55,'Intermediate Data'!$CD84,0)=-98,"Unknown",IF(OFFSET(BP$55,'Intermediate Data'!$CD84,0)=-99,"N/A",OFFSET(BP$55,'Intermediate Data'!$CD84,0))))</f>
        <v/>
      </c>
      <c r="CS84" s="114" t="str">
        <f ca="1">IF($CD84="","",IF(OFFSET(BQ$55,'Intermediate Data'!$CD84,0)=-98,"Unknown",IF(OFFSET(BQ$55,'Intermediate Data'!$CD84,0)=-99,"N/A",OFFSET(BQ$55,'Intermediate Data'!$CD84,0))))</f>
        <v/>
      </c>
      <c r="CT84" s="114" t="str">
        <f ca="1">IF($CD84="","",IF(OFFSET(BR$55,'Intermediate Data'!$CD84,0)=-98,"Unknown",IF(OFFSET(BR$55,'Intermediate Data'!$CD84,0)=-99,"N/A",OFFSET(BR$55,'Intermediate Data'!$CD84,0))))</f>
        <v/>
      </c>
      <c r="CU84" s="114" t="str">
        <f ca="1">IF($CD84="","",IF(OFFSET(BS$55,'Intermediate Data'!$CD84,0)=-98,"Unknown",IF(OFFSET(BS$55,'Intermediate Data'!$CD84,0)=-99,"N/A",OFFSET(BS$55,'Intermediate Data'!$CD84,0))))</f>
        <v/>
      </c>
      <c r="CV84" s="114" t="str">
        <f ca="1">IF($CD84="","",IF(OFFSET(BT$55,'Intermediate Data'!$CD84,0)=-98,"Unknown",IF(OFFSET(BT$55,'Intermediate Data'!$CD84,0)=-99,"N/A",OFFSET(BT$55,'Intermediate Data'!$CD84,0))))</f>
        <v/>
      </c>
      <c r="CW84" s="114" t="str">
        <f ca="1">IF($CD84="","",IF(OFFSET(BU$55,'Intermediate Data'!$CD84,0)=-98,"Unknown",IF(OFFSET(BU$55,'Intermediate Data'!$CD84,0)=-99,"N/A",OFFSET(BU$55,'Intermediate Data'!$CD84,0))))</f>
        <v/>
      </c>
      <c r="CX84" s="114" t="str">
        <f ca="1">IF($CD84="","",IF(OFFSET(BV$55,'Intermediate Data'!$CD84,0)=-98,"Unknown",IF(OFFSET(BV$55,'Intermediate Data'!$CD84,0)=-99,"N/A",OFFSET(BV$55,'Intermediate Data'!$CD84,0))))</f>
        <v/>
      </c>
      <c r="CY84" s="682" t="str">
        <f ca="1">IF($CD84="","",IF(OFFSET(BW$55,'Intermediate Data'!$CD84,0)=-98,"Unknown",IF(OFFSET(BW$55,'Intermediate Data'!$CD84,0)="N/A","",OFFSET(BW$55,'Intermediate Data'!$CD84,0))))</f>
        <v/>
      </c>
      <c r="CZ84" s="682" t="str">
        <f ca="1">IF($CD84="","",IF(OFFSET(BX$55,'Intermediate Data'!$CD84,0)=-98,"Unknown",IF(OFFSET(BX$55,'Intermediate Data'!$CD84,0)="N/A","",OFFSET(BX$55,'Intermediate Data'!$CD84,0))))</f>
        <v/>
      </c>
      <c r="DA84" s="682" t="str">
        <f ca="1">IF($CD84="","",IF(OFFSET(BY$55,'Intermediate Data'!$CD84,0)=-98,"Unknown",IF(OFFSET(BY$55,'Intermediate Data'!$CD84,0)="N/A","",OFFSET(BY$55,'Intermediate Data'!$CD84,0))))</f>
        <v/>
      </c>
      <c r="DB84" s="682" t="str">
        <f ca="1">IF($CD84="","",IF(OFFSET(BZ$55,'Intermediate Data'!$CD84,0)=-98,"Unknown",IF(OFFSET(BZ$55,'Intermediate Data'!$CD84,0)="N/A","",OFFSET(BZ$55,'Intermediate Data'!$CD84,0))))</f>
        <v/>
      </c>
    </row>
    <row r="85" spans="1:106" x14ac:dyDescent="0.2">
      <c r="A85" s="90" t="str">
        <f ca="1">IF(OFFSET(DATA!F34,0,$D$48)='Intermediate Data'!$E$48,IF(OR($E$49=$C$27,$E$48=$B$4),DATA!A34,IF($G$49=DATA!D34,DATA!A34,"")),"")</f>
        <v/>
      </c>
      <c r="B85" s="90" t="str">
        <f ca="1">IF($A85="","",DATA!EH34)</f>
        <v/>
      </c>
      <c r="C85" s="90" t="str">
        <f ca="1">IF($A85="","",DATA!B34)</f>
        <v/>
      </c>
      <c r="D85" s="90" t="str">
        <f ca="1">IF($A85="","",OFFSET(DATA!$H34,0,($D$50*5)))</f>
        <v/>
      </c>
      <c r="E85" s="90" t="str">
        <f ca="1">IF($A85="","",OFFSET(DATA!$H34,0,($D$50*5)+1))</f>
        <v/>
      </c>
      <c r="F85" s="90" t="str">
        <f ca="1">IF($A85="","",OFFSET(DATA!$H34,0,($D$50*5)+2))</f>
        <v/>
      </c>
      <c r="G85" s="90" t="str">
        <f ca="1">IF($A85="","",OFFSET(DATA!$H34,0,($D$50*5)+3))</f>
        <v/>
      </c>
      <c r="H85" s="90" t="str">
        <f ca="1">IF($A85="","",OFFSET(DATA!$H34,0,($D$50*5)+4))</f>
        <v/>
      </c>
      <c r="I85" s="90" t="str">
        <f t="shared" ca="1" si="2"/>
        <v/>
      </c>
      <c r="J85" s="90" t="str">
        <f t="shared" ca="1" si="3"/>
        <v/>
      </c>
      <c r="K85" s="90" t="str">
        <f ca="1">IF($A85="","",OFFSET(DATA!$AG34,0,($D$50*5)))</f>
        <v/>
      </c>
      <c r="L85" s="90" t="str">
        <f ca="1">IF($A85="","",OFFSET(DATA!$AG34,0,($D$50*5)+1))</f>
        <v/>
      </c>
      <c r="M85" s="90" t="str">
        <f ca="1">IF($A85="","",OFFSET(DATA!$AG34,0,($D$50*5)+2))</f>
        <v/>
      </c>
      <c r="N85" s="90" t="str">
        <f ca="1">IF($A85="","",OFFSET(DATA!$AG34,0,($D$50*5)+3))</f>
        <v/>
      </c>
      <c r="O85" s="90" t="str">
        <f ca="1">IF($A85="","",OFFSET(DATA!$AG34,0,($D$50*5)+4))</f>
        <v/>
      </c>
      <c r="P85" s="90" t="str">
        <f t="shared" ca="1" si="4"/>
        <v/>
      </c>
      <c r="Q85" s="90" t="str">
        <f t="shared" ca="1" si="5"/>
        <v/>
      </c>
      <c r="R85" s="699" t="str">
        <f ca="1">IF($A85="","",IF(DATA!BF34="",-99,DATA!BF34))</f>
        <v/>
      </c>
      <c r="S85" s="90" t="str">
        <f ca="1">IF($A85="","",IF(DATA!BG34="",-99,DATA!BF34-DATA!BG34))</f>
        <v/>
      </c>
      <c r="T85" s="90" t="str">
        <f ca="1">IF($A85="","",DATA!BH34)</f>
        <v/>
      </c>
      <c r="U85" s="90" t="str">
        <f ca="1">IF($A85="","",OFFSET(DATA!BM34,0,$D$48))</f>
        <v/>
      </c>
      <c r="V85" s="90" t="str">
        <f t="shared" ca="1" si="6"/>
        <v/>
      </c>
      <c r="W85" s="99" t="str">
        <f t="shared" ca="1" si="7"/>
        <v/>
      </c>
      <c r="X85" s="112">
        <f t="shared" ca="1" si="8"/>
        <v>104.99995173467474</v>
      </c>
      <c r="Y85" s="90">
        <f t="shared" ca="1" si="9"/>
        <v>23</v>
      </c>
      <c r="AA85" s="90" t="str">
        <f ca="1">IF($Y85="","",IF(OFFSET(C$55,'Intermediate Data'!$Y85,0)=-98,"Unknown",IF(OFFSET(C$55,'Intermediate Data'!$Y85,0)=-99,"N/A",OFFSET(C$55,'Intermediate Data'!$Y85,0))))</f>
        <v>Dishwasher</v>
      </c>
      <c r="AB85" s="90">
        <f ca="1">IF($Y85="","",IF(OFFSET(D$55,'Intermediate Data'!$Y85,0)=-98,"N/A",IF(OFFSET(D$55,'Intermediate Data'!$Y85,0)=-99,"N/A",OFFSET(D$55,'Intermediate Data'!$Y85,0))))</f>
        <v>0.69699999999999995</v>
      </c>
      <c r="AC85" s="90">
        <f ca="1">IF($Y85="","",IF(OFFSET(E$55,'Intermediate Data'!$Y85,0)=-98,"N/A",IF(OFFSET(E$55,'Intermediate Data'!$Y85,0)=-99,"N/A",OFFSET(E$55,'Intermediate Data'!$Y85,0))))</f>
        <v>0.63564418108614706</v>
      </c>
      <c r="AD85" s="90">
        <f ca="1">IF($Y85="","",IF(OFFSET(F$55,'Intermediate Data'!$Y85,0)=-98,"N/A",IF(OFFSET(F$55,'Intermediate Data'!$Y85,0)=-99,"N/A",OFFSET(F$55,'Intermediate Data'!$Y85,0))))</f>
        <v>0.68799999999999994</v>
      </c>
      <c r="AE85" s="90">
        <f ca="1">IF($Y85="","",IF(OFFSET(G$55,'Intermediate Data'!$Y85,0)=-98,"N/A",IF(OFFSET(G$55,'Intermediate Data'!$Y85,0)=-99,"N/A",OFFSET(G$55,'Intermediate Data'!$Y85,0))))</f>
        <v>0.69530310814947072</v>
      </c>
      <c r="AF85" s="90">
        <f ca="1">IF($Y85="","",IF(OFFSET(H$55,'Intermediate Data'!$Y85,0)=-98,"N/A",IF(OFFSET(H$55,'Intermediate Data'!$Y85,0)=-99,"N/A",OFFSET(H$55,'Intermediate Data'!$Y85,0))))</f>
        <v>0.71</v>
      </c>
      <c r="AG85" s="90">
        <f ca="1">IF($Y85="","",IF(OFFSET(I$55,'Intermediate Data'!$Y85,0)=-98,"N/A",IF(OFFSET(I$55,'Intermediate Data'!$Y85,0)=-99,"N/A",OFFSET(I$55,'Intermediate Data'!$Y85,0))))</f>
        <v>0.71</v>
      </c>
      <c r="AH85" s="90" t="str">
        <f ca="1">IF($Y85="","",IF(OFFSET(J$55,'Intermediate Data'!$Y85,0)=-98,"N/A",IF(OFFSET(J$55,'Intermediate Data'!$Y85,0)=-99,"N/A",OFFSET(J$55,'Intermediate Data'!$Y85,0))))</f>
        <v>CLASS</v>
      </c>
      <c r="AI85" s="90" t="str">
        <f ca="1">IF($Y85="","",IF(OFFSET(K$55,'Intermediate Data'!$Y85,0)=-98,"N/A",IF(OFFSET(K$55,'Intermediate Data'!$Y85,0)=-99,"N/A",OFFSET(K$55,'Intermediate Data'!$Y85,0))))</f>
        <v>N/A</v>
      </c>
      <c r="AJ85" s="90" t="str">
        <f ca="1">IF($Y85="","",IF(OFFSET(L$55,'Intermediate Data'!$Y85,0)=-98,"N/A",IF(OFFSET(L$55,'Intermediate Data'!$Y85,0)=-99,"N/A",OFFSET(L$55,'Intermediate Data'!$Y85,0))))</f>
        <v>N/A</v>
      </c>
      <c r="AK85" s="90" t="str">
        <f ca="1">IF($Y85="","",IF(OFFSET(M$55,'Intermediate Data'!$Y85,0)=-98,"N/A",IF(OFFSET(M$55,'Intermediate Data'!$Y85,0)=-99,"N/A",OFFSET(M$55,'Intermediate Data'!$Y85,0))))</f>
        <v>N/A</v>
      </c>
      <c r="AL85" s="90" t="str">
        <f ca="1">IF($Y85="","",IF(OFFSET(N$55,'Intermediate Data'!$Y85,0)=-98,"N/A",IF(OFFSET(N$55,'Intermediate Data'!$Y85,0)=-99,"N/A",OFFSET(N$55,'Intermediate Data'!$Y85,0))))</f>
        <v>N/A</v>
      </c>
      <c r="AM85" s="90" t="str">
        <f ca="1">IF($Y85="","",IF(OFFSET(O$55,'Intermediate Data'!$Y85,0)=-98,"N/A",IF(OFFSET(O$55,'Intermediate Data'!$Y85,0)=-99,"N/A",OFFSET(O$55,'Intermediate Data'!$Y85,0))))</f>
        <v>N/A</v>
      </c>
      <c r="AN85" s="90" t="str">
        <f ca="1">IF($Y85="","",IF(OFFSET(P$55,'Intermediate Data'!$Y85,0)=-98,"N/A",IF(OFFSET(P$55,'Intermediate Data'!$Y85,0)=-99,"N/A",OFFSET(P$55,'Intermediate Data'!$Y85,0))))</f>
        <v>N/A</v>
      </c>
      <c r="AO85" s="90" t="str">
        <f ca="1">IF($Y85="","",IF(OFFSET(Q$55,'Intermediate Data'!$Y85,0)=-98,"N/A",IF(OFFSET(Q$55,'Intermediate Data'!$Y85,0)=-99,"N/A",OFFSET(Q$55,'Intermediate Data'!$Y85,0))))</f>
        <v/>
      </c>
      <c r="AP85" s="697">
        <f ca="1">IF($Y85="","",IF(OFFSET(S$55,'Intermediate Data'!$Y85,0)=-98,"",IF(OFFSET(S$55,'Intermediate Data'!$Y85,0)=-99,"",OFFSET(S$55,'Intermediate Data'!$Y85,0))))</f>
        <v>-0.10299999999999998</v>
      </c>
      <c r="AQ85" s="90">
        <f ca="1">IF($Y85="","",IF(OFFSET(T$55,'Intermediate Data'!$Y85,0)=-98,"Not published",IF(OFFSET(T$55,'Intermediate Data'!$Y85,0)=-99,"",OFFSET(T$55,'Intermediate Data'!$Y85,0))))</f>
        <v>0.9</v>
      </c>
      <c r="AR85" s="90">
        <f ca="1">IF($Y85="","",IF(OFFSET(U$55,'Intermediate Data'!$Y85,0)=-98,"Unknown",IF(OFFSET(U$55,'Intermediate Data'!$Y85,0)=-99,"",OFFSET(U$55,'Intermediate Data'!$Y85,0))))</f>
        <v>8</v>
      </c>
      <c r="AU85" s="112" t="str">
        <f ca="1">IF(AND(OFFSET(DATA!$F34,0,$AX$48)='Intermediate Data'!$AY$48,DATA!$E34="Tier 1"),IF(OR($AX$49=0,$AX$48=1),DATA!A34,IF(AND($AX$49=1,INDEX('Intermediate Data'!$AY$25:$AY$44,MATCH(DATA!$B34,'Intermediate Data'!$AX$25:$AX$44,0))=TRUE),DATA!A34,"")),"")</f>
        <v/>
      </c>
      <c r="AV85" s="112" t="str">
        <f ca="1">IF($AU85="","",DATA!B34)</f>
        <v/>
      </c>
      <c r="AW85" s="112" t="str">
        <f ca="1">IF(OR($AU85="",DATA!BI34=""),"",DATA!BI34)</f>
        <v/>
      </c>
      <c r="AX85" s="112" t="str">
        <f ca="1">IF(OR($AU85="",OFFSET(DATA!BK34,0,$AX$48)=""),"",OFFSET(DATA!BK34,0,$AX$48))</f>
        <v/>
      </c>
      <c r="AY85" s="112" t="str">
        <f ca="1">IF(OR($AU85="",OFFSET(DATA!BM34,0,$AX$48)=""),"",OFFSET(DATA!BM34,0,$AX$48))</f>
        <v/>
      </c>
      <c r="AZ85" s="112" t="str">
        <f ca="1">IF(OR($AU85="",OFFSET(DATA!BO34,0,'Intermediate Data'!$AX$48)=""),"",OFFSET(DATA!BO34,0,$AX$48))</f>
        <v/>
      </c>
      <c r="BA85" s="112" t="str">
        <f ca="1">IF(OR($AU85="",DATA!BQ34=""),"",DATA!BQ34)</f>
        <v/>
      </c>
      <c r="BB85" s="112" t="str">
        <f ca="1">IF($AU85="","",OFFSET(DATA!BS34,0,$AX$48))</f>
        <v/>
      </c>
      <c r="BC85" s="112" t="str">
        <f ca="1">IF($AU85="","",OFFSET(DATA!BU34,0,$AX$48))</f>
        <v/>
      </c>
      <c r="BD85" s="112" t="str">
        <f ca="1">IF($AU85="","",OFFSET(DATA!BW34,0,$AX$48))</f>
        <v/>
      </c>
      <c r="BE85" s="112" t="str">
        <f ca="1">IF($AU85="","",OFFSET(DATA!BY34,0,$AX$48))</f>
        <v/>
      </c>
      <c r="BF85" s="112" t="str">
        <f ca="1">IF($AU85="","",OFFSET(DATA!CA34,0,$AX$48))</f>
        <v/>
      </c>
      <c r="BG85" s="112" t="str">
        <f ca="1">IF($AU85="","",DATA!CC34)</f>
        <v/>
      </c>
      <c r="BH85" s="112" t="str">
        <f ca="1">IF($AU85="","",OFFSET(DATA!CE34,0,$AX$48))</f>
        <v/>
      </c>
      <c r="BI85" s="112" t="str">
        <f ca="1">IF($AU85="","",OFFSET(DATA!CG34,0,$AX$48))</f>
        <v/>
      </c>
      <c r="BJ85" s="112" t="str">
        <f ca="1">IF($AU85="","",OFFSET(DATA!CI34,0,$AX$48))</f>
        <v/>
      </c>
      <c r="BK85" s="112" t="str">
        <f ca="1">IF($AU85="","",OFFSET(DATA!CK34,0,$AX$48))</f>
        <v/>
      </c>
      <c r="BL85" s="112" t="str">
        <f ca="1">IF($AU85="","",OFFSET(DATA!CM34,0,$AX$48))</f>
        <v/>
      </c>
      <c r="BM85" s="112" t="str">
        <f ca="1">IF($AU85="","",DATA!BH34)</f>
        <v/>
      </c>
      <c r="BN85" s="112" t="str">
        <f ca="1">IF($AU85="","",DATA!DS34)</f>
        <v/>
      </c>
      <c r="BO85" s="112" t="str">
        <f ca="1">IF($AU85="","",DATA!DU34)</f>
        <v/>
      </c>
      <c r="BP85" s="112" t="str">
        <f ca="1">IF($AU85="","",DATA!DV34)</f>
        <v/>
      </c>
      <c r="BQ85" s="112" t="str">
        <f ca="1">IF($AU85="","",DATA!DX34)</f>
        <v/>
      </c>
      <c r="BR85" s="112" t="str">
        <f ca="1">IF($AU85="","",DATA!DZ34)</f>
        <v/>
      </c>
      <c r="BS85" s="171" t="str">
        <f ca="1">IF($AU85="","",DATA!EA34)</f>
        <v/>
      </c>
      <c r="BT85" s="171" t="str">
        <f ca="1">IF($AU85="","",DATA!EC34)</f>
        <v/>
      </c>
      <c r="BU85" s="171" t="str">
        <f ca="1">IF($AU85="","",DATA!EF34)</f>
        <v/>
      </c>
      <c r="BV85" s="113" t="str">
        <f t="shared" ca="1" si="10"/>
        <v/>
      </c>
      <c r="BW85" s="680" t="str">
        <f ca="1">IF(AU85="","",OFFSET(DATA!DC34,0,'Intermediate Data'!$AX$48))</f>
        <v/>
      </c>
      <c r="BX85" s="681" t="str">
        <f ca="1">IF($AU85="","",DATA!DG34)</f>
        <v/>
      </c>
      <c r="BY85" s="680" t="str">
        <f ca="1">IF($AU85="","",OFFSET(DATA!DE34,0,'Intermediate Data'!$AX$48))</f>
        <v/>
      </c>
      <c r="BZ85" s="681" t="str">
        <f ca="1">IF($AU85="","",DATA!DH34)</f>
        <v/>
      </c>
      <c r="CA85" s="90" t="str">
        <f t="shared" ca="1" si="11"/>
        <v/>
      </c>
      <c r="CB85" s="99" t="str">
        <f t="shared" ca="1" si="12"/>
        <v/>
      </c>
      <c r="CC85" s="90" t="str">
        <f t="shared" ca="1" si="13"/>
        <v/>
      </c>
      <c r="CD85" s="90" t="str">
        <f t="shared" ca="1" si="14"/>
        <v/>
      </c>
      <c r="CF85" s="90" t="str">
        <f ca="1">IF($CD85="","",IF(OFFSET(AV$55,'Intermediate Data'!$CD85,0)=-98,"Unknown",IF(OFFSET(AV$55,'Intermediate Data'!$CD85,0)=-99,"N/A",OFFSET(AV$55,'Intermediate Data'!$CD85,0))))</f>
        <v/>
      </c>
      <c r="CG85" s="90" t="str">
        <f ca="1">IF($CD85="","",IF(OFFSET(AW$55,'Intermediate Data'!$CD85,0)=-98,"",IF(OFFSET(AW$55,'Intermediate Data'!$CD85,0)=-99,"N/A",OFFSET(AW$55,'Intermediate Data'!$CD85,0))))</f>
        <v/>
      </c>
      <c r="CH85" s="90" t="str">
        <f ca="1">IF($CD85="","",IF(OFFSET(AX$55,'Intermediate Data'!$CD85,0)=-98,"Unknown",IF(OFFSET(AX$55,'Intermediate Data'!$CD85,0)=-99,"N/A",OFFSET(AX$55,'Intermediate Data'!$CD85,0))))</f>
        <v/>
      </c>
      <c r="CI85" s="125" t="str">
        <f ca="1">IF($CD85="","",IF(OFFSET(AY$55,'Intermediate Data'!$CD85,0)=-98,"Unknown",IF(OFFSET(AY$55,'Intermediate Data'!$CD85,0)=-99,"No spec",OFFSET(AY$55,'Intermediate Data'!$CD85,0))))</f>
        <v/>
      </c>
      <c r="CJ85" s="125" t="str">
        <f ca="1">IF($CD85="","",IF(OFFSET(AZ$55,'Intermediate Data'!$CD85,0)=-98,"Unknown",IF(OFFSET(AZ$55,'Intermediate Data'!$CD85,0)=-99,"N/A",OFFSET(AZ$55,'Intermediate Data'!$CD85,0))))</f>
        <v/>
      </c>
      <c r="CK85" s="90" t="str">
        <f ca="1">IF($CD85="","",IF(OFFSET(BA$55,'Intermediate Data'!$CD85,0)=-98,"Unknown",IF(OFFSET(BA$55,'Intermediate Data'!$CD85,0)=-99,"N/A",OFFSET(BA$55,'Intermediate Data'!$CD85,0))))</f>
        <v/>
      </c>
      <c r="CL85" s="90" t="str">
        <f ca="1">IF($CD85="","",IF(OFFSET(BB$55,'Intermediate Data'!$CD85,$AX$50)=-98,"Unknown",IF(OFFSET(BB$55,'Intermediate Data'!$CD85,$AX$50)="N/A","",OFFSET(BB$55,'Intermediate Data'!$CD85,$AX$50))))</f>
        <v/>
      </c>
      <c r="CM85" s="90" t="str">
        <f ca="1">IF($CD85="","",IF(OFFSET(BG$55,'Intermediate Data'!$CD85,0)="ET","ET",""))</f>
        <v/>
      </c>
      <c r="CN85" s="90" t="str">
        <f ca="1">IF($CD85="","",IF(OFFSET(BH$55,'Intermediate Data'!$CD85,$AX$50)=-98,"Unknown",IF(OFFSET(BH$55,'Intermediate Data'!$CD85,$AX$50)="N/A","",OFFSET(BH$55,'Intermediate Data'!$CD85,$AX$50))))</f>
        <v/>
      </c>
      <c r="CO85" s="90" t="str">
        <f ca="1">IF($CD85="","",IF(OFFSET(BM$55,'Intermediate Data'!$CD85,0)=-98,"Not published",IF(OFFSET(BM$55,'Intermediate Data'!$CD85,0)=-99,"No spec",OFFSET(BM$55,'Intermediate Data'!$CD85,0))))</f>
        <v/>
      </c>
      <c r="CP85" s="114" t="str">
        <f ca="1">IF($CD85="","",IF(OFFSET(BN$55,'Intermediate Data'!$CD85,0)=-98,"Unknown",IF(OFFSET(BN$55,'Intermediate Data'!$CD85,0)=-99,"N/A",OFFSET(BN$55,'Intermediate Data'!$CD85,0))))</f>
        <v/>
      </c>
      <c r="CQ85" s="114" t="str">
        <f ca="1">IF($CD85="","",IF(OFFSET(BO$55,'Intermediate Data'!$CD85,0)=-98,"Unknown",IF(OFFSET(BO$55,'Intermediate Data'!$CD85,0)=-99,"N/A",OFFSET(BO$55,'Intermediate Data'!$CD85,0))))</f>
        <v/>
      </c>
      <c r="CR85" s="114" t="str">
        <f ca="1">IF($CD85="","",IF(OFFSET(BP$55,'Intermediate Data'!$CD85,0)=-98,"Unknown",IF(OFFSET(BP$55,'Intermediate Data'!$CD85,0)=-99,"N/A",OFFSET(BP$55,'Intermediate Data'!$CD85,0))))</f>
        <v/>
      </c>
      <c r="CS85" s="114" t="str">
        <f ca="1">IF($CD85="","",IF(OFFSET(BQ$55,'Intermediate Data'!$CD85,0)=-98,"Unknown",IF(OFFSET(BQ$55,'Intermediate Data'!$CD85,0)=-99,"N/A",OFFSET(BQ$55,'Intermediate Data'!$CD85,0))))</f>
        <v/>
      </c>
      <c r="CT85" s="114" t="str">
        <f ca="1">IF($CD85="","",IF(OFFSET(BR$55,'Intermediate Data'!$CD85,0)=-98,"Unknown",IF(OFFSET(BR$55,'Intermediate Data'!$CD85,0)=-99,"N/A",OFFSET(BR$55,'Intermediate Data'!$CD85,0))))</f>
        <v/>
      </c>
      <c r="CU85" s="114" t="str">
        <f ca="1">IF($CD85="","",IF(OFFSET(BS$55,'Intermediate Data'!$CD85,0)=-98,"Unknown",IF(OFFSET(BS$55,'Intermediate Data'!$CD85,0)=-99,"N/A",OFFSET(BS$55,'Intermediate Data'!$CD85,0))))</f>
        <v/>
      </c>
      <c r="CV85" s="114" t="str">
        <f ca="1">IF($CD85="","",IF(OFFSET(BT$55,'Intermediate Data'!$CD85,0)=-98,"Unknown",IF(OFFSET(BT$55,'Intermediate Data'!$CD85,0)=-99,"N/A",OFFSET(BT$55,'Intermediate Data'!$CD85,0))))</f>
        <v/>
      </c>
      <c r="CW85" s="114" t="str">
        <f ca="1">IF($CD85="","",IF(OFFSET(BU$55,'Intermediate Data'!$CD85,0)=-98,"Unknown",IF(OFFSET(BU$55,'Intermediate Data'!$CD85,0)=-99,"N/A",OFFSET(BU$55,'Intermediate Data'!$CD85,0))))</f>
        <v/>
      </c>
      <c r="CX85" s="114" t="str">
        <f ca="1">IF($CD85="","",IF(OFFSET(BV$55,'Intermediate Data'!$CD85,0)=-98,"Unknown",IF(OFFSET(BV$55,'Intermediate Data'!$CD85,0)=-99,"N/A",OFFSET(BV$55,'Intermediate Data'!$CD85,0))))</f>
        <v/>
      </c>
      <c r="CY85" s="682" t="str">
        <f ca="1">IF($CD85="","",IF(OFFSET(BW$55,'Intermediate Data'!$CD85,0)=-98,"Unknown",IF(OFFSET(BW$55,'Intermediate Data'!$CD85,0)="N/A","",OFFSET(BW$55,'Intermediate Data'!$CD85,0))))</f>
        <v/>
      </c>
      <c r="CZ85" s="682" t="str">
        <f ca="1">IF($CD85="","",IF(OFFSET(BX$55,'Intermediate Data'!$CD85,0)=-98,"Unknown",IF(OFFSET(BX$55,'Intermediate Data'!$CD85,0)="N/A","",OFFSET(BX$55,'Intermediate Data'!$CD85,0))))</f>
        <v/>
      </c>
      <c r="DA85" s="682" t="str">
        <f ca="1">IF($CD85="","",IF(OFFSET(BY$55,'Intermediate Data'!$CD85,0)=-98,"Unknown",IF(OFFSET(BY$55,'Intermediate Data'!$CD85,0)="N/A","",OFFSET(BY$55,'Intermediate Data'!$CD85,0))))</f>
        <v/>
      </c>
      <c r="DB85" s="682" t="str">
        <f ca="1">IF($CD85="","",IF(OFFSET(BZ$55,'Intermediate Data'!$CD85,0)=-98,"Unknown",IF(OFFSET(BZ$55,'Intermediate Data'!$CD85,0)="N/A","",OFFSET(BZ$55,'Intermediate Data'!$CD85,0))))</f>
        <v/>
      </c>
    </row>
    <row r="86" spans="1:106" x14ac:dyDescent="0.2">
      <c r="A86" s="90">
        <f ca="1">IF(OFFSET(DATA!F35,0,$D$48)='Intermediate Data'!$E$48,IF(OR($E$49=$C$27,$E$48=$B$4),DATA!A35,IF($G$49=DATA!D35,DATA!A35,"")),"")</f>
        <v>31</v>
      </c>
      <c r="B86" s="90">
        <f ca="1">IF($A86="","",DATA!EH35)</f>
        <v>115</v>
      </c>
      <c r="C86" s="90" t="str">
        <f ca="1">IF($A86="","",DATA!B35)</f>
        <v>Coffee maker</v>
      </c>
      <c r="D86" s="90">
        <f ca="1">IF($A86="","",OFFSET(DATA!$H35,0,($D$50*5)))</f>
        <v>-99</v>
      </c>
      <c r="E86" s="90">
        <f ca="1">IF($A86="","",OFFSET(DATA!$H35,0,($D$50*5)+1))</f>
        <v>-99</v>
      </c>
      <c r="F86" s="90">
        <f ca="1">IF($A86="","",OFFSET(DATA!$H35,0,($D$50*5)+2))</f>
        <v>-99</v>
      </c>
      <c r="G86" s="90">
        <f ca="1">IF($A86="","",OFFSET(DATA!$H35,0,($D$50*5)+3))</f>
        <v>-99</v>
      </c>
      <c r="H86" s="90">
        <f ca="1">IF($A86="","",OFFSET(DATA!$H35,0,($D$50*5)+4))</f>
        <v>-99</v>
      </c>
      <c r="I86" s="90">
        <f t="shared" ca="1" si="2"/>
        <v>-99</v>
      </c>
      <c r="J86" s="90" t="str">
        <f t="shared" ca="1" si="3"/>
        <v/>
      </c>
      <c r="K86" s="90">
        <f ca="1">IF($A86="","",OFFSET(DATA!$AG35,0,($D$50*5)))</f>
        <v>-99</v>
      </c>
      <c r="L86" s="90">
        <f ca="1">IF($A86="","",OFFSET(DATA!$AG35,0,($D$50*5)+1))</f>
        <v>-99</v>
      </c>
      <c r="M86" s="90">
        <f ca="1">IF($A86="","",OFFSET(DATA!$AG35,0,($D$50*5)+2))</f>
        <v>-99</v>
      </c>
      <c r="N86" s="90">
        <f ca="1">IF($A86="","",OFFSET(DATA!$AG35,0,($D$50*5)+3))</f>
        <v>-99</v>
      </c>
      <c r="O86" s="90">
        <f ca="1">IF($A86="","",OFFSET(DATA!$AG35,0,($D$50*5)+4))</f>
        <v>-99</v>
      </c>
      <c r="P86" s="90">
        <f t="shared" ca="1" si="4"/>
        <v>-99</v>
      </c>
      <c r="Q86" s="90" t="str">
        <f t="shared" ca="1" si="5"/>
        <v/>
      </c>
      <c r="R86" s="699">
        <f ca="1">IF($A86="","",IF(DATA!BF35="",-99,DATA!BF35))</f>
        <v>-99</v>
      </c>
      <c r="S86" s="90">
        <f ca="1">IF($A86="","",IF(DATA!BG35="",-99,DATA!BF35-DATA!BG35))</f>
        <v>-99</v>
      </c>
      <c r="T86" s="90">
        <f ca="1">IF($A86="","",DATA!BH35)</f>
        <v>-99</v>
      </c>
      <c r="U86" s="90">
        <f ca="1">IF($A86="","",OFFSET(DATA!BM35,0,$D$48))</f>
        <v>-99</v>
      </c>
      <c r="V86" s="90">
        <f t="shared" ca="1" si="6"/>
        <v>115</v>
      </c>
      <c r="W86" s="99">
        <f t="shared" ca="1" si="7"/>
        <v>114.99988120086</v>
      </c>
      <c r="X86" s="112">
        <f t="shared" ca="1" si="8"/>
        <v>103.99990198274</v>
      </c>
      <c r="Y86" s="90">
        <f t="shared" ca="1" si="9"/>
        <v>19</v>
      </c>
      <c r="AA86" s="90" t="str">
        <f ca="1">IF($Y86="","",IF(OFFSET(C$55,'Intermediate Data'!$Y86,0)=-98,"Unknown",IF(OFFSET(C$55,'Intermediate Data'!$Y86,0)=-99,"N/A",OFFSET(C$55,'Intermediate Data'!$Y86,0))))</f>
        <v>Display</v>
      </c>
      <c r="AB86" s="90" t="str">
        <f ca="1">IF($Y86="","",IF(OFFSET(D$55,'Intermediate Data'!$Y86,0)=-98,"N/A",IF(OFFSET(D$55,'Intermediate Data'!$Y86,0)=-99,"N/A",OFFSET(D$55,'Intermediate Data'!$Y86,0))))</f>
        <v>N/A</v>
      </c>
      <c r="AC86" s="90" t="str">
        <f ca="1">IF($Y86="","",IF(OFFSET(E$55,'Intermediate Data'!$Y86,0)=-98,"N/A",IF(OFFSET(E$55,'Intermediate Data'!$Y86,0)=-99,"N/A",OFFSET(E$55,'Intermediate Data'!$Y86,0))))</f>
        <v>N/A</v>
      </c>
      <c r="AD86" s="90" t="str">
        <f ca="1">IF($Y86="","",IF(OFFSET(F$55,'Intermediate Data'!$Y86,0)=-98,"N/A",IF(OFFSET(F$55,'Intermediate Data'!$Y86,0)=-99,"N/A",OFFSET(F$55,'Intermediate Data'!$Y86,0))))</f>
        <v>N/A</v>
      </c>
      <c r="AE86" s="90" t="str">
        <f ca="1">IF($Y86="","",IF(OFFSET(G$55,'Intermediate Data'!$Y86,0)=-98,"N/A",IF(OFFSET(G$55,'Intermediate Data'!$Y86,0)=-99,"N/A",OFFSET(G$55,'Intermediate Data'!$Y86,0))))</f>
        <v>N/A</v>
      </c>
      <c r="AF86" s="90" t="str">
        <f ca="1">IF($Y86="","",IF(OFFSET(H$55,'Intermediate Data'!$Y86,0)=-98,"N/A",IF(OFFSET(H$55,'Intermediate Data'!$Y86,0)=-99,"N/A",OFFSET(H$55,'Intermediate Data'!$Y86,0))))</f>
        <v>N/A</v>
      </c>
      <c r="AG86" s="90" t="str">
        <f ca="1">IF($Y86="","",IF(OFFSET(I$55,'Intermediate Data'!$Y86,0)=-98,"N/A",IF(OFFSET(I$55,'Intermediate Data'!$Y86,0)=-99,"N/A",OFFSET(I$55,'Intermediate Data'!$Y86,0))))</f>
        <v>N/A</v>
      </c>
      <c r="AH86" s="90" t="str">
        <f ca="1">IF($Y86="","",IF(OFFSET(J$55,'Intermediate Data'!$Y86,0)=-98,"N/A",IF(OFFSET(J$55,'Intermediate Data'!$Y86,0)=-99,"N/A",OFFSET(J$55,'Intermediate Data'!$Y86,0))))</f>
        <v/>
      </c>
      <c r="AI86" s="90" t="str">
        <f ca="1">IF($Y86="","",IF(OFFSET(K$55,'Intermediate Data'!$Y86,0)=-98,"N/A",IF(OFFSET(K$55,'Intermediate Data'!$Y86,0)=-99,"N/A",OFFSET(K$55,'Intermediate Data'!$Y86,0))))</f>
        <v>N/A</v>
      </c>
      <c r="AJ86" s="90" t="str">
        <f ca="1">IF($Y86="","",IF(OFFSET(L$55,'Intermediate Data'!$Y86,0)=-98,"N/A",IF(OFFSET(L$55,'Intermediate Data'!$Y86,0)=-99,"N/A",OFFSET(L$55,'Intermediate Data'!$Y86,0))))</f>
        <v>N/A</v>
      </c>
      <c r="AK86" s="90" t="str">
        <f ca="1">IF($Y86="","",IF(OFFSET(M$55,'Intermediate Data'!$Y86,0)=-98,"N/A",IF(OFFSET(M$55,'Intermediate Data'!$Y86,0)=-99,"N/A",OFFSET(M$55,'Intermediate Data'!$Y86,0))))</f>
        <v>N/A</v>
      </c>
      <c r="AL86" s="90" t="str">
        <f ca="1">IF($Y86="","",IF(OFFSET(N$55,'Intermediate Data'!$Y86,0)=-98,"N/A",IF(OFFSET(N$55,'Intermediate Data'!$Y86,0)=-99,"N/A",OFFSET(N$55,'Intermediate Data'!$Y86,0))))</f>
        <v>N/A</v>
      </c>
      <c r="AM86" s="90" t="str">
        <f ca="1">IF($Y86="","",IF(OFFSET(O$55,'Intermediate Data'!$Y86,0)=-98,"N/A",IF(OFFSET(O$55,'Intermediate Data'!$Y86,0)=-99,"N/A",OFFSET(O$55,'Intermediate Data'!$Y86,0))))</f>
        <v>N/A</v>
      </c>
      <c r="AN86" s="90" t="str">
        <f ca="1">IF($Y86="","",IF(OFFSET(P$55,'Intermediate Data'!$Y86,0)=-98,"N/A",IF(OFFSET(P$55,'Intermediate Data'!$Y86,0)=-99,"N/A",OFFSET(P$55,'Intermediate Data'!$Y86,0))))</f>
        <v>N/A</v>
      </c>
      <c r="AO86" s="90" t="str">
        <f ca="1">IF($Y86="","",IF(OFFSET(Q$55,'Intermediate Data'!$Y86,0)=-98,"N/A",IF(OFFSET(Q$55,'Intermediate Data'!$Y86,0)=-99,"N/A",OFFSET(Q$55,'Intermediate Data'!$Y86,0))))</f>
        <v/>
      </c>
      <c r="AP86" s="697" t="str">
        <f ca="1">IF($Y86="","",IF(OFFSET(S$55,'Intermediate Data'!$Y86,0)=-98,"",IF(OFFSET(S$55,'Intermediate Data'!$Y86,0)=-99,"",OFFSET(S$55,'Intermediate Data'!$Y86,0))))</f>
        <v/>
      </c>
      <c r="AQ86" s="90">
        <f ca="1">IF($Y86="","",IF(OFFSET(T$55,'Intermediate Data'!$Y86,0)=-98,"Not published",IF(OFFSET(T$55,'Intermediate Data'!$Y86,0)=-99,"",OFFSET(T$55,'Intermediate Data'!$Y86,0))))</f>
        <v>0.82</v>
      </c>
      <c r="AR86" s="90">
        <f ca="1">IF($Y86="","",IF(OFFSET(U$55,'Intermediate Data'!$Y86,0)=-98,"Unknown",IF(OFFSET(U$55,'Intermediate Data'!$Y86,0)=-99,"",OFFSET(U$55,'Intermediate Data'!$Y86,0))))</f>
        <v>9</v>
      </c>
      <c r="AU86" s="112" t="str">
        <f ca="1">IF(AND(OFFSET(DATA!$F35,0,$AX$48)='Intermediate Data'!$AY$48,DATA!$E35="Tier 1"),IF(OR($AX$49=0,$AX$48=1),DATA!A35,IF(AND($AX$49=1,INDEX('Intermediate Data'!$AY$25:$AY$44,MATCH(DATA!$B35,'Intermediate Data'!$AX$25:$AX$44,0))=TRUE),DATA!A35,"")),"")</f>
        <v/>
      </c>
      <c r="AV86" s="112" t="str">
        <f ca="1">IF($AU86="","",DATA!B35)</f>
        <v/>
      </c>
      <c r="AW86" s="112" t="str">
        <f ca="1">IF(OR($AU86="",DATA!BI35=""),"",DATA!BI35)</f>
        <v/>
      </c>
      <c r="AX86" s="112" t="str">
        <f ca="1">IF(OR($AU86="",OFFSET(DATA!BK35,0,$AX$48)=""),"",OFFSET(DATA!BK35,0,$AX$48))</f>
        <v/>
      </c>
      <c r="AY86" s="112" t="str">
        <f ca="1">IF(OR($AU86="",OFFSET(DATA!BM35,0,$AX$48)=""),"",OFFSET(DATA!BM35,0,$AX$48))</f>
        <v/>
      </c>
      <c r="AZ86" s="112" t="str">
        <f ca="1">IF(OR($AU86="",OFFSET(DATA!BO35,0,'Intermediate Data'!$AX$48)=""),"",OFFSET(DATA!BO35,0,$AX$48))</f>
        <v/>
      </c>
      <c r="BA86" s="112" t="str">
        <f ca="1">IF(OR($AU86="",DATA!BQ35=""),"",DATA!BQ35)</f>
        <v/>
      </c>
      <c r="BB86" s="112" t="str">
        <f ca="1">IF($AU86="","",OFFSET(DATA!BS35,0,$AX$48))</f>
        <v/>
      </c>
      <c r="BC86" s="112" t="str">
        <f ca="1">IF($AU86="","",OFFSET(DATA!BU35,0,$AX$48))</f>
        <v/>
      </c>
      <c r="BD86" s="112" t="str">
        <f ca="1">IF($AU86="","",OFFSET(DATA!BW35,0,$AX$48))</f>
        <v/>
      </c>
      <c r="BE86" s="112" t="str">
        <f ca="1">IF($AU86="","",OFFSET(DATA!BY35,0,$AX$48))</f>
        <v/>
      </c>
      <c r="BF86" s="112" t="str">
        <f ca="1">IF($AU86="","",OFFSET(DATA!CA35,0,$AX$48))</f>
        <v/>
      </c>
      <c r="BG86" s="112" t="str">
        <f ca="1">IF($AU86="","",DATA!CC35)</f>
        <v/>
      </c>
      <c r="BH86" s="112" t="str">
        <f ca="1">IF($AU86="","",OFFSET(DATA!CE35,0,$AX$48))</f>
        <v/>
      </c>
      <c r="BI86" s="112" t="str">
        <f ca="1">IF($AU86="","",OFFSET(DATA!CG35,0,$AX$48))</f>
        <v/>
      </c>
      <c r="BJ86" s="112" t="str">
        <f ca="1">IF($AU86="","",OFFSET(DATA!CI35,0,$AX$48))</f>
        <v/>
      </c>
      <c r="BK86" s="112" t="str">
        <f ca="1">IF($AU86="","",OFFSET(DATA!CK35,0,$AX$48))</f>
        <v/>
      </c>
      <c r="BL86" s="112" t="str">
        <f ca="1">IF($AU86="","",OFFSET(DATA!CM35,0,$AX$48))</f>
        <v/>
      </c>
      <c r="BM86" s="112" t="str">
        <f ca="1">IF($AU86="","",DATA!BH35)</f>
        <v/>
      </c>
      <c r="BN86" s="112" t="str">
        <f ca="1">IF($AU86="","",DATA!DS35)</f>
        <v/>
      </c>
      <c r="BO86" s="112" t="str">
        <f ca="1">IF($AU86="","",DATA!DU35)</f>
        <v/>
      </c>
      <c r="BP86" s="112" t="str">
        <f ca="1">IF($AU86="","",DATA!DV35)</f>
        <v/>
      </c>
      <c r="BQ86" s="112" t="str">
        <f ca="1">IF($AU86="","",DATA!DX35)</f>
        <v/>
      </c>
      <c r="BR86" s="112" t="str">
        <f ca="1">IF($AU86="","",DATA!DZ35)</f>
        <v/>
      </c>
      <c r="BS86" s="171" t="str">
        <f ca="1">IF($AU86="","",DATA!EA35)</f>
        <v/>
      </c>
      <c r="BT86" s="171" t="str">
        <f ca="1">IF($AU86="","",DATA!EC35)</f>
        <v/>
      </c>
      <c r="BU86" s="171" t="str">
        <f ca="1">IF($AU86="","",DATA!EF35)</f>
        <v/>
      </c>
      <c r="BV86" s="113" t="str">
        <f t="shared" ca="1" si="10"/>
        <v/>
      </c>
      <c r="BW86" s="680" t="str">
        <f ca="1">IF(AU86="","",OFFSET(DATA!DC35,0,'Intermediate Data'!$AX$48))</f>
        <v/>
      </c>
      <c r="BX86" s="681" t="str">
        <f ca="1">IF($AU86="","",DATA!DG35)</f>
        <v/>
      </c>
      <c r="BY86" s="680" t="str">
        <f ca="1">IF($AU86="","",OFFSET(DATA!DE35,0,'Intermediate Data'!$AX$48))</f>
        <v/>
      </c>
      <c r="BZ86" s="681" t="str">
        <f ca="1">IF($AU86="","",DATA!DH35)</f>
        <v/>
      </c>
      <c r="CA86" s="90" t="str">
        <f t="shared" ca="1" si="11"/>
        <v/>
      </c>
      <c r="CB86" s="99" t="str">
        <f t="shared" ca="1" si="12"/>
        <v/>
      </c>
      <c r="CC86" s="90" t="str">
        <f t="shared" ca="1" si="13"/>
        <v/>
      </c>
      <c r="CD86" s="90" t="str">
        <f t="shared" ca="1" si="14"/>
        <v/>
      </c>
      <c r="CF86" s="90" t="str">
        <f ca="1">IF($CD86="","",IF(OFFSET(AV$55,'Intermediate Data'!$CD86,0)=-98,"Unknown",IF(OFFSET(AV$55,'Intermediate Data'!$CD86,0)=-99,"N/A",OFFSET(AV$55,'Intermediate Data'!$CD86,0))))</f>
        <v/>
      </c>
      <c r="CG86" s="90" t="str">
        <f ca="1">IF($CD86="","",IF(OFFSET(AW$55,'Intermediate Data'!$CD86,0)=-98,"",IF(OFFSET(AW$55,'Intermediate Data'!$CD86,0)=-99,"N/A",OFFSET(AW$55,'Intermediate Data'!$CD86,0))))</f>
        <v/>
      </c>
      <c r="CH86" s="90" t="str">
        <f ca="1">IF($CD86="","",IF(OFFSET(AX$55,'Intermediate Data'!$CD86,0)=-98,"Unknown",IF(OFFSET(AX$55,'Intermediate Data'!$CD86,0)=-99,"N/A",OFFSET(AX$55,'Intermediate Data'!$CD86,0))))</f>
        <v/>
      </c>
      <c r="CI86" s="125" t="str">
        <f ca="1">IF($CD86="","",IF(OFFSET(AY$55,'Intermediate Data'!$CD86,0)=-98,"Unknown",IF(OFFSET(AY$55,'Intermediate Data'!$CD86,0)=-99,"No spec",OFFSET(AY$55,'Intermediate Data'!$CD86,0))))</f>
        <v/>
      </c>
      <c r="CJ86" s="125" t="str">
        <f ca="1">IF($CD86="","",IF(OFFSET(AZ$55,'Intermediate Data'!$CD86,0)=-98,"Unknown",IF(OFFSET(AZ$55,'Intermediate Data'!$CD86,0)=-99,"N/A",OFFSET(AZ$55,'Intermediate Data'!$CD86,0))))</f>
        <v/>
      </c>
      <c r="CK86" s="90" t="str">
        <f ca="1">IF($CD86="","",IF(OFFSET(BA$55,'Intermediate Data'!$CD86,0)=-98,"Unknown",IF(OFFSET(BA$55,'Intermediate Data'!$CD86,0)=-99,"N/A",OFFSET(BA$55,'Intermediate Data'!$CD86,0))))</f>
        <v/>
      </c>
      <c r="CL86" s="90" t="str">
        <f ca="1">IF($CD86="","",IF(OFFSET(BB$55,'Intermediate Data'!$CD86,$AX$50)=-98,"Unknown",IF(OFFSET(BB$55,'Intermediate Data'!$CD86,$AX$50)="N/A","",OFFSET(BB$55,'Intermediate Data'!$CD86,$AX$50))))</f>
        <v/>
      </c>
      <c r="CM86" s="90" t="str">
        <f ca="1">IF($CD86="","",IF(OFFSET(BG$55,'Intermediate Data'!$CD86,0)="ET","ET",""))</f>
        <v/>
      </c>
      <c r="CN86" s="90" t="str">
        <f ca="1">IF($CD86="","",IF(OFFSET(BH$55,'Intermediate Data'!$CD86,$AX$50)=-98,"Unknown",IF(OFFSET(BH$55,'Intermediate Data'!$CD86,$AX$50)="N/A","",OFFSET(BH$55,'Intermediate Data'!$CD86,$AX$50))))</f>
        <v/>
      </c>
      <c r="CO86" s="90" t="str">
        <f ca="1">IF($CD86="","",IF(OFFSET(BM$55,'Intermediate Data'!$CD86,0)=-98,"Not published",IF(OFFSET(BM$55,'Intermediate Data'!$CD86,0)=-99,"No spec",OFFSET(BM$55,'Intermediate Data'!$CD86,0))))</f>
        <v/>
      </c>
      <c r="CP86" s="114" t="str">
        <f ca="1">IF($CD86="","",IF(OFFSET(BN$55,'Intermediate Data'!$CD86,0)=-98,"Unknown",IF(OFFSET(BN$55,'Intermediate Data'!$CD86,0)=-99,"N/A",OFFSET(BN$55,'Intermediate Data'!$CD86,0))))</f>
        <v/>
      </c>
      <c r="CQ86" s="114" t="str">
        <f ca="1">IF($CD86="","",IF(OFFSET(BO$55,'Intermediate Data'!$CD86,0)=-98,"Unknown",IF(OFFSET(BO$55,'Intermediate Data'!$CD86,0)=-99,"N/A",OFFSET(BO$55,'Intermediate Data'!$CD86,0))))</f>
        <v/>
      </c>
      <c r="CR86" s="114" t="str">
        <f ca="1">IF($CD86="","",IF(OFFSET(BP$55,'Intermediate Data'!$CD86,0)=-98,"Unknown",IF(OFFSET(BP$55,'Intermediate Data'!$CD86,0)=-99,"N/A",OFFSET(BP$55,'Intermediate Data'!$CD86,0))))</f>
        <v/>
      </c>
      <c r="CS86" s="114" t="str">
        <f ca="1">IF($CD86="","",IF(OFFSET(BQ$55,'Intermediate Data'!$CD86,0)=-98,"Unknown",IF(OFFSET(BQ$55,'Intermediate Data'!$CD86,0)=-99,"N/A",OFFSET(BQ$55,'Intermediate Data'!$CD86,0))))</f>
        <v/>
      </c>
      <c r="CT86" s="114" t="str">
        <f ca="1">IF($CD86="","",IF(OFFSET(BR$55,'Intermediate Data'!$CD86,0)=-98,"Unknown",IF(OFFSET(BR$55,'Intermediate Data'!$CD86,0)=-99,"N/A",OFFSET(BR$55,'Intermediate Data'!$CD86,0))))</f>
        <v/>
      </c>
      <c r="CU86" s="114" t="str">
        <f ca="1">IF($CD86="","",IF(OFFSET(BS$55,'Intermediate Data'!$CD86,0)=-98,"Unknown",IF(OFFSET(BS$55,'Intermediate Data'!$CD86,0)=-99,"N/A",OFFSET(BS$55,'Intermediate Data'!$CD86,0))))</f>
        <v/>
      </c>
      <c r="CV86" s="114" t="str">
        <f ca="1">IF($CD86="","",IF(OFFSET(BT$55,'Intermediate Data'!$CD86,0)=-98,"Unknown",IF(OFFSET(BT$55,'Intermediate Data'!$CD86,0)=-99,"N/A",OFFSET(BT$55,'Intermediate Data'!$CD86,0))))</f>
        <v/>
      </c>
      <c r="CW86" s="114" t="str">
        <f ca="1">IF($CD86="","",IF(OFFSET(BU$55,'Intermediate Data'!$CD86,0)=-98,"Unknown",IF(OFFSET(BU$55,'Intermediate Data'!$CD86,0)=-99,"N/A",OFFSET(BU$55,'Intermediate Data'!$CD86,0))))</f>
        <v/>
      </c>
      <c r="CX86" s="114" t="str">
        <f ca="1">IF($CD86="","",IF(OFFSET(BV$55,'Intermediate Data'!$CD86,0)=-98,"Unknown",IF(OFFSET(BV$55,'Intermediate Data'!$CD86,0)=-99,"N/A",OFFSET(BV$55,'Intermediate Data'!$CD86,0))))</f>
        <v/>
      </c>
      <c r="CY86" s="682" t="str">
        <f ca="1">IF($CD86="","",IF(OFFSET(BW$55,'Intermediate Data'!$CD86,0)=-98,"Unknown",IF(OFFSET(BW$55,'Intermediate Data'!$CD86,0)="N/A","",OFFSET(BW$55,'Intermediate Data'!$CD86,0))))</f>
        <v/>
      </c>
      <c r="CZ86" s="682" t="str">
        <f ca="1">IF($CD86="","",IF(OFFSET(BX$55,'Intermediate Data'!$CD86,0)=-98,"Unknown",IF(OFFSET(BX$55,'Intermediate Data'!$CD86,0)="N/A","",OFFSET(BX$55,'Intermediate Data'!$CD86,0))))</f>
        <v/>
      </c>
      <c r="DA86" s="682" t="str">
        <f ca="1">IF($CD86="","",IF(OFFSET(BY$55,'Intermediate Data'!$CD86,0)=-98,"Unknown",IF(OFFSET(BY$55,'Intermediate Data'!$CD86,0)="N/A","",OFFSET(BY$55,'Intermediate Data'!$CD86,0))))</f>
        <v/>
      </c>
      <c r="DB86" s="682" t="str">
        <f ca="1">IF($CD86="","",IF(OFFSET(BZ$55,'Intermediate Data'!$CD86,0)=-98,"Unknown",IF(OFFSET(BZ$55,'Intermediate Data'!$CD86,0)="N/A","",OFFSET(BZ$55,'Intermediate Data'!$CD86,0))))</f>
        <v/>
      </c>
    </row>
    <row r="87" spans="1:106" x14ac:dyDescent="0.2">
      <c r="A87" s="90">
        <f ca="1">IF(OFFSET(DATA!F36,0,$D$48)='Intermediate Data'!$E$48,IF(OR($E$49=$C$27,$E$48=$B$4),DATA!A36,IF($G$49=DATA!D36,DATA!A36,"")),"")</f>
        <v>32</v>
      </c>
      <c r="B87" s="90">
        <f ca="1">IF($A87="","",DATA!EH36)</f>
        <v>112</v>
      </c>
      <c r="C87" s="90" t="str">
        <f ca="1">IF($A87="","",DATA!B36)</f>
        <v>Crockpot</v>
      </c>
      <c r="D87" s="90">
        <f ca="1">IF($A87="","",OFFSET(DATA!$H36,0,($D$50*5)))</f>
        <v>-99</v>
      </c>
      <c r="E87" s="90">
        <f ca="1">IF($A87="","",OFFSET(DATA!$H36,0,($D$50*5)+1))</f>
        <v>-99</v>
      </c>
      <c r="F87" s="90">
        <f ca="1">IF($A87="","",OFFSET(DATA!$H36,0,($D$50*5)+2))</f>
        <v>-99</v>
      </c>
      <c r="G87" s="90">
        <f ca="1">IF($A87="","",OFFSET(DATA!$H36,0,($D$50*5)+3))</f>
        <v>-99</v>
      </c>
      <c r="H87" s="90">
        <f ca="1">IF($A87="","",OFFSET(DATA!$H36,0,($D$50*5)+4))</f>
        <v>-99</v>
      </c>
      <c r="I87" s="90">
        <f t="shared" ca="1" si="2"/>
        <v>-99</v>
      </c>
      <c r="J87" s="90" t="str">
        <f t="shared" ca="1" si="3"/>
        <v/>
      </c>
      <c r="K87" s="90">
        <f ca="1">IF($A87="","",OFFSET(DATA!$AG36,0,($D$50*5)))</f>
        <v>-99</v>
      </c>
      <c r="L87" s="90">
        <f ca="1">IF($A87="","",OFFSET(DATA!$AG36,0,($D$50*5)+1))</f>
        <v>-99</v>
      </c>
      <c r="M87" s="90">
        <f ca="1">IF($A87="","",OFFSET(DATA!$AG36,0,($D$50*5)+2))</f>
        <v>-99</v>
      </c>
      <c r="N87" s="90">
        <f ca="1">IF($A87="","",OFFSET(DATA!$AG36,0,($D$50*5)+3))</f>
        <v>-99</v>
      </c>
      <c r="O87" s="90">
        <f ca="1">IF($A87="","",OFFSET(DATA!$AG36,0,($D$50*5)+4))</f>
        <v>-99</v>
      </c>
      <c r="P87" s="90">
        <f t="shared" ca="1" si="4"/>
        <v>-99</v>
      </c>
      <c r="Q87" s="90" t="str">
        <f t="shared" ca="1" si="5"/>
        <v/>
      </c>
      <c r="R87" s="699">
        <f ca="1">IF($A87="","",IF(DATA!BF36="",-99,DATA!BF36))</f>
        <v>-99</v>
      </c>
      <c r="S87" s="90">
        <f ca="1">IF($A87="","",IF(DATA!BG36="",-99,DATA!BF36-DATA!BG36))</f>
        <v>-99</v>
      </c>
      <c r="T87" s="90">
        <f ca="1">IF($A87="","",DATA!BH36)</f>
        <v>-99</v>
      </c>
      <c r="U87" s="90">
        <f ca="1">IF($A87="","",OFFSET(DATA!BM36,0,$D$48))</f>
        <v>-99</v>
      </c>
      <c r="V87" s="90">
        <f t="shared" ca="1" si="6"/>
        <v>112</v>
      </c>
      <c r="W87" s="99">
        <f t="shared" ca="1" si="7"/>
        <v>111.99988120087001</v>
      </c>
      <c r="X87" s="112">
        <f t="shared" ca="1" si="8"/>
        <v>102.99988120178</v>
      </c>
      <c r="Y87" s="90">
        <f t="shared" ca="1" si="9"/>
        <v>123</v>
      </c>
      <c r="AA87" s="90" t="str">
        <f ca="1">IF($Y87="","",IF(OFFSET(C$55,'Intermediate Data'!$Y87,0)=-98,"Unknown",IF(OFFSET(C$55,'Intermediate Data'!$Y87,0)=-99,"N/A",OFFSET(C$55,'Intermediate Data'!$Y87,0))))</f>
        <v>Door bell</v>
      </c>
      <c r="AB87" s="90" t="str">
        <f ca="1">IF($Y87="","",IF(OFFSET(D$55,'Intermediate Data'!$Y87,0)=-98,"N/A",IF(OFFSET(D$55,'Intermediate Data'!$Y87,0)=-99,"N/A",OFFSET(D$55,'Intermediate Data'!$Y87,0))))</f>
        <v>N/A</v>
      </c>
      <c r="AC87" s="90" t="str">
        <f ca="1">IF($Y87="","",IF(OFFSET(E$55,'Intermediate Data'!$Y87,0)=-98,"N/A",IF(OFFSET(E$55,'Intermediate Data'!$Y87,0)=-99,"N/A",OFFSET(E$55,'Intermediate Data'!$Y87,0))))</f>
        <v>N/A</v>
      </c>
      <c r="AD87" s="90" t="str">
        <f ca="1">IF($Y87="","",IF(OFFSET(F$55,'Intermediate Data'!$Y87,0)=-98,"N/A",IF(OFFSET(F$55,'Intermediate Data'!$Y87,0)=-99,"N/A",OFFSET(F$55,'Intermediate Data'!$Y87,0))))</f>
        <v>N/A</v>
      </c>
      <c r="AE87" s="90" t="str">
        <f ca="1">IF($Y87="","",IF(OFFSET(G$55,'Intermediate Data'!$Y87,0)=-98,"N/A",IF(OFFSET(G$55,'Intermediate Data'!$Y87,0)=-99,"N/A",OFFSET(G$55,'Intermediate Data'!$Y87,0))))</f>
        <v>N/A</v>
      </c>
      <c r="AF87" s="90" t="str">
        <f ca="1">IF($Y87="","",IF(OFFSET(H$55,'Intermediate Data'!$Y87,0)=-98,"N/A",IF(OFFSET(H$55,'Intermediate Data'!$Y87,0)=-99,"N/A",OFFSET(H$55,'Intermediate Data'!$Y87,0))))</f>
        <v>N/A</v>
      </c>
      <c r="AG87" s="90" t="str">
        <f ca="1">IF($Y87="","",IF(OFFSET(I$55,'Intermediate Data'!$Y87,0)=-98,"N/A",IF(OFFSET(I$55,'Intermediate Data'!$Y87,0)=-99,"N/A",OFFSET(I$55,'Intermediate Data'!$Y87,0))))</f>
        <v>N/A</v>
      </c>
      <c r="AH87" s="90" t="str">
        <f ca="1">IF($Y87="","",IF(OFFSET(J$55,'Intermediate Data'!$Y87,0)=-98,"N/A",IF(OFFSET(J$55,'Intermediate Data'!$Y87,0)=-99,"N/A",OFFSET(J$55,'Intermediate Data'!$Y87,0))))</f>
        <v/>
      </c>
      <c r="AI87" s="90" t="str">
        <f ca="1">IF($Y87="","",IF(OFFSET(K$55,'Intermediate Data'!$Y87,0)=-98,"N/A",IF(OFFSET(K$55,'Intermediate Data'!$Y87,0)=-99,"N/A",OFFSET(K$55,'Intermediate Data'!$Y87,0))))</f>
        <v>N/A</v>
      </c>
      <c r="AJ87" s="90" t="str">
        <f ca="1">IF($Y87="","",IF(OFFSET(L$55,'Intermediate Data'!$Y87,0)=-98,"N/A",IF(OFFSET(L$55,'Intermediate Data'!$Y87,0)=-99,"N/A",OFFSET(L$55,'Intermediate Data'!$Y87,0))))</f>
        <v>N/A</v>
      </c>
      <c r="AK87" s="90" t="str">
        <f ca="1">IF($Y87="","",IF(OFFSET(M$55,'Intermediate Data'!$Y87,0)=-98,"N/A",IF(OFFSET(M$55,'Intermediate Data'!$Y87,0)=-99,"N/A",OFFSET(M$55,'Intermediate Data'!$Y87,0))))</f>
        <v>N/A</v>
      </c>
      <c r="AL87" s="90" t="str">
        <f ca="1">IF($Y87="","",IF(OFFSET(N$55,'Intermediate Data'!$Y87,0)=-98,"N/A",IF(OFFSET(N$55,'Intermediate Data'!$Y87,0)=-99,"N/A",OFFSET(N$55,'Intermediate Data'!$Y87,0))))</f>
        <v>N/A</v>
      </c>
      <c r="AM87" s="90" t="str">
        <f ca="1">IF($Y87="","",IF(OFFSET(O$55,'Intermediate Data'!$Y87,0)=-98,"N/A",IF(OFFSET(O$55,'Intermediate Data'!$Y87,0)=-99,"N/A",OFFSET(O$55,'Intermediate Data'!$Y87,0))))</f>
        <v>N/A</v>
      </c>
      <c r="AN87" s="90" t="str">
        <f ca="1">IF($Y87="","",IF(OFFSET(P$55,'Intermediate Data'!$Y87,0)=-98,"N/A",IF(OFFSET(P$55,'Intermediate Data'!$Y87,0)=-99,"N/A",OFFSET(P$55,'Intermediate Data'!$Y87,0))))</f>
        <v>N/A</v>
      </c>
      <c r="AO87" s="90" t="str">
        <f ca="1">IF($Y87="","",IF(OFFSET(Q$55,'Intermediate Data'!$Y87,0)=-98,"N/A",IF(OFFSET(Q$55,'Intermediate Data'!$Y87,0)=-99,"N/A",OFFSET(Q$55,'Intermediate Data'!$Y87,0))))</f>
        <v/>
      </c>
      <c r="AP87" s="697" t="str">
        <f ca="1">IF($Y87="","",IF(OFFSET(S$55,'Intermediate Data'!$Y87,0)=-98,"",IF(OFFSET(S$55,'Intermediate Data'!$Y87,0)=-99,"",OFFSET(S$55,'Intermediate Data'!$Y87,0))))</f>
        <v/>
      </c>
      <c r="AQ87" s="90" t="str">
        <f ca="1">IF($Y87="","",IF(OFFSET(T$55,'Intermediate Data'!$Y87,0)=-98,"Not published",IF(OFFSET(T$55,'Intermediate Data'!$Y87,0)=-99,"",OFFSET(T$55,'Intermediate Data'!$Y87,0))))</f>
        <v/>
      </c>
      <c r="AR87" s="90" t="str">
        <f ca="1">IF($Y87="","",IF(OFFSET(U$55,'Intermediate Data'!$Y87,0)=-98,"Unknown",IF(OFFSET(U$55,'Intermediate Data'!$Y87,0)=-99,"",OFFSET(U$55,'Intermediate Data'!$Y87,0))))</f>
        <v/>
      </c>
      <c r="AU87" s="112" t="str">
        <f ca="1">IF(AND(OFFSET(DATA!$F36,0,$AX$48)='Intermediate Data'!$AY$48,DATA!$E36="Tier 1"),IF(OR($AX$49=0,$AX$48=1),DATA!A36,IF(AND($AX$49=1,INDEX('Intermediate Data'!$AY$25:$AY$44,MATCH(DATA!$B36,'Intermediate Data'!$AX$25:$AX$44,0))=TRUE),DATA!A36,"")),"")</f>
        <v/>
      </c>
      <c r="AV87" s="112" t="str">
        <f ca="1">IF($AU87="","",DATA!B36)</f>
        <v/>
      </c>
      <c r="AW87" s="112" t="str">
        <f ca="1">IF(OR($AU87="",DATA!BI36=""),"",DATA!BI36)</f>
        <v/>
      </c>
      <c r="AX87" s="112" t="str">
        <f ca="1">IF(OR($AU87="",OFFSET(DATA!BK36,0,$AX$48)=""),"",OFFSET(DATA!BK36,0,$AX$48))</f>
        <v/>
      </c>
      <c r="AY87" s="112" t="str">
        <f ca="1">IF(OR($AU87="",OFFSET(DATA!BM36,0,$AX$48)=""),"",OFFSET(DATA!BM36,0,$AX$48))</f>
        <v/>
      </c>
      <c r="AZ87" s="112" t="str">
        <f ca="1">IF(OR($AU87="",OFFSET(DATA!BO36,0,'Intermediate Data'!$AX$48)=""),"",OFFSET(DATA!BO36,0,$AX$48))</f>
        <v/>
      </c>
      <c r="BA87" s="112" t="str">
        <f ca="1">IF(OR($AU87="",DATA!BQ36=""),"",DATA!BQ36)</f>
        <v/>
      </c>
      <c r="BB87" s="112" t="str">
        <f ca="1">IF($AU87="","",OFFSET(DATA!BS36,0,$AX$48))</f>
        <v/>
      </c>
      <c r="BC87" s="112" t="str">
        <f ca="1">IF($AU87="","",OFFSET(DATA!BU36,0,$AX$48))</f>
        <v/>
      </c>
      <c r="BD87" s="112" t="str">
        <f ca="1">IF($AU87="","",OFFSET(DATA!BW36,0,$AX$48))</f>
        <v/>
      </c>
      <c r="BE87" s="112" t="str">
        <f ca="1">IF($AU87="","",OFFSET(DATA!BY36,0,$AX$48))</f>
        <v/>
      </c>
      <c r="BF87" s="112" t="str">
        <f ca="1">IF($AU87="","",OFFSET(DATA!CA36,0,$AX$48))</f>
        <v/>
      </c>
      <c r="BG87" s="112" t="str">
        <f ca="1">IF($AU87="","",DATA!CC36)</f>
        <v/>
      </c>
      <c r="BH87" s="112" t="str">
        <f ca="1">IF($AU87="","",OFFSET(DATA!CE36,0,$AX$48))</f>
        <v/>
      </c>
      <c r="BI87" s="112" t="str">
        <f ca="1">IF($AU87="","",OFFSET(DATA!CG36,0,$AX$48))</f>
        <v/>
      </c>
      <c r="BJ87" s="112" t="str">
        <f ca="1">IF($AU87="","",OFFSET(DATA!CI36,0,$AX$48))</f>
        <v/>
      </c>
      <c r="BK87" s="112" t="str">
        <f ca="1">IF($AU87="","",OFFSET(DATA!CK36,0,$AX$48))</f>
        <v/>
      </c>
      <c r="BL87" s="112" t="str">
        <f ca="1">IF($AU87="","",OFFSET(DATA!CM36,0,$AX$48))</f>
        <v/>
      </c>
      <c r="BM87" s="112" t="str">
        <f ca="1">IF($AU87="","",DATA!BH36)</f>
        <v/>
      </c>
      <c r="BN87" s="112" t="str">
        <f ca="1">IF($AU87="","",DATA!DS36)</f>
        <v/>
      </c>
      <c r="BO87" s="112" t="str">
        <f ca="1">IF($AU87="","",DATA!DU36)</f>
        <v/>
      </c>
      <c r="BP87" s="112" t="str">
        <f ca="1">IF($AU87="","",DATA!DV36)</f>
        <v/>
      </c>
      <c r="BQ87" s="112" t="str">
        <f ca="1">IF($AU87="","",DATA!DX36)</f>
        <v/>
      </c>
      <c r="BR87" s="112" t="str">
        <f ca="1">IF($AU87="","",DATA!DZ36)</f>
        <v/>
      </c>
      <c r="BS87" s="171" t="str">
        <f ca="1">IF($AU87="","",DATA!EA36)</f>
        <v/>
      </c>
      <c r="BT87" s="171" t="str">
        <f ca="1">IF($AU87="","",DATA!EC36)</f>
        <v/>
      </c>
      <c r="BU87" s="171" t="str">
        <f ca="1">IF($AU87="","",DATA!EF36)</f>
        <v/>
      </c>
      <c r="BV87" s="113" t="str">
        <f t="shared" ca="1" si="10"/>
        <v/>
      </c>
      <c r="BW87" s="680" t="str">
        <f ca="1">IF(AU87="","",OFFSET(DATA!DC36,0,'Intermediate Data'!$AX$48))</f>
        <v/>
      </c>
      <c r="BX87" s="681" t="str">
        <f ca="1">IF($AU87="","",DATA!DG36)</f>
        <v/>
      </c>
      <c r="BY87" s="680" t="str">
        <f ca="1">IF($AU87="","",OFFSET(DATA!DE36,0,'Intermediate Data'!$AX$48))</f>
        <v/>
      </c>
      <c r="BZ87" s="681" t="str">
        <f ca="1">IF($AU87="","",DATA!DH36)</f>
        <v/>
      </c>
      <c r="CA87" s="90" t="str">
        <f t="shared" ca="1" si="11"/>
        <v/>
      </c>
      <c r="CB87" s="99" t="str">
        <f t="shared" ca="1" si="12"/>
        <v/>
      </c>
      <c r="CC87" s="90" t="str">
        <f t="shared" ca="1" si="13"/>
        <v/>
      </c>
      <c r="CD87" s="90" t="str">
        <f t="shared" ca="1" si="14"/>
        <v/>
      </c>
      <c r="CF87" s="90" t="str">
        <f ca="1">IF($CD87="","",IF(OFFSET(AV$55,'Intermediate Data'!$CD87,0)=-98,"Unknown",IF(OFFSET(AV$55,'Intermediate Data'!$CD87,0)=-99,"N/A",OFFSET(AV$55,'Intermediate Data'!$CD87,0))))</f>
        <v/>
      </c>
      <c r="CG87" s="90" t="str">
        <f ca="1">IF($CD87="","",IF(OFFSET(AW$55,'Intermediate Data'!$CD87,0)=-98,"",IF(OFFSET(AW$55,'Intermediate Data'!$CD87,0)=-99,"N/A",OFFSET(AW$55,'Intermediate Data'!$CD87,0))))</f>
        <v/>
      </c>
      <c r="CH87" s="90" t="str">
        <f ca="1">IF($CD87="","",IF(OFFSET(AX$55,'Intermediate Data'!$CD87,0)=-98,"Unknown",IF(OFFSET(AX$55,'Intermediate Data'!$CD87,0)=-99,"N/A",OFFSET(AX$55,'Intermediate Data'!$CD87,0))))</f>
        <v/>
      </c>
      <c r="CI87" s="125" t="str">
        <f ca="1">IF($CD87="","",IF(OFFSET(AY$55,'Intermediate Data'!$CD87,0)=-98,"Unknown",IF(OFFSET(AY$55,'Intermediate Data'!$CD87,0)=-99,"No spec",OFFSET(AY$55,'Intermediate Data'!$CD87,0))))</f>
        <v/>
      </c>
      <c r="CJ87" s="125" t="str">
        <f ca="1">IF($CD87="","",IF(OFFSET(AZ$55,'Intermediate Data'!$CD87,0)=-98,"Unknown",IF(OFFSET(AZ$55,'Intermediate Data'!$CD87,0)=-99,"N/A",OFFSET(AZ$55,'Intermediate Data'!$CD87,0))))</f>
        <v/>
      </c>
      <c r="CK87" s="90" t="str">
        <f ca="1">IF($CD87="","",IF(OFFSET(BA$55,'Intermediate Data'!$CD87,0)=-98,"Unknown",IF(OFFSET(BA$55,'Intermediate Data'!$CD87,0)=-99,"N/A",OFFSET(BA$55,'Intermediate Data'!$CD87,0))))</f>
        <v/>
      </c>
      <c r="CL87" s="90" t="str">
        <f ca="1">IF($CD87="","",IF(OFFSET(BB$55,'Intermediate Data'!$CD87,$AX$50)=-98,"Unknown",IF(OFFSET(BB$55,'Intermediate Data'!$CD87,$AX$50)="N/A","",OFFSET(BB$55,'Intermediate Data'!$CD87,$AX$50))))</f>
        <v/>
      </c>
      <c r="CM87" s="90" t="str">
        <f ca="1">IF($CD87="","",IF(OFFSET(BG$55,'Intermediate Data'!$CD87,0)="ET","ET",""))</f>
        <v/>
      </c>
      <c r="CN87" s="90" t="str">
        <f ca="1">IF($CD87="","",IF(OFFSET(BH$55,'Intermediate Data'!$CD87,$AX$50)=-98,"Unknown",IF(OFFSET(BH$55,'Intermediate Data'!$CD87,$AX$50)="N/A","",OFFSET(BH$55,'Intermediate Data'!$CD87,$AX$50))))</f>
        <v/>
      </c>
      <c r="CO87" s="90" t="str">
        <f ca="1">IF($CD87="","",IF(OFFSET(BM$55,'Intermediate Data'!$CD87,0)=-98,"Not published",IF(OFFSET(BM$55,'Intermediate Data'!$CD87,0)=-99,"No spec",OFFSET(BM$55,'Intermediate Data'!$CD87,0))))</f>
        <v/>
      </c>
      <c r="CP87" s="114" t="str">
        <f ca="1">IF($CD87="","",IF(OFFSET(BN$55,'Intermediate Data'!$CD87,0)=-98,"Unknown",IF(OFFSET(BN$55,'Intermediate Data'!$CD87,0)=-99,"N/A",OFFSET(BN$55,'Intermediate Data'!$CD87,0))))</f>
        <v/>
      </c>
      <c r="CQ87" s="114" t="str">
        <f ca="1">IF($CD87="","",IF(OFFSET(BO$55,'Intermediate Data'!$CD87,0)=-98,"Unknown",IF(OFFSET(BO$55,'Intermediate Data'!$CD87,0)=-99,"N/A",OFFSET(BO$55,'Intermediate Data'!$CD87,0))))</f>
        <v/>
      </c>
      <c r="CR87" s="114" t="str">
        <f ca="1">IF($CD87="","",IF(OFFSET(BP$55,'Intermediate Data'!$CD87,0)=-98,"Unknown",IF(OFFSET(BP$55,'Intermediate Data'!$CD87,0)=-99,"N/A",OFFSET(BP$55,'Intermediate Data'!$CD87,0))))</f>
        <v/>
      </c>
      <c r="CS87" s="114" t="str">
        <f ca="1">IF($CD87="","",IF(OFFSET(BQ$55,'Intermediate Data'!$CD87,0)=-98,"Unknown",IF(OFFSET(BQ$55,'Intermediate Data'!$CD87,0)=-99,"N/A",OFFSET(BQ$55,'Intermediate Data'!$CD87,0))))</f>
        <v/>
      </c>
      <c r="CT87" s="114" t="str">
        <f ca="1">IF($CD87="","",IF(OFFSET(BR$55,'Intermediate Data'!$CD87,0)=-98,"Unknown",IF(OFFSET(BR$55,'Intermediate Data'!$CD87,0)=-99,"N/A",OFFSET(BR$55,'Intermediate Data'!$CD87,0))))</f>
        <v/>
      </c>
      <c r="CU87" s="114" t="str">
        <f ca="1">IF($CD87="","",IF(OFFSET(BS$55,'Intermediate Data'!$CD87,0)=-98,"Unknown",IF(OFFSET(BS$55,'Intermediate Data'!$CD87,0)=-99,"N/A",OFFSET(BS$55,'Intermediate Data'!$CD87,0))))</f>
        <v/>
      </c>
      <c r="CV87" s="114" t="str">
        <f ca="1">IF($CD87="","",IF(OFFSET(BT$55,'Intermediate Data'!$CD87,0)=-98,"Unknown",IF(OFFSET(BT$55,'Intermediate Data'!$CD87,0)=-99,"N/A",OFFSET(BT$55,'Intermediate Data'!$CD87,0))))</f>
        <v/>
      </c>
      <c r="CW87" s="114" t="str">
        <f ca="1">IF($CD87="","",IF(OFFSET(BU$55,'Intermediate Data'!$CD87,0)=-98,"Unknown",IF(OFFSET(BU$55,'Intermediate Data'!$CD87,0)=-99,"N/A",OFFSET(BU$55,'Intermediate Data'!$CD87,0))))</f>
        <v/>
      </c>
      <c r="CX87" s="114" t="str">
        <f ca="1">IF($CD87="","",IF(OFFSET(BV$55,'Intermediate Data'!$CD87,0)=-98,"Unknown",IF(OFFSET(BV$55,'Intermediate Data'!$CD87,0)=-99,"N/A",OFFSET(BV$55,'Intermediate Data'!$CD87,0))))</f>
        <v/>
      </c>
      <c r="CY87" s="682" t="str">
        <f ca="1">IF($CD87="","",IF(OFFSET(BW$55,'Intermediate Data'!$CD87,0)=-98,"Unknown",IF(OFFSET(BW$55,'Intermediate Data'!$CD87,0)="N/A","",OFFSET(BW$55,'Intermediate Data'!$CD87,0))))</f>
        <v/>
      </c>
      <c r="CZ87" s="682" t="str">
        <f ca="1">IF($CD87="","",IF(OFFSET(BX$55,'Intermediate Data'!$CD87,0)=-98,"Unknown",IF(OFFSET(BX$55,'Intermediate Data'!$CD87,0)="N/A","",OFFSET(BX$55,'Intermediate Data'!$CD87,0))))</f>
        <v/>
      </c>
      <c r="DA87" s="682" t="str">
        <f ca="1">IF($CD87="","",IF(OFFSET(BY$55,'Intermediate Data'!$CD87,0)=-98,"Unknown",IF(OFFSET(BY$55,'Intermediate Data'!$CD87,0)="N/A","",OFFSET(BY$55,'Intermediate Data'!$CD87,0))))</f>
        <v/>
      </c>
      <c r="DB87" s="682" t="str">
        <f ca="1">IF($CD87="","",IF(OFFSET(BZ$55,'Intermediate Data'!$CD87,0)=-98,"Unknown",IF(OFFSET(BZ$55,'Intermediate Data'!$CD87,0)="N/A","",OFFSET(BZ$55,'Intermediate Data'!$CD87,0))))</f>
        <v/>
      </c>
    </row>
    <row r="88" spans="1:106" x14ac:dyDescent="0.2">
      <c r="A88" s="90">
        <f ca="1">IF(OFFSET(DATA!F37,0,$D$48)='Intermediate Data'!$E$48,IF(OR($E$49=$C$27,$E$48=$B$4),DATA!A37,IF($G$49=DATA!D37,DATA!A37,"")),"")</f>
        <v>33</v>
      </c>
      <c r="B88" s="90">
        <f ca="1">IF($A88="","",DATA!EH37)</f>
        <v>101</v>
      </c>
      <c r="C88" s="90" t="str">
        <f ca="1">IF($A88="","",DATA!B37)</f>
        <v>Electric can opener</v>
      </c>
      <c r="D88" s="90">
        <f ca="1">IF($A88="","",OFFSET(DATA!$H37,0,($D$50*5)))</f>
        <v>-99</v>
      </c>
      <c r="E88" s="90">
        <f ca="1">IF($A88="","",OFFSET(DATA!$H37,0,($D$50*5)+1))</f>
        <v>-99</v>
      </c>
      <c r="F88" s="90">
        <f ca="1">IF($A88="","",OFFSET(DATA!$H37,0,($D$50*5)+2))</f>
        <v>-99</v>
      </c>
      <c r="G88" s="90">
        <f ca="1">IF($A88="","",OFFSET(DATA!$H37,0,($D$50*5)+3))</f>
        <v>-99</v>
      </c>
      <c r="H88" s="90">
        <f ca="1">IF($A88="","",OFFSET(DATA!$H37,0,($D$50*5)+4))</f>
        <v>-99</v>
      </c>
      <c r="I88" s="90">
        <f t="shared" ca="1" si="2"/>
        <v>-99</v>
      </c>
      <c r="J88" s="90" t="str">
        <f t="shared" ca="1" si="3"/>
        <v/>
      </c>
      <c r="K88" s="90">
        <f ca="1">IF($A88="","",OFFSET(DATA!$AG37,0,($D$50*5)))</f>
        <v>-99</v>
      </c>
      <c r="L88" s="90">
        <f ca="1">IF($A88="","",OFFSET(DATA!$AG37,0,($D$50*5)+1))</f>
        <v>-99</v>
      </c>
      <c r="M88" s="90">
        <f ca="1">IF($A88="","",OFFSET(DATA!$AG37,0,($D$50*5)+2))</f>
        <v>-99</v>
      </c>
      <c r="N88" s="90">
        <f ca="1">IF($A88="","",OFFSET(DATA!$AG37,0,($D$50*5)+3))</f>
        <v>-99</v>
      </c>
      <c r="O88" s="90">
        <f ca="1">IF($A88="","",OFFSET(DATA!$AG37,0,($D$50*5)+4))</f>
        <v>-99</v>
      </c>
      <c r="P88" s="90">
        <f t="shared" ca="1" si="4"/>
        <v>-99</v>
      </c>
      <c r="Q88" s="90" t="str">
        <f t="shared" ca="1" si="5"/>
        <v/>
      </c>
      <c r="R88" s="699">
        <f ca="1">IF($A88="","",IF(DATA!BF37="",-99,DATA!BF37))</f>
        <v>-99</v>
      </c>
      <c r="S88" s="90">
        <f ca="1">IF($A88="","",IF(DATA!BG37="",-99,DATA!BF37-DATA!BG37))</f>
        <v>-99</v>
      </c>
      <c r="T88" s="90">
        <f ca="1">IF($A88="","",DATA!BH37)</f>
        <v>-99</v>
      </c>
      <c r="U88" s="90">
        <f ca="1">IF($A88="","",OFFSET(DATA!BM37,0,$D$48))</f>
        <v>-99</v>
      </c>
      <c r="V88" s="90">
        <f t="shared" ref="V88:V119" ca="1" si="15">OFFSET(B88,0,MATCH($E$51,$B$54:$U$54,0)-1)</f>
        <v>101</v>
      </c>
      <c r="W88" s="99">
        <f t="shared" ca="1" si="7"/>
        <v>100.99988120088</v>
      </c>
      <c r="X88" s="112">
        <f t="shared" ca="1" si="8"/>
        <v>101.9999307707391</v>
      </c>
      <c r="Y88" s="90">
        <f t="shared" ca="1" si="9"/>
        <v>105</v>
      </c>
      <c r="AA88" s="90" t="str">
        <f ca="1">IF($Y88="","",IF(OFFSET(C$55,'Intermediate Data'!$Y88,0)=-98,"Unknown",IF(OFFSET(C$55,'Intermediate Data'!$Y88,0)=-99,"N/A",OFFSET(C$55,'Intermediate Data'!$Y88,0))))</f>
        <v>Electric blanket</v>
      </c>
      <c r="AB88" s="90" t="str">
        <f ca="1">IF($Y88="","",IF(OFFSET(D$55,'Intermediate Data'!$Y88,0)=-98,"N/A",IF(OFFSET(D$55,'Intermediate Data'!$Y88,0)=-99,"N/A",OFFSET(D$55,'Intermediate Data'!$Y88,0))))</f>
        <v>N/A</v>
      </c>
      <c r="AC88" s="90">
        <f ca="1">IF($Y88="","",IF(OFFSET(E$55,'Intermediate Data'!$Y88,0)=-98,"N/A",IF(OFFSET(E$55,'Intermediate Data'!$Y88,0)=-99,"N/A",OFFSET(E$55,'Intermediate Data'!$Y88,0))))</f>
        <v>0.14215189523905944</v>
      </c>
      <c r="AD88" s="90" t="str">
        <f ca="1">IF($Y88="","",IF(OFFSET(F$55,'Intermediate Data'!$Y88,0)=-98,"N/A",IF(OFFSET(F$55,'Intermediate Data'!$Y88,0)=-99,"N/A",OFFSET(F$55,'Intermediate Data'!$Y88,0))))</f>
        <v>N/A</v>
      </c>
      <c r="AE88" s="90">
        <f ca="1">IF($Y88="","",IF(OFFSET(G$55,'Intermediate Data'!$Y88,0)=-98,"N/A",IF(OFFSET(G$55,'Intermediate Data'!$Y88,0)=-99,"N/A",OFFSET(G$55,'Intermediate Data'!$Y88,0))))</f>
        <v>0.11783335477774069</v>
      </c>
      <c r="AF88" s="90" t="str">
        <f ca="1">IF($Y88="","",IF(OFFSET(H$55,'Intermediate Data'!$Y88,0)=-98,"N/A",IF(OFFSET(H$55,'Intermediate Data'!$Y88,0)=-99,"N/A",OFFSET(H$55,'Intermediate Data'!$Y88,0))))</f>
        <v>N/A</v>
      </c>
      <c r="AG88" s="90">
        <f ca="1">IF($Y88="","",IF(OFFSET(I$55,'Intermediate Data'!$Y88,0)=-98,"N/A",IF(OFFSET(I$55,'Intermediate Data'!$Y88,0)=-99,"N/A",OFFSET(I$55,'Intermediate Data'!$Y88,0))))</f>
        <v>0.11783335477774069</v>
      </c>
      <c r="AH88" s="90" t="str">
        <f ca="1">IF($Y88="","",IF(OFFSET(J$55,'Intermediate Data'!$Y88,0)=-98,"N/A",IF(OFFSET(J$55,'Intermediate Data'!$Y88,0)=-99,"N/A",OFFSET(J$55,'Intermediate Data'!$Y88,0))))</f>
        <v>RASS</v>
      </c>
      <c r="AI88" s="90" t="str">
        <f ca="1">IF($Y88="","",IF(OFFSET(K$55,'Intermediate Data'!$Y88,0)=-98,"N/A",IF(OFFSET(K$55,'Intermediate Data'!$Y88,0)=-99,"N/A",OFFSET(K$55,'Intermediate Data'!$Y88,0))))</f>
        <v>N/A</v>
      </c>
      <c r="AJ88" s="90">
        <f ca="1">IF($Y88="","",IF(OFFSET(L$55,'Intermediate Data'!$Y88,0)=-98,"N/A",IF(OFFSET(L$55,'Intermediate Data'!$Y88,0)=-99,"N/A",OFFSET(L$55,'Intermediate Data'!$Y88,0))))</f>
        <v>0.17665676781019246</v>
      </c>
      <c r="AK88" s="90" t="str">
        <f ca="1">IF($Y88="","",IF(OFFSET(M$55,'Intermediate Data'!$Y88,0)=-98,"N/A",IF(OFFSET(M$55,'Intermediate Data'!$Y88,0)=-99,"N/A",OFFSET(M$55,'Intermediate Data'!$Y88,0))))</f>
        <v>N/A</v>
      </c>
      <c r="AL88" s="90">
        <f ca="1">IF($Y88="","",IF(OFFSET(N$55,'Intermediate Data'!$Y88,0)=-98,"N/A",IF(OFFSET(N$55,'Intermediate Data'!$Y88,0)=-99,"N/A",OFFSET(N$55,'Intermediate Data'!$Y88,0))))</f>
        <v>0.13691565333293473</v>
      </c>
      <c r="AM88" s="90" t="str">
        <f ca="1">IF($Y88="","",IF(OFFSET(O$55,'Intermediate Data'!$Y88,0)=-98,"N/A",IF(OFFSET(O$55,'Intermediate Data'!$Y88,0)=-99,"N/A",OFFSET(O$55,'Intermediate Data'!$Y88,0))))</f>
        <v>N/A</v>
      </c>
      <c r="AN88" s="90">
        <f ca="1">IF($Y88="","",IF(OFFSET(P$55,'Intermediate Data'!$Y88,0)=-98,"N/A",IF(OFFSET(P$55,'Intermediate Data'!$Y88,0)=-99,"N/A",OFFSET(P$55,'Intermediate Data'!$Y88,0))))</f>
        <v>0.13691565333293473</v>
      </c>
      <c r="AO88" s="90" t="str">
        <f ca="1">IF($Y88="","",IF(OFFSET(Q$55,'Intermediate Data'!$Y88,0)=-98,"N/A",IF(OFFSET(Q$55,'Intermediate Data'!$Y88,0)=-99,"N/A",OFFSET(Q$55,'Intermediate Data'!$Y88,0))))</f>
        <v>RASS</v>
      </c>
      <c r="AP88" s="697" t="str">
        <f ca="1">IF($Y88="","",IF(OFFSET(S$55,'Intermediate Data'!$Y88,0)=-98,"",IF(OFFSET(S$55,'Intermediate Data'!$Y88,0)=-99,"",OFFSET(S$55,'Intermediate Data'!$Y88,0))))</f>
        <v/>
      </c>
      <c r="AQ88" s="90" t="str">
        <f ca="1">IF($Y88="","",IF(OFFSET(T$55,'Intermediate Data'!$Y88,0)=-98,"Not published",IF(OFFSET(T$55,'Intermediate Data'!$Y88,0)=-99,"",OFFSET(T$55,'Intermediate Data'!$Y88,0))))</f>
        <v/>
      </c>
      <c r="AR88" s="90" t="str">
        <f ca="1">IF($Y88="","",IF(OFFSET(U$55,'Intermediate Data'!$Y88,0)=-98,"Unknown",IF(OFFSET(U$55,'Intermediate Data'!$Y88,0)=-99,"",OFFSET(U$55,'Intermediate Data'!$Y88,0))))</f>
        <v/>
      </c>
      <c r="AU88" s="112" t="str">
        <f ca="1">IF(AND(OFFSET(DATA!$F37,0,$AX$48)='Intermediate Data'!$AY$48,DATA!$E37="Tier 1"),IF(OR($AX$49=0,$AX$48=1),DATA!A37,IF(AND($AX$49=1,INDEX('Intermediate Data'!$AY$25:$AY$44,MATCH(DATA!$B37,'Intermediate Data'!$AX$25:$AX$44,0))=TRUE),DATA!A37,"")),"")</f>
        <v/>
      </c>
      <c r="AV88" s="112" t="str">
        <f ca="1">IF($AU88="","",DATA!B37)</f>
        <v/>
      </c>
      <c r="AW88" s="112" t="str">
        <f ca="1">IF(OR($AU88="",DATA!BI37=""),"",DATA!BI37)</f>
        <v/>
      </c>
      <c r="AX88" s="112" t="str">
        <f ca="1">IF(OR($AU88="",OFFSET(DATA!BK37,0,$AX$48)=""),"",OFFSET(DATA!BK37,0,$AX$48))</f>
        <v/>
      </c>
      <c r="AY88" s="112" t="str">
        <f ca="1">IF(OR($AU88="",OFFSET(DATA!BM37,0,$AX$48)=""),"",OFFSET(DATA!BM37,0,$AX$48))</f>
        <v/>
      </c>
      <c r="AZ88" s="112" t="str">
        <f ca="1">IF(OR($AU88="",OFFSET(DATA!BO37,0,'Intermediate Data'!$AX$48)=""),"",OFFSET(DATA!BO37,0,$AX$48))</f>
        <v/>
      </c>
      <c r="BA88" s="112" t="str">
        <f ca="1">IF(OR($AU88="",DATA!BQ37=""),"",DATA!BQ37)</f>
        <v/>
      </c>
      <c r="BB88" s="112" t="str">
        <f ca="1">IF($AU88="","",OFFSET(DATA!BS37,0,$AX$48))</f>
        <v/>
      </c>
      <c r="BC88" s="112" t="str">
        <f ca="1">IF($AU88="","",OFFSET(DATA!BU37,0,$AX$48))</f>
        <v/>
      </c>
      <c r="BD88" s="112" t="str">
        <f ca="1">IF($AU88="","",OFFSET(DATA!BW37,0,$AX$48))</f>
        <v/>
      </c>
      <c r="BE88" s="112" t="str">
        <f ca="1">IF($AU88="","",OFFSET(DATA!BY37,0,$AX$48))</f>
        <v/>
      </c>
      <c r="BF88" s="112" t="str">
        <f ca="1">IF($AU88="","",OFFSET(DATA!CA37,0,$AX$48))</f>
        <v/>
      </c>
      <c r="BG88" s="112" t="str">
        <f ca="1">IF($AU88="","",DATA!CC37)</f>
        <v/>
      </c>
      <c r="BH88" s="112" t="str">
        <f ca="1">IF($AU88="","",OFFSET(DATA!CE37,0,$AX$48))</f>
        <v/>
      </c>
      <c r="BI88" s="112" t="str">
        <f ca="1">IF($AU88="","",OFFSET(DATA!CG37,0,$AX$48))</f>
        <v/>
      </c>
      <c r="BJ88" s="112" t="str">
        <f ca="1">IF($AU88="","",OFFSET(DATA!CI37,0,$AX$48))</f>
        <v/>
      </c>
      <c r="BK88" s="112" t="str">
        <f ca="1">IF($AU88="","",OFFSET(DATA!CK37,0,$AX$48))</f>
        <v/>
      </c>
      <c r="BL88" s="112" t="str">
        <f ca="1">IF($AU88="","",OFFSET(DATA!CM37,0,$AX$48))</f>
        <v/>
      </c>
      <c r="BM88" s="112" t="str">
        <f ca="1">IF($AU88="","",DATA!BH37)</f>
        <v/>
      </c>
      <c r="BN88" s="112" t="str">
        <f ca="1">IF($AU88="","",DATA!DS37)</f>
        <v/>
      </c>
      <c r="BO88" s="112" t="str">
        <f ca="1">IF($AU88="","",DATA!DU37)</f>
        <v/>
      </c>
      <c r="BP88" s="112" t="str">
        <f ca="1">IF($AU88="","",DATA!DV37)</f>
        <v/>
      </c>
      <c r="BQ88" s="112" t="str">
        <f ca="1">IF($AU88="","",DATA!DX37)</f>
        <v/>
      </c>
      <c r="BR88" s="112" t="str">
        <f ca="1">IF($AU88="","",DATA!DZ37)</f>
        <v/>
      </c>
      <c r="BS88" s="171" t="str">
        <f ca="1">IF($AU88="","",DATA!EA37)</f>
        <v/>
      </c>
      <c r="BT88" s="171" t="str">
        <f ca="1">IF($AU88="","",DATA!EC37)</f>
        <v/>
      </c>
      <c r="BU88" s="171" t="str">
        <f ca="1">IF($AU88="","",DATA!EF37)</f>
        <v/>
      </c>
      <c r="BV88" s="113" t="str">
        <f t="shared" ca="1" si="10"/>
        <v/>
      </c>
      <c r="BW88" s="680" t="str">
        <f ca="1">IF(AU88="","",OFFSET(DATA!DC37,0,'Intermediate Data'!$AX$48))</f>
        <v/>
      </c>
      <c r="BX88" s="681" t="str">
        <f ca="1">IF($AU88="","",DATA!DG37)</f>
        <v/>
      </c>
      <c r="BY88" s="680" t="str">
        <f ca="1">IF($AU88="","",OFFSET(DATA!DE37,0,'Intermediate Data'!$AX$48))</f>
        <v/>
      </c>
      <c r="BZ88" s="681" t="str">
        <f ca="1">IF($AU88="","",DATA!DH37)</f>
        <v/>
      </c>
      <c r="CA88" s="90" t="str">
        <f t="shared" ca="1" si="11"/>
        <v/>
      </c>
      <c r="CB88" s="99" t="str">
        <f t="shared" ca="1" si="12"/>
        <v/>
      </c>
      <c r="CC88" s="90" t="str">
        <f t="shared" ca="1" si="13"/>
        <v/>
      </c>
      <c r="CD88" s="90" t="str">
        <f t="shared" ca="1" si="14"/>
        <v/>
      </c>
      <c r="CF88" s="90" t="str">
        <f ca="1">IF($CD88="","",IF(OFFSET(AV$55,'Intermediate Data'!$CD88,0)=-98,"Unknown",IF(OFFSET(AV$55,'Intermediate Data'!$CD88,0)=-99,"N/A",OFFSET(AV$55,'Intermediate Data'!$CD88,0))))</f>
        <v/>
      </c>
      <c r="CG88" s="90" t="str">
        <f ca="1">IF($CD88="","",IF(OFFSET(AW$55,'Intermediate Data'!$CD88,0)=-98,"",IF(OFFSET(AW$55,'Intermediate Data'!$CD88,0)=-99,"N/A",OFFSET(AW$55,'Intermediate Data'!$CD88,0))))</f>
        <v/>
      </c>
      <c r="CH88" s="90" t="str">
        <f ca="1">IF($CD88="","",IF(OFFSET(AX$55,'Intermediate Data'!$CD88,0)=-98,"Unknown",IF(OFFSET(AX$55,'Intermediate Data'!$CD88,0)=-99,"N/A",OFFSET(AX$55,'Intermediate Data'!$CD88,0))))</f>
        <v/>
      </c>
      <c r="CI88" s="125" t="str">
        <f ca="1">IF($CD88="","",IF(OFFSET(AY$55,'Intermediate Data'!$CD88,0)=-98,"Unknown",IF(OFFSET(AY$55,'Intermediate Data'!$CD88,0)=-99,"No spec",OFFSET(AY$55,'Intermediate Data'!$CD88,0))))</f>
        <v/>
      </c>
      <c r="CJ88" s="125" t="str">
        <f ca="1">IF($CD88="","",IF(OFFSET(AZ$55,'Intermediate Data'!$CD88,0)=-98,"Unknown",IF(OFFSET(AZ$55,'Intermediate Data'!$CD88,0)=-99,"N/A",OFFSET(AZ$55,'Intermediate Data'!$CD88,0))))</f>
        <v/>
      </c>
      <c r="CK88" s="90" t="str">
        <f ca="1">IF($CD88="","",IF(OFFSET(BA$55,'Intermediate Data'!$CD88,0)=-98,"Unknown",IF(OFFSET(BA$55,'Intermediate Data'!$CD88,0)=-99,"N/A",OFFSET(BA$55,'Intermediate Data'!$CD88,0))))</f>
        <v/>
      </c>
      <c r="CL88" s="90" t="str">
        <f ca="1">IF($CD88="","",IF(OFFSET(BB$55,'Intermediate Data'!$CD88,$AX$50)=-98,"Unknown",IF(OFFSET(BB$55,'Intermediate Data'!$CD88,$AX$50)="N/A","",OFFSET(BB$55,'Intermediate Data'!$CD88,$AX$50))))</f>
        <v/>
      </c>
      <c r="CM88" s="90" t="str">
        <f ca="1">IF($CD88="","",IF(OFFSET(BG$55,'Intermediate Data'!$CD88,0)="ET","ET",""))</f>
        <v/>
      </c>
      <c r="CN88" s="90" t="str">
        <f ca="1">IF($CD88="","",IF(OFFSET(BH$55,'Intermediate Data'!$CD88,$AX$50)=-98,"Unknown",IF(OFFSET(BH$55,'Intermediate Data'!$CD88,$AX$50)="N/A","",OFFSET(BH$55,'Intermediate Data'!$CD88,$AX$50))))</f>
        <v/>
      </c>
      <c r="CO88" s="90" t="str">
        <f ca="1">IF($CD88="","",IF(OFFSET(BM$55,'Intermediate Data'!$CD88,0)=-98,"Not published",IF(OFFSET(BM$55,'Intermediate Data'!$CD88,0)=-99,"No spec",OFFSET(BM$55,'Intermediate Data'!$CD88,0))))</f>
        <v/>
      </c>
      <c r="CP88" s="114" t="str">
        <f ca="1">IF($CD88="","",IF(OFFSET(BN$55,'Intermediate Data'!$CD88,0)=-98,"Unknown",IF(OFFSET(BN$55,'Intermediate Data'!$CD88,0)=-99,"N/A",OFFSET(BN$55,'Intermediate Data'!$CD88,0))))</f>
        <v/>
      </c>
      <c r="CQ88" s="114" t="str">
        <f ca="1">IF($CD88="","",IF(OFFSET(BO$55,'Intermediate Data'!$CD88,0)=-98,"Unknown",IF(OFFSET(BO$55,'Intermediate Data'!$CD88,0)=-99,"N/A",OFFSET(BO$55,'Intermediate Data'!$CD88,0))))</f>
        <v/>
      </c>
      <c r="CR88" s="114" t="str">
        <f ca="1">IF($CD88="","",IF(OFFSET(BP$55,'Intermediate Data'!$CD88,0)=-98,"Unknown",IF(OFFSET(BP$55,'Intermediate Data'!$CD88,0)=-99,"N/A",OFFSET(BP$55,'Intermediate Data'!$CD88,0))))</f>
        <v/>
      </c>
      <c r="CS88" s="114" t="str">
        <f ca="1">IF($CD88="","",IF(OFFSET(BQ$55,'Intermediate Data'!$CD88,0)=-98,"Unknown",IF(OFFSET(BQ$55,'Intermediate Data'!$CD88,0)=-99,"N/A",OFFSET(BQ$55,'Intermediate Data'!$CD88,0))))</f>
        <v/>
      </c>
      <c r="CT88" s="114" t="str">
        <f ca="1">IF($CD88="","",IF(OFFSET(BR$55,'Intermediate Data'!$CD88,0)=-98,"Unknown",IF(OFFSET(BR$55,'Intermediate Data'!$CD88,0)=-99,"N/A",OFFSET(BR$55,'Intermediate Data'!$CD88,0))))</f>
        <v/>
      </c>
      <c r="CU88" s="114" t="str">
        <f ca="1">IF($CD88="","",IF(OFFSET(BS$55,'Intermediate Data'!$CD88,0)=-98,"Unknown",IF(OFFSET(BS$55,'Intermediate Data'!$CD88,0)=-99,"N/A",OFFSET(BS$55,'Intermediate Data'!$CD88,0))))</f>
        <v/>
      </c>
      <c r="CV88" s="114" t="str">
        <f ca="1">IF($CD88="","",IF(OFFSET(BT$55,'Intermediate Data'!$CD88,0)=-98,"Unknown",IF(OFFSET(BT$55,'Intermediate Data'!$CD88,0)=-99,"N/A",OFFSET(BT$55,'Intermediate Data'!$CD88,0))))</f>
        <v/>
      </c>
      <c r="CW88" s="114" t="str">
        <f ca="1">IF($CD88="","",IF(OFFSET(BU$55,'Intermediate Data'!$CD88,0)=-98,"Unknown",IF(OFFSET(BU$55,'Intermediate Data'!$CD88,0)=-99,"N/A",OFFSET(BU$55,'Intermediate Data'!$CD88,0))))</f>
        <v/>
      </c>
      <c r="CX88" s="114" t="str">
        <f ca="1">IF($CD88="","",IF(OFFSET(BV$55,'Intermediate Data'!$CD88,0)=-98,"Unknown",IF(OFFSET(BV$55,'Intermediate Data'!$CD88,0)=-99,"N/A",OFFSET(BV$55,'Intermediate Data'!$CD88,0))))</f>
        <v/>
      </c>
      <c r="CY88" s="682" t="str">
        <f ca="1">IF($CD88="","",IF(OFFSET(BW$55,'Intermediate Data'!$CD88,0)=-98,"Unknown",IF(OFFSET(BW$55,'Intermediate Data'!$CD88,0)="N/A","",OFFSET(BW$55,'Intermediate Data'!$CD88,0))))</f>
        <v/>
      </c>
      <c r="CZ88" s="682" t="str">
        <f ca="1">IF($CD88="","",IF(OFFSET(BX$55,'Intermediate Data'!$CD88,0)=-98,"Unknown",IF(OFFSET(BX$55,'Intermediate Data'!$CD88,0)="N/A","",OFFSET(BX$55,'Intermediate Data'!$CD88,0))))</f>
        <v/>
      </c>
      <c r="DA88" s="682" t="str">
        <f ca="1">IF($CD88="","",IF(OFFSET(BY$55,'Intermediate Data'!$CD88,0)=-98,"Unknown",IF(OFFSET(BY$55,'Intermediate Data'!$CD88,0)="N/A","",OFFSET(BY$55,'Intermediate Data'!$CD88,0))))</f>
        <v/>
      </c>
      <c r="DB88" s="682" t="str">
        <f ca="1">IF($CD88="","",IF(OFFSET(BZ$55,'Intermediate Data'!$CD88,0)=-98,"Unknown",IF(OFFSET(BZ$55,'Intermediate Data'!$CD88,0)="N/A","",OFFSET(BZ$55,'Intermediate Data'!$CD88,0))))</f>
        <v/>
      </c>
    </row>
    <row r="89" spans="1:106" x14ac:dyDescent="0.2">
      <c r="A89" s="90">
        <f ca="1">IF(OFFSET(DATA!F38,0,$D$48)='Intermediate Data'!$E$48,IF(OR($E$49=$C$27,$E$48=$B$4),DATA!A38,IF($G$49=DATA!D38,DATA!A38,"")),"")</f>
        <v>34</v>
      </c>
      <c r="B89" s="90">
        <f ca="1">IF($A89="","",DATA!EH38)</f>
        <v>98</v>
      </c>
      <c r="C89" s="90" t="str">
        <f ca="1">IF($A89="","",DATA!B38)</f>
        <v>Electric grill</v>
      </c>
      <c r="D89" s="90">
        <f ca="1">IF($A89="","",OFFSET(DATA!$H38,0,($D$50*5)))</f>
        <v>-99</v>
      </c>
      <c r="E89" s="90">
        <f ca="1">IF($A89="","",OFFSET(DATA!$H38,0,($D$50*5)+1))</f>
        <v>-99</v>
      </c>
      <c r="F89" s="90">
        <f ca="1">IF($A89="","",OFFSET(DATA!$H38,0,($D$50*5)+2))</f>
        <v>-99</v>
      </c>
      <c r="G89" s="90">
        <f ca="1">IF($A89="","",OFFSET(DATA!$H38,0,($D$50*5)+3))</f>
        <v>-99</v>
      </c>
      <c r="H89" s="90">
        <f ca="1">IF($A89="","",OFFSET(DATA!$H38,0,($D$50*5)+4))</f>
        <v>-99</v>
      </c>
      <c r="I89" s="90">
        <f t="shared" ca="1" si="2"/>
        <v>-99</v>
      </c>
      <c r="J89" s="90" t="str">
        <f t="shared" ca="1" si="3"/>
        <v/>
      </c>
      <c r="K89" s="90">
        <f ca="1">IF($A89="","",OFFSET(DATA!$AG38,0,($D$50*5)))</f>
        <v>-99</v>
      </c>
      <c r="L89" s="90">
        <f ca="1">IF($A89="","",OFFSET(DATA!$AG38,0,($D$50*5)+1))</f>
        <v>-99</v>
      </c>
      <c r="M89" s="90">
        <f ca="1">IF($A89="","",OFFSET(DATA!$AG38,0,($D$50*5)+2))</f>
        <v>-99</v>
      </c>
      <c r="N89" s="90">
        <f ca="1">IF($A89="","",OFFSET(DATA!$AG38,0,($D$50*5)+3))</f>
        <v>-99</v>
      </c>
      <c r="O89" s="90">
        <f ca="1">IF($A89="","",OFFSET(DATA!$AG38,0,($D$50*5)+4))</f>
        <v>-99</v>
      </c>
      <c r="P89" s="90">
        <f t="shared" ca="1" si="4"/>
        <v>-99</v>
      </c>
      <c r="Q89" s="90" t="str">
        <f t="shared" ca="1" si="5"/>
        <v/>
      </c>
      <c r="R89" s="699">
        <f ca="1">IF($A89="","",IF(DATA!BF38="",-99,DATA!BF38))</f>
        <v>-99</v>
      </c>
      <c r="S89" s="90">
        <f ca="1">IF($A89="","",IF(DATA!BG38="",-99,DATA!BF38-DATA!BG38))</f>
        <v>-99</v>
      </c>
      <c r="T89" s="90">
        <f ca="1">IF($A89="","",DATA!BH38)</f>
        <v>-99</v>
      </c>
      <c r="U89" s="90">
        <f ca="1">IF($A89="","",OFFSET(DATA!BM38,0,$D$48))</f>
        <v>-99</v>
      </c>
      <c r="V89" s="90">
        <f t="shared" ca="1" si="15"/>
        <v>98</v>
      </c>
      <c r="W89" s="99">
        <f t="shared" ca="1" si="7"/>
        <v>97.999881200890002</v>
      </c>
      <c r="X89" s="112">
        <f t="shared" ca="1" si="8"/>
        <v>100.99988120088</v>
      </c>
      <c r="Y89" s="90">
        <f t="shared" ca="1" si="9"/>
        <v>33</v>
      </c>
      <c r="AA89" s="90" t="str">
        <f ca="1">IF($Y89="","",IF(OFFSET(C$55,'Intermediate Data'!$Y89,0)=-98,"Unknown",IF(OFFSET(C$55,'Intermediate Data'!$Y89,0)=-99,"N/A",OFFSET(C$55,'Intermediate Data'!$Y89,0))))</f>
        <v>Electric can opener</v>
      </c>
      <c r="AB89" s="90" t="str">
        <f ca="1">IF($Y89="","",IF(OFFSET(D$55,'Intermediate Data'!$Y89,0)=-98,"N/A",IF(OFFSET(D$55,'Intermediate Data'!$Y89,0)=-99,"N/A",OFFSET(D$55,'Intermediate Data'!$Y89,0))))</f>
        <v>N/A</v>
      </c>
      <c r="AC89" s="90" t="str">
        <f ca="1">IF($Y89="","",IF(OFFSET(E$55,'Intermediate Data'!$Y89,0)=-98,"N/A",IF(OFFSET(E$55,'Intermediate Data'!$Y89,0)=-99,"N/A",OFFSET(E$55,'Intermediate Data'!$Y89,0))))</f>
        <v>N/A</v>
      </c>
      <c r="AD89" s="90" t="str">
        <f ca="1">IF($Y89="","",IF(OFFSET(F$55,'Intermediate Data'!$Y89,0)=-98,"N/A",IF(OFFSET(F$55,'Intermediate Data'!$Y89,0)=-99,"N/A",OFFSET(F$55,'Intermediate Data'!$Y89,0))))</f>
        <v>N/A</v>
      </c>
      <c r="AE89" s="90" t="str">
        <f ca="1">IF($Y89="","",IF(OFFSET(G$55,'Intermediate Data'!$Y89,0)=-98,"N/A",IF(OFFSET(G$55,'Intermediate Data'!$Y89,0)=-99,"N/A",OFFSET(G$55,'Intermediate Data'!$Y89,0))))</f>
        <v>N/A</v>
      </c>
      <c r="AF89" s="90" t="str">
        <f ca="1">IF($Y89="","",IF(OFFSET(H$55,'Intermediate Data'!$Y89,0)=-98,"N/A",IF(OFFSET(H$55,'Intermediate Data'!$Y89,0)=-99,"N/A",OFFSET(H$55,'Intermediate Data'!$Y89,0))))</f>
        <v>N/A</v>
      </c>
      <c r="AG89" s="90" t="str">
        <f ca="1">IF($Y89="","",IF(OFFSET(I$55,'Intermediate Data'!$Y89,0)=-98,"N/A",IF(OFFSET(I$55,'Intermediate Data'!$Y89,0)=-99,"N/A",OFFSET(I$55,'Intermediate Data'!$Y89,0))))</f>
        <v>N/A</v>
      </c>
      <c r="AH89" s="90" t="str">
        <f ca="1">IF($Y89="","",IF(OFFSET(J$55,'Intermediate Data'!$Y89,0)=-98,"N/A",IF(OFFSET(J$55,'Intermediate Data'!$Y89,0)=-99,"N/A",OFFSET(J$55,'Intermediate Data'!$Y89,0))))</f>
        <v/>
      </c>
      <c r="AI89" s="90" t="str">
        <f ca="1">IF($Y89="","",IF(OFFSET(K$55,'Intermediate Data'!$Y89,0)=-98,"N/A",IF(OFFSET(K$55,'Intermediate Data'!$Y89,0)=-99,"N/A",OFFSET(K$55,'Intermediate Data'!$Y89,0))))</f>
        <v>N/A</v>
      </c>
      <c r="AJ89" s="90" t="str">
        <f ca="1">IF($Y89="","",IF(OFFSET(L$55,'Intermediate Data'!$Y89,0)=-98,"N/A",IF(OFFSET(L$55,'Intermediate Data'!$Y89,0)=-99,"N/A",OFFSET(L$55,'Intermediate Data'!$Y89,0))))</f>
        <v>N/A</v>
      </c>
      <c r="AK89" s="90" t="str">
        <f ca="1">IF($Y89="","",IF(OFFSET(M$55,'Intermediate Data'!$Y89,0)=-98,"N/A",IF(OFFSET(M$55,'Intermediate Data'!$Y89,0)=-99,"N/A",OFFSET(M$55,'Intermediate Data'!$Y89,0))))</f>
        <v>N/A</v>
      </c>
      <c r="AL89" s="90" t="str">
        <f ca="1">IF($Y89="","",IF(OFFSET(N$55,'Intermediate Data'!$Y89,0)=-98,"N/A",IF(OFFSET(N$55,'Intermediate Data'!$Y89,0)=-99,"N/A",OFFSET(N$55,'Intermediate Data'!$Y89,0))))</f>
        <v>N/A</v>
      </c>
      <c r="AM89" s="90" t="str">
        <f ca="1">IF($Y89="","",IF(OFFSET(O$55,'Intermediate Data'!$Y89,0)=-98,"N/A",IF(OFFSET(O$55,'Intermediate Data'!$Y89,0)=-99,"N/A",OFFSET(O$55,'Intermediate Data'!$Y89,0))))</f>
        <v>N/A</v>
      </c>
      <c r="AN89" s="90" t="str">
        <f ca="1">IF($Y89="","",IF(OFFSET(P$55,'Intermediate Data'!$Y89,0)=-98,"N/A",IF(OFFSET(P$55,'Intermediate Data'!$Y89,0)=-99,"N/A",OFFSET(P$55,'Intermediate Data'!$Y89,0))))</f>
        <v>N/A</v>
      </c>
      <c r="AO89" s="90" t="str">
        <f ca="1">IF($Y89="","",IF(OFFSET(Q$55,'Intermediate Data'!$Y89,0)=-98,"N/A",IF(OFFSET(Q$55,'Intermediate Data'!$Y89,0)=-99,"N/A",OFFSET(Q$55,'Intermediate Data'!$Y89,0))))</f>
        <v/>
      </c>
      <c r="AP89" s="697" t="str">
        <f ca="1">IF($Y89="","",IF(OFFSET(S$55,'Intermediate Data'!$Y89,0)=-98,"",IF(OFFSET(S$55,'Intermediate Data'!$Y89,0)=-99,"",OFFSET(S$55,'Intermediate Data'!$Y89,0))))</f>
        <v/>
      </c>
      <c r="AQ89" s="90" t="str">
        <f ca="1">IF($Y89="","",IF(OFFSET(T$55,'Intermediate Data'!$Y89,0)=-98,"Not published",IF(OFFSET(T$55,'Intermediate Data'!$Y89,0)=-99,"",OFFSET(T$55,'Intermediate Data'!$Y89,0))))</f>
        <v/>
      </c>
      <c r="AR89" s="90" t="str">
        <f ca="1">IF($Y89="","",IF(OFFSET(U$55,'Intermediate Data'!$Y89,0)=-98,"Unknown",IF(OFFSET(U$55,'Intermediate Data'!$Y89,0)=-99,"",OFFSET(U$55,'Intermediate Data'!$Y89,0))))</f>
        <v/>
      </c>
      <c r="AU89" s="112" t="str">
        <f ca="1">IF(AND(OFFSET(DATA!$F38,0,$AX$48)='Intermediate Data'!$AY$48,DATA!$E38="Tier 1"),IF(OR($AX$49=0,$AX$48=1),DATA!A38,IF(AND($AX$49=1,INDEX('Intermediate Data'!$AY$25:$AY$44,MATCH(DATA!$B38,'Intermediate Data'!$AX$25:$AX$44,0))=TRUE),DATA!A38,"")),"")</f>
        <v/>
      </c>
      <c r="AV89" s="112" t="str">
        <f ca="1">IF($AU89="","",DATA!B38)</f>
        <v/>
      </c>
      <c r="AW89" s="112" t="str">
        <f ca="1">IF(OR($AU89="",DATA!BI38=""),"",DATA!BI38)</f>
        <v/>
      </c>
      <c r="AX89" s="112" t="str">
        <f ca="1">IF(OR($AU89="",OFFSET(DATA!BK38,0,$AX$48)=""),"",OFFSET(DATA!BK38,0,$AX$48))</f>
        <v/>
      </c>
      <c r="AY89" s="112" t="str">
        <f ca="1">IF(OR($AU89="",OFFSET(DATA!BM38,0,$AX$48)=""),"",OFFSET(DATA!BM38,0,$AX$48))</f>
        <v/>
      </c>
      <c r="AZ89" s="112" t="str">
        <f ca="1">IF(OR($AU89="",OFFSET(DATA!BO38,0,'Intermediate Data'!$AX$48)=""),"",OFFSET(DATA!BO38,0,$AX$48))</f>
        <v/>
      </c>
      <c r="BA89" s="112" t="str">
        <f ca="1">IF(OR($AU89="",DATA!BQ38=""),"",DATA!BQ38)</f>
        <v/>
      </c>
      <c r="BB89" s="112" t="str">
        <f ca="1">IF($AU89="","",OFFSET(DATA!BS38,0,$AX$48))</f>
        <v/>
      </c>
      <c r="BC89" s="112" t="str">
        <f ca="1">IF($AU89="","",OFFSET(DATA!BU38,0,$AX$48))</f>
        <v/>
      </c>
      <c r="BD89" s="112" t="str">
        <f ca="1">IF($AU89="","",OFFSET(DATA!BW38,0,$AX$48))</f>
        <v/>
      </c>
      <c r="BE89" s="112" t="str">
        <f ca="1">IF($AU89="","",OFFSET(DATA!BY38,0,$AX$48))</f>
        <v/>
      </c>
      <c r="BF89" s="112" t="str">
        <f ca="1">IF($AU89="","",OFFSET(DATA!CA38,0,$AX$48))</f>
        <v/>
      </c>
      <c r="BG89" s="112" t="str">
        <f ca="1">IF($AU89="","",DATA!CC38)</f>
        <v/>
      </c>
      <c r="BH89" s="112" t="str">
        <f ca="1">IF($AU89="","",OFFSET(DATA!CE38,0,$AX$48))</f>
        <v/>
      </c>
      <c r="BI89" s="112" t="str">
        <f ca="1">IF($AU89="","",OFFSET(DATA!CG38,0,$AX$48))</f>
        <v/>
      </c>
      <c r="BJ89" s="112" t="str">
        <f ca="1">IF($AU89="","",OFFSET(DATA!CI38,0,$AX$48))</f>
        <v/>
      </c>
      <c r="BK89" s="112" t="str">
        <f ca="1">IF($AU89="","",OFFSET(DATA!CK38,0,$AX$48))</f>
        <v/>
      </c>
      <c r="BL89" s="112" t="str">
        <f ca="1">IF($AU89="","",OFFSET(DATA!CM38,0,$AX$48))</f>
        <v/>
      </c>
      <c r="BM89" s="112" t="str">
        <f ca="1">IF($AU89="","",DATA!BH38)</f>
        <v/>
      </c>
      <c r="BN89" s="112" t="str">
        <f ca="1">IF($AU89="","",DATA!DS38)</f>
        <v/>
      </c>
      <c r="BO89" s="112" t="str">
        <f ca="1">IF($AU89="","",DATA!DU38)</f>
        <v/>
      </c>
      <c r="BP89" s="112" t="str">
        <f ca="1">IF($AU89="","",DATA!DV38)</f>
        <v/>
      </c>
      <c r="BQ89" s="112" t="str">
        <f ca="1">IF($AU89="","",DATA!DX38)</f>
        <v/>
      </c>
      <c r="BR89" s="112" t="str">
        <f ca="1">IF($AU89="","",DATA!DZ38)</f>
        <v/>
      </c>
      <c r="BS89" s="171" t="str">
        <f ca="1">IF($AU89="","",DATA!EA38)</f>
        <v/>
      </c>
      <c r="BT89" s="171" t="str">
        <f ca="1">IF($AU89="","",DATA!EC38)</f>
        <v/>
      </c>
      <c r="BU89" s="171" t="str">
        <f ca="1">IF($AU89="","",DATA!EF38)</f>
        <v/>
      </c>
      <c r="BV89" s="113" t="str">
        <f t="shared" ca="1" si="10"/>
        <v/>
      </c>
      <c r="BW89" s="680" t="str">
        <f ca="1">IF(AU89="","",OFFSET(DATA!DC38,0,'Intermediate Data'!$AX$48))</f>
        <v/>
      </c>
      <c r="BX89" s="681" t="str">
        <f ca="1">IF($AU89="","",DATA!DG38)</f>
        <v/>
      </c>
      <c r="BY89" s="680" t="str">
        <f ca="1">IF($AU89="","",OFFSET(DATA!DE38,0,'Intermediate Data'!$AX$48))</f>
        <v/>
      </c>
      <c r="BZ89" s="681" t="str">
        <f ca="1">IF($AU89="","",DATA!DH38)</f>
        <v/>
      </c>
      <c r="CA89" s="90" t="str">
        <f t="shared" ca="1" si="11"/>
        <v/>
      </c>
      <c r="CB89" s="99" t="str">
        <f t="shared" ca="1" si="12"/>
        <v/>
      </c>
      <c r="CC89" s="90" t="str">
        <f t="shared" ca="1" si="13"/>
        <v/>
      </c>
      <c r="CD89" s="90" t="str">
        <f t="shared" ca="1" si="14"/>
        <v/>
      </c>
      <c r="CF89" s="90" t="str">
        <f ca="1">IF($CD89="","",IF(OFFSET(AV$55,'Intermediate Data'!$CD89,0)=-98,"Unknown",IF(OFFSET(AV$55,'Intermediate Data'!$CD89,0)=-99,"N/A",OFFSET(AV$55,'Intermediate Data'!$CD89,0))))</f>
        <v/>
      </c>
      <c r="CG89" s="90" t="str">
        <f ca="1">IF($CD89="","",IF(OFFSET(AW$55,'Intermediate Data'!$CD89,0)=-98,"",IF(OFFSET(AW$55,'Intermediate Data'!$CD89,0)=-99,"N/A",OFFSET(AW$55,'Intermediate Data'!$CD89,0))))</f>
        <v/>
      </c>
      <c r="CH89" s="90" t="str">
        <f ca="1">IF($CD89="","",IF(OFFSET(AX$55,'Intermediate Data'!$CD89,0)=-98,"Unknown",IF(OFFSET(AX$55,'Intermediate Data'!$CD89,0)=-99,"N/A",OFFSET(AX$55,'Intermediate Data'!$CD89,0))))</f>
        <v/>
      </c>
      <c r="CI89" s="125" t="str">
        <f ca="1">IF($CD89="","",IF(OFFSET(AY$55,'Intermediate Data'!$CD89,0)=-98,"Unknown",IF(OFFSET(AY$55,'Intermediate Data'!$CD89,0)=-99,"No spec",OFFSET(AY$55,'Intermediate Data'!$CD89,0))))</f>
        <v/>
      </c>
      <c r="CJ89" s="125" t="str">
        <f ca="1">IF($CD89="","",IF(OFFSET(AZ$55,'Intermediate Data'!$CD89,0)=-98,"Unknown",IF(OFFSET(AZ$55,'Intermediate Data'!$CD89,0)=-99,"N/A",OFFSET(AZ$55,'Intermediate Data'!$CD89,0))))</f>
        <v/>
      </c>
      <c r="CK89" s="90" t="str">
        <f ca="1">IF($CD89="","",IF(OFFSET(BA$55,'Intermediate Data'!$CD89,0)=-98,"Unknown",IF(OFFSET(BA$55,'Intermediate Data'!$CD89,0)=-99,"N/A",OFFSET(BA$55,'Intermediate Data'!$CD89,0))))</f>
        <v/>
      </c>
      <c r="CL89" s="90" t="str">
        <f ca="1">IF($CD89="","",IF(OFFSET(BB$55,'Intermediate Data'!$CD89,$AX$50)=-98,"Unknown",IF(OFFSET(BB$55,'Intermediate Data'!$CD89,$AX$50)="N/A","",OFFSET(BB$55,'Intermediate Data'!$CD89,$AX$50))))</f>
        <v/>
      </c>
      <c r="CM89" s="90" t="str">
        <f ca="1">IF($CD89="","",IF(OFFSET(BG$55,'Intermediate Data'!$CD89,0)="ET","ET",""))</f>
        <v/>
      </c>
      <c r="CN89" s="90" t="str">
        <f ca="1">IF($CD89="","",IF(OFFSET(BH$55,'Intermediate Data'!$CD89,$AX$50)=-98,"Unknown",IF(OFFSET(BH$55,'Intermediate Data'!$CD89,$AX$50)="N/A","",OFFSET(BH$55,'Intermediate Data'!$CD89,$AX$50))))</f>
        <v/>
      </c>
      <c r="CO89" s="90" t="str">
        <f ca="1">IF($CD89="","",IF(OFFSET(BM$55,'Intermediate Data'!$CD89,0)=-98,"Not published",IF(OFFSET(BM$55,'Intermediate Data'!$CD89,0)=-99,"No spec",OFFSET(BM$55,'Intermediate Data'!$CD89,0))))</f>
        <v/>
      </c>
      <c r="CP89" s="114" t="str">
        <f ca="1">IF($CD89="","",IF(OFFSET(BN$55,'Intermediate Data'!$CD89,0)=-98,"Unknown",IF(OFFSET(BN$55,'Intermediate Data'!$CD89,0)=-99,"N/A",OFFSET(BN$55,'Intermediate Data'!$CD89,0))))</f>
        <v/>
      </c>
      <c r="CQ89" s="114" t="str">
        <f ca="1">IF($CD89="","",IF(OFFSET(BO$55,'Intermediate Data'!$CD89,0)=-98,"Unknown",IF(OFFSET(BO$55,'Intermediate Data'!$CD89,0)=-99,"N/A",OFFSET(BO$55,'Intermediate Data'!$CD89,0))))</f>
        <v/>
      </c>
      <c r="CR89" s="114" t="str">
        <f ca="1">IF($CD89="","",IF(OFFSET(BP$55,'Intermediate Data'!$CD89,0)=-98,"Unknown",IF(OFFSET(BP$55,'Intermediate Data'!$CD89,0)=-99,"N/A",OFFSET(BP$55,'Intermediate Data'!$CD89,0))))</f>
        <v/>
      </c>
      <c r="CS89" s="114" t="str">
        <f ca="1">IF($CD89="","",IF(OFFSET(BQ$55,'Intermediate Data'!$CD89,0)=-98,"Unknown",IF(OFFSET(BQ$55,'Intermediate Data'!$CD89,0)=-99,"N/A",OFFSET(BQ$55,'Intermediate Data'!$CD89,0))))</f>
        <v/>
      </c>
      <c r="CT89" s="114" t="str">
        <f ca="1">IF($CD89="","",IF(OFFSET(BR$55,'Intermediate Data'!$CD89,0)=-98,"Unknown",IF(OFFSET(BR$55,'Intermediate Data'!$CD89,0)=-99,"N/A",OFFSET(BR$55,'Intermediate Data'!$CD89,0))))</f>
        <v/>
      </c>
      <c r="CU89" s="114" t="str">
        <f ca="1">IF($CD89="","",IF(OFFSET(BS$55,'Intermediate Data'!$CD89,0)=-98,"Unknown",IF(OFFSET(BS$55,'Intermediate Data'!$CD89,0)=-99,"N/A",OFFSET(BS$55,'Intermediate Data'!$CD89,0))))</f>
        <v/>
      </c>
      <c r="CV89" s="114" t="str">
        <f ca="1">IF($CD89="","",IF(OFFSET(BT$55,'Intermediate Data'!$CD89,0)=-98,"Unknown",IF(OFFSET(BT$55,'Intermediate Data'!$CD89,0)=-99,"N/A",OFFSET(BT$55,'Intermediate Data'!$CD89,0))))</f>
        <v/>
      </c>
      <c r="CW89" s="114" t="str">
        <f ca="1">IF($CD89="","",IF(OFFSET(BU$55,'Intermediate Data'!$CD89,0)=-98,"Unknown",IF(OFFSET(BU$55,'Intermediate Data'!$CD89,0)=-99,"N/A",OFFSET(BU$55,'Intermediate Data'!$CD89,0))))</f>
        <v/>
      </c>
      <c r="CX89" s="114" t="str">
        <f ca="1">IF($CD89="","",IF(OFFSET(BV$55,'Intermediate Data'!$CD89,0)=-98,"Unknown",IF(OFFSET(BV$55,'Intermediate Data'!$CD89,0)=-99,"N/A",OFFSET(BV$55,'Intermediate Data'!$CD89,0))))</f>
        <v/>
      </c>
      <c r="CY89" s="682" t="str">
        <f ca="1">IF($CD89="","",IF(OFFSET(BW$55,'Intermediate Data'!$CD89,0)=-98,"Unknown",IF(OFFSET(BW$55,'Intermediate Data'!$CD89,0)="N/A","",OFFSET(BW$55,'Intermediate Data'!$CD89,0))))</f>
        <v/>
      </c>
      <c r="CZ89" s="682" t="str">
        <f ca="1">IF($CD89="","",IF(OFFSET(BX$55,'Intermediate Data'!$CD89,0)=-98,"Unknown",IF(OFFSET(BX$55,'Intermediate Data'!$CD89,0)="N/A","",OFFSET(BX$55,'Intermediate Data'!$CD89,0))))</f>
        <v/>
      </c>
      <c r="DA89" s="682" t="str">
        <f ca="1">IF($CD89="","",IF(OFFSET(BY$55,'Intermediate Data'!$CD89,0)=-98,"Unknown",IF(OFFSET(BY$55,'Intermediate Data'!$CD89,0)="N/A","",OFFSET(BY$55,'Intermediate Data'!$CD89,0))))</f>
        <v/>
      </c>
      <c r="DB89" s="682" t="str">
        <f ca="1">IF($CD89="","",IF(OFFSET(BZ$55,'Intermediate Data'!$CD89,0)=-98,"Unknown",IF(OFFSET(BZ$55,'Intermediate Data'!$CD89,0)="N/A","",OFFSET(BZ$55,'Intermediate Data'!$CD89,0))))</f>
        <v/>
      </c>
    </row>
    <row r="90" spans="1:106" x14ac:dyDescent="0.2">
      <c r="A90" s="90">
        <f ca="1">IF(OFFSET(DATA!F39,0,$D$48)='Intermediate Data'!$E$48,IF(OR($E$49=$C$27,$E$48=$B$4),DATA!A39,IF($G$49=DATA!D39,DATA!A39,"")),"")</f>
        <v>35</v>
      </c>
      <c r="B90" s="90">
        <f ca="1">IF($A90="","",DATA!EH39)</f>
        <v>97</v>
      </c>
      <c r="C90" s="90" t="str">
        <f ca="1">IF($A90="","",DATA!B39)</f>
        <v>Electric kettle</v>
      </c>
      <c r="D90" s="90">
        <f ca="1">IF($A90="","",OFFSET(DATA!$H39,0,($D$50*5)))</f>
        <v>-99</v>
      </c>
      <c r="E90" s="90">
        <f ca="1">IF($A90="","",OFFSET(DATA!$H39,0,($D$50*5)+1))</f>
        <v>-99</v>
      </c>
      <c r="F90" s="90">
        <f ca="1">IF($A90="","",OFFSET(DATA!$H39,0,($D$50*5)+2))</f>
        <v>-99</v>
      </c>
      <c r="G90" s="90">
        <f ca="1">IF($A90="","",OFFSET(DATA!$H39,0,($D$50*5)+3))</f>
        <v>-99</v>
      </c>
      <c r="H90" s="90">
        <f ca="1">IF($A90="","",OFFSET(DATA!$H39,0,($D$50*5)+4))</f>
        <v>-99</v>
      </c>
      <c r="I90" s="90">
        <f t="shared" ca="1" si="2"/>
        <v>-99</v>
      </c>
      <c r="J90" s="90" t="str">
        <f t="shared" ca="1" si="3"/>
        <v/>
      </c>
      <c r="K90" s="90">
        <f ca="1">IF($A90="","",OFFSET(DATA!$AG39,0,($D$50*5)))</f>
        <v>-99</v>
      </c>
      <c r="L90" s="90">
        <f ca="1">IF($A90="","",OFFSET(DATA!$AG39,0,($D$50*5)+1))</f>
        <v>-99</v>
      </c>
      <c r="M90" s="90">
        <f ca="1">IF($A90="","",OFFSET(DATA!$AG39,0,($D$50*5)+2))</f>
        <v>-99</v>
      </c>
      <c r="N90" s="90">
        <f ca="1">IF($A90="","",OFFSET(DATA!$AG39,0,($D$50*5)+3))</f>
        <v>-99</v>
      </c>
      <c r="O90" s="90">
        <f ca="1">IF($A90="","",OFFSET(DATA!$AG39,0,($D$50*5)+4))</f>
        <v>-99</v>
      </c>
      <c r="P90" s="90">
        <f t="shared" ca="1" si="4"/>
        <v>-99</v>
      </c>
      <c r="Q90" s="90" t="str">
        <f t="shared" ca="1" si="5"/>
        <v/>
      </c>
      <c r="R90" s="699">
        <f ca="1">IF($A90="","",IF(DATA!BF39="",-99,DATA!BF39))</f>
        <v>-99</v>
      </c>
      <c r="S90" s="90">
        <f ca="1">IF($A90="","",IF(DATA!BG39="",-99,DATA!BF39-DATA!BG39))</f>
        <v>-99</v>
      </c>
      <c r="T90" s="90">
        <f ca="1">IF($A90="","",DATA!BH39)</f>
        <v>-99</v>
      </c>
      <c r="U90" s="90">
        <f ca="1">IF($A90="","",OFFSET(DATA!BM39,0,$D$48))</f>
        <v>-99</v>
      </c>
      <c r="V90" s="90">
        <f t="shared" ca="1" si="15"/>
        <v>97</v>
      </c>
      <c r="W90" s="99">
        <f t="shared" ca="1" si="7"/>
        <v>96.999881200900006</v>
      </c>
      <c r="X90" s="112">
        <f t="shared" ca="1" si="8"/>
        <v>99.999881201610009</v>
      </c>
      <c r="Y90" s="90">
        <f t="shared" ca="1" si="9"/>
        <v>106</v>
      </c>
      <c r="AA90" s="90" t="str">
        <f ca="1">IF($Y90="","",IF(OFFSET(C$55,'Intermediate Data'!$Y90,0)=-98,"Unknown",IF(OFFSET(C$55,'Intermediate Data'!$Y90,0)=-99,"N/A",OFFSET(C$55,'Intermediate Data'!$Y90,0))))</f>
        <v>Electric car</v>
      </c>
      <c r="AB90" s="90" t="str">
        <f ca="1">IF($Y90="","",IF(OFFSET(D$55,'Intermediate Data'!$Y90,0)=-98,"N/A",IF(OFFSET(D$55,'Intermediate Data'!$Y90,0)=-99,"N/A",OFFSET(D$55,'Intermediate Data'!$Y90,0))))</f>
        <v>N/A</v>
      </c>
      <c r="AC90" s="90" t="str">
        <f ca="1">IF($Y90="","",IF(OFFSET(E$55,'Intermediate Data'!$Y90,0)=-98,"N/A",IF(OFFSET(E$55,'Intermediate Data'!$Y90,0)=-99,"N/A",OFFSET(E$55,'Intermediate Data'!$Y90,0))))</f>
        <v>N/A</v>
      </c>
      <c r="AD90" s="90" t="str">
        <f ca="1">IF($Y90="","",IF(OFFSET(F$55,'Intermediate Data'!$Y90,0)=-98,"N/A",IF(OFFSET(F$55,'Intermediate Data'!$Y90,0)=-99,"N/A",OFFSET(F$55,'Intermediate Data'!$Y90,0))))</f>
        <v>N/A</v>
      </c>
      <c r="AE90" s="90" t="str">
        <f ca="1">IF($Y90="","",IF(OFFSET(G$55,'Intermediate Data'!$Y90,0)=-98,"N/A",IF(OFFSET(G$55,'Intermediate Data'!$Y90,0)=-99,"N/A",OFFSET(G$55,'Intermediate Data'!$Y90,0))))</f>
        <v>N/A</v>
      </c>
      <c r="AF90" s="90" t="str">
        <f ca="1">IF($Y90="","",IF(OFFSET(H$55,'Intermediate Data'!$Y90,0)=-98,"N/A",IF(OFFSET(H$55,'Intermediate Data'!$Y90,0)=-99,"N/A",OFFSET(H$55,'Intermediate Data'!$Y90,0))))</f>
        <v>N/A</v>
      </c>
      <c r="AG90" s="90" t="str">
        <f ca="1">IF($Y90="","",IF(OFFSET(I$55,'Intermediate Data'!$Y90,0)=-98,"N/A",IF(OFFSET(I$55,'Intermediate Data'!$Y90,0)=-99,"N/A",OFFSET(I$55,'Intermediate Data'!$Y90,0))))</f>
        <v>N/A</v>
      </c>
      <c r="AH90" s="90" t="str">
        <f ca="1">IF($Y90="","",IF(OFFSET(J$55,'Intermediate Data'!$Y90,0)=-98,"N/A",IF(OFFSET(J$55,'Intermediate Data'!$Y90,0)=-99,"N/A",OFFSET(J$55,'Intermediate Data'!$Y90,0))))</f>
        <v/>
      </c>
      <c r="AI90" s="90" t="str">
        <f ca="1">IF($Y90="","",IF(OFFSET(K$55,'Intermediate Data'!$Y90,0)=-98,"N/A",IF(OFFSET(K$55,'Intermediate Data'!$Y90,0)=-99,"N/A",OFFSET(K$55,'Intermediate Data'!$Y90,0))))</f>
        <v>N/A</v>
      </c>
      <c r="AJ90" s="90" t="str">
        <f ca="1">IF($Y90="","",IF(OFFSET(L$55,'Intermediate Data'!$Y90,0)=-98,"N/A",IF(OFFSET(L$55,'Intermediate Data'!$Y90,0)=-99,"N/A",OFFSET(L$55,'Intermediate Data'!$Y90,0))))</f>
        <v>N/A</v>
      </c>
      <c r="AK90" s="90" t="str">
        <f ca="1">IF($Y90="","",IF(OFFSET(M$55,'Intermediate Data'!$Y90,0)=-98,"N/A",IF(OFFSET(M$55,'Intermediate Data'!$Y90,0)=-99,"N/A",OFFSET(M$55,'Intermediate Data'!$Y90,0))))</f>
        <v>N/A</v>
      </c>
      <c r="AL90" s="90" t="str">
        <f ca="1">IF($Y90="","",IF(OFFSET(N$55,'Intermediate Data'!$Y90,0)=-98,"N/A",IF(OFFSET(N$55,'Intermediate Data'!$Y90,0)=-99,"N/A",OFFSET(N$55,'Intermediate Data'!$Y90,0))))</f>
        <v>N/A</v>
      </c>
      <c r="AM90" s="90" t="str">
        <f ca="1">IF($Y90="","",IF(OFFSET(O$55,'Intermediate Data'!$Y90,0)=-98,"N/A",IF(OFFSET(O$55,'Intermediate Data'!$Y90,0)=-99,"N/A",OFFSET(O$55,'Intermediate Data'!$Y90,0))))</f>
        <v>N/A</v>
      </c>
      <c r="AN90" s="90" t="str">
        <f ca="1">IF($Y90="","",IF(OFFSET(P$55,'Intermediate Data'!$Y90,0)=-98,"N/A",IF(OFFSET(P$55,'Intermediate Data'!$Y90,0)=-99,"N/A",OFFSET(P$55,'Intermediate Data'!$Y90,0))))</f>
        <v>N/A</v>
      </c>
      <c r="AO90" s="90" t="str">
        <f ca="1">IF($Y90="","",IF(OFFSET(Q$55,'Intermediate Data'!$Y90,0)=-98,"N/A",IF(OFFSET(Q$55,'Intermediate Data'!$Y90,0)=-99,"N/A",OFFSET(Q$55,'Intermediate Data'!$Y90,0))))</f>
        <v/>
      </c>
      <c r="AP90" s="697" t="str">
        <f ca="1">IF($Y90="","",IF(OFFSET(S$55,'Intermediate Data'!$Y90,0)=-98,"",IF(OFFSET(S$55,'Intermediate Data'!$Y90,0)=-99,"",OFFSET(S$55,'Intermediate Data'!$Y90,0))))</f>
        <v/>
      </c>
      <c r="AQ90" s="90" t="str">
        <f ca="1">IF($Y90="","",IF(OFFSET(T$55,'Intermediate Data'!$Y90,0)=-98,"Not published",IF(OFFSET(T$55,'Intermediate Data'!$Y90,0)=-99,"",OFFSET(T$55,'Intermediate Data'!$Y90,0))))</f>
        <v/>
      </c>
      <c r="AR90" s="90" t="str">
        <f ca="1">IF($Y90="","",IF(OFFSET(U$55,'Intermediate Data'!$Y90,0)=-98,"Unknown",IF(OFFSET(U$55,'Intermediate Data'!$Y90,0)=-99,"",OFFSET(U$55,'Intermediate Data'!$Y90,0))))</f>
        <v/>
      </c>
      <c r="AU90" s="112" t="str">
        <f ca="1">IF(AND(OFFSET(DATA!$F39,0,$AX$48)='Intermediate Data'!$AY$48,DATA!$E39="Tier 1"),IF(OR($AX$49=0,$AX$48=1),DATA!A39,IF(AND($AX$49=1,INDEX('Intermediate Data'!$AY$25:$AY$44,MATCH(DATA!$B39,'Intermediate Data'!$AX$25:$AX$44,0))=TRUE),DATA!A39,"")),"")</f>
        <v/>
      </c>
      <c r="AV90" s="112" t="str">
        <f ca="1">IF($AU90="","",DATA!B39)</f>
        <v/>
      </c>
      <c r="AW90" s="112" t="str">
        <f ca="1">IF(OR($AU90="",DATA!BI39=""),"",DATA!BI39)</f>
        <v/>
      </c>
      <c r="AX90" s="112" t="str">
        <f ca="1">IF(OR($AU90="",OFFSET(DATA!BK39,0,$AX$48)=""),"",OFFSET(DATA!BK39,0,$AX$48))</f>
        <v/>
      </c>
      <c r="AY90" s="112" t="str">
        <f ca="1">IF(OR($AU90="",OFFSET(DATA!BM39,0,$AX$48)=""),"",OFFSET(DATA!BM39,0,$AX$48))</f>
        <v/>
      </c>
      <c r="AZ90" s="112" t="str">
        <f ca="1">IF(OR($AU90="",OFFSET(DATA!BO39,0,'Intermediate Data'!$AX$48)=""),"",OFFSET(DATA!BO39,0,$AX$48))</f>
        <v/>
      </c>
      <c r="BA90" s="112" t="str">
        <f ca="1">IF(OR($AU90="",DATA!BQ39=""),"",DATA!BQ39)</f>
        <v/>
      </c>
      <c r="BB90" s="112" t="str">
        <f ca="1">IF($AU90="","",OFFSET(DATA!BS39,0,$AX$48))</f>
        <v/>
      </c>
      <c r="BC90" s="112" t="str">
        <f ca="1">IF($AU90="","",OFFSET(DATA!BU39,0,$AX$48))</f>
        <v/>
      </c>
      <c r="BD90" s="112" t="str">
        <f ca="1">IF($AU90="","",OFFSET(DATA!BW39,0,$AX$48))</f>
        <v/>
      </c>
      <c r="BE90" s="112" t="str">
        <f ca="1">IF($AU90="","",OFFSET(DATA!BY39,0,$AX$48))</f>
        <v/>
      </c>
      <c r="BF90" s="112" t="str">
        <f ca="1">IF($AU90="","",OFFSET(DATA!CA39,0,$AX$48))</f>
        <v/>
      </c>
      <c r="BG90" s="112" t="str">
        <f ca="1">IF($AU90="","",DATA!CC39)</f>
        <v/>
      </c>
      <c r="BH90" s="112" t="str">
        <f ca="1">IF($AU90="","",OFFSET(DATA!CE39,0,$AX$48))</f>
        <v/>
      </c>
      <c r="BI90" s="112" t="str">
        <f ca="1">IF($AU90="","",OFFSET(DATA!CG39,0,$AX$48))</f>
        <v/>
      </c>
      <c r="BJ90" s="112" t="str">
        <f ca="1">IF($AU90="","",OFFSET(DATA!CI39,0,$AX$48))</f>
        <v/>
      </c>
      <c r="BK90" s="112" t="str">
        <f ca="1">IF($AU90="","",OFFSET(DATA!CK39,0,$AX$48))</f>
        <v/>
      </c>
      <c r="BL90" s="112" t="str">
        <f ca="1">IF($AU90="","",OFFSET(DATA!CM39,0,$AX$48))</f>
        <v/>
      </c>
      <c r="BM90" s="112" t="str">
        <f ca="1">IF($AU90="","",DATA!BH39)</f>
        <v/>
      </c>
      <c r="BN90" s="112" t="str">
        <f ca="1">IF($AU90="","",DATA!DS39)</f>
        <v/>
      </c>
      <c r="BO90" s="112" t="str">
        <f ca="1">IF($AU90="","",DATA!DU39)</f>
        <v/>
      </c>
      <c r="BP90" s="112" t="str">
        <f ca="1">IF($AU90="","",DATA!DV39)</f>
        <v/>
      </c>
      <c r="BQ90" s="112" t="str">
        <f ca="1">IF($AU90="","",DATA!DX39)</f>
        <v/>
      </c>
      <c r="BR90" s="112" t="str">
        <f ca="1">IF($AU90="","",DATA!DZ39)</f>
        <v/>
      </c>
      <c r="BS90" s="171" t="str">
        <f ca="1">IF($AU90="","",DATA!EA39)</f>
        <v/>
      </c>
      <c r="BT90" s="171" t="str">
        <f ca="1">IF($AU90="","",DATA!EC39)</f>
        <v/>
      </c>
      <c r="BU90" s="171" t="str">
        <f ca="1">IF($AU90="","",DATA!EF39)</f>
        <v/>
      </c>
      <c r="BV90" s="113" t="str">
        <f t="shared" ca="1" si="10"/>
        <v/>
      </c>
      <c r="BW90" s="680" t="str">
        <f ca="1">IF(AU90="","",OFFSET(DATA!DC39,0,'Intermediate Data'!$AX$48))</f>
        <v/>
      </c>
      <c r="BX90" s="681" t="str">
        <f ca="1">IF($AU90="","",DATA!DG39)</f>
        <v/>
      </c>
      <c r="BY90" s="680" t="str">
        <f ca="1">IF($AU90="","",OFFSET(DATA!DE39,0,'Intermediate Data'!$AX$48))</f>
        <v/>
      </c>
      <c r="BZ90" s="681" t="str">
        <f ca="1">IF($AU90="","",DATA!DH39)</f>
        <v/>
      </c>
      <c r="CA90" s="90" t="str">
        <f t="shared" ca="1" si="11"/>
        <v/>
      </c>
      <c r="CB90" s="99" t="str">
        <f t="shared" ca="1" si="12"/>
        <v/>
      </c>
      <c r="CC90" s="90" t="str">
        <f t="shared" ca="1" si="13"/>
        <v/>
      </c>
      <c r="CD90" s="90" t="str">
        <f t="shared" ca="1" si="14"/>
        <v/>
      </c>
      <c r="CF90" s="90" t="str">
        <f ca="1">IF($CD90="","",IF(OFFSET(AV$55,'Intermediate Data'!$CD90,0)=-98,"Unknown",IF(OFFSET(AV$55,'Intermediate Data'!$CD90,0)=-99,"N/A",OFFSET(AV$55,'Intermediate Data'!$CD90,0))))</f>
        <v/>
      </c>
      <c r="CG90" s="90" t="str">
        <f ca="1">IF($CD90="","",IF(OFFSET(AW$55,'Intermediate Data'!$CD90,0)=-98,"",IF(OFFSET(AW$55,'Intermediate Data'!$CD90,0)=-99,"N/A",OFFSET(AW$55,'Intermediate Data'!$CD90,0))))</f>
        <v/>
      </c>
      <c r="CH90" s="90" t="str">
        <f ca="1">IF($CD90="","",IF(OFFSET(AX$55,'Intermediate Data'!$CD90,0)=-98,"Unknown",IF(OFFSET(AX$55,'Intermediate Data'!$CD90,0)=-99,"N/A",OFFSET(AX$55,'Intermediate Data'!$CD90,0))))</f>
        <v/>
      </c>
      <c r="CI90" s="125" t="str">
        <f ca="1">IF($CD90="","",IF(OFFSET(AY$55,'Intermediate Data'!$CD90,0)=-98,"Unknown",IF(OFFSET(AY$55,'Intermediate Data'!$CD90,0)=-99,"No spec",OFFSET(AY$55,'Intermediate Data'!$CD90,0))))</f>
        <v/>
      </c>
      <c r="CJ90" s="125" t="str">
        <f ca="1">IF($CD90="","",IF(OFFSET(AZ$55,'Intermediate Data'!$CD90,0)=-98,"Unknown",IF(OFFSET(AZ$55,'Intermediate Data'!$CD90,0)=-99,"N/A",OFFSET(AZ$55,'Intermediate Data'!$CD90,0))))</f>
        <v/>
      </c>
      <c r="CK90" s="90" t="str">
        <f ca="1">IF($CD90="","",IF(OFFSET(BA$55,'Intermediate Data'!$CD90,0)=-98,"Unknown",IF(OFFSET(BA$55,'Intermediate Data'!$CD90,0)=-99,"N/A",OFFSET(BA$55,'Intermediate Data'!$CD90,0))))</f>
        <v/>
      </c>
      <c r="CL90" s="90" t="str">
        <f ca="1">IF($CD90="","",IF(OFFSET(BB$55,'Intermediate Data'!$CD90,$AX$50)=-98,"Unknown",IF(OFFSET(BB$55,'Intermediate Data'!$CD90,$AX$50)="N/A","",OFFSET(BB$55,'Intermediate Data'!$CD90,$AX$50))))</f>
        <v/>
      </c>
      <c r="CM90" s="90" t="str">
        <f ca="1">IF($CD90="","",IF(OFFSET(BG$55,'Intermediate Data'!$CD90,0)="ET","ET",""))</f>
        <v/>
      </c>
      <c r="CN90" s="90" t="str">
        <f ca="1">IF($CD90="","",IF(OFFSET(BH$55,'Intermediate Data'!$CD90,$AX$50)=-98,"Unknown",IF(OFFSET(BH$55,'Intermediate Data'!$CD90,$AX$50)="N/A","",OFFSET(BH$55,'Intermediate Data'!$CD90,$AX$50))))</f>
        <v/>
      </c>
      <c r="CO90" s="90" t="str">
        <f ca="1">IF($CD90="","",IF(OFFSET(BM$55,'Intermediate Data'!$CD90,0)=-98,"Not published",IF(OFFSET(BM$55,'Intermediate Data'!$CD90,0)=-99,"No spec",OFFSET(BM$55,'Intermediate Data'!$CD90,0))))</f>
        <v/>
      </c>
      <c r="CP90" s="114" t="str">
        <f ca="1">IF($CD90="","",IF(OFFSET(BN$55,'Intermediate Data'!$CD90,0)=-98,"Unknown",IF(OFFSET(BN$55,'Intermediate Data'!$CD90,0)=-99,"N/A",OFFSET(BN$55,'Intermediate Data'!$CD90,0))))</f>
        <v/>
      </c>
      <c r="CQ90" s="114" t="str">
        <f ca="1">IF($CD90="","",IF(OFFSET(BO$55,'Intermediate Data'!$CD90,0)=-98,"Unknown",IF(OFFSET(BO$55,'Intermediate Data'!$CD90,0)=-99,"N/A",OFFSET(BO$55,'Intermediate Data'!$CD90,0))))</f>
        <v/>
      </c>
      <c r="CR90" s="114" t="str">
        <f ca="1">IF($CD90="","",IF(OFFSET(BP$55,'Intermediate Data'!$CD90,0)=-98,"Unknown",IF(OFFSET(BP$55,'Intermediate Data'!$CD90,0)=-99,"N/A",OFFSET(BP$55,'Intermediate Data'!$CD90,0))))</f>
        <v/>
      </c>
      <c r="CS90" s="114" t="str">
        <f ca="1">IF($CD90="","",IF(OFFSET(BQ$55,'Intermediate Data'!$CD90,0)=-98,"Unknown",IF(OFFSET(BQ$55,'Intermediate Data'!$CD90,0)=-99,"N/A",OFFSET(BQ$55,'Intermediate Data'!$CD90,0))))</f>
        <v/>
      </c>
      <c r="CT90" s="114" t="str">
        <f ca="1">IF($CD90="","",IF(OFFSET(BR$55,'Intermediate Data'!$CD90,0)=-98,"Unknown",IF(OFFSET(BR$55,'Intermediate Data'!$CD90,0)=-99,"N/A",OFFSET(BR$55,'Intermediate Data'!$CD90,0))))</f>
        <v/>
      </c>
      <c r="CU90" s="114" t="str">
        <f ca="1">IF($CD90="","",IF(OFFSET(BS$55,'Intermediate Data'!$CD90,0)=-98,"Unknown",IF(OFFSET(BS$55,'Intermediate Data'!$CD90,0)=-99,"N/A",OFFSET(BS$55,'Intermediate Data'!$CD90,0))))</f>
        <v/>
      </c>
      <c r="CV90" s="114" t="str">
        <f ca="1">IF($CD90="","",IF(OFFSET(BT$55,'Intermediate Data'!$CD90,0)=-98,"Unknown",IF(OFFSET(BT$55,'Intermediate Data'!$CD90,0)=-99,"N/A",OFFSET(BT$55,'Intermediate Data'!$CD90,0))))</f>
        <v/>
      </c>
      <c r="CW90" s="114" t="str">
        <f ca="1">IF($CD90="","",IF(OFFSET(BU$55,'Intermediate Data'!$CD90,0)=-98,"Unknown",IF(OFFSET(BU$55,'Intermediate Data'!$CD90,0)=-99,"N/A",OFFSET(BU$55,'Intermediate Data'!$CD90,0))))</f>
        <v/>
      </c>
      <c r="CX90" s="114" t="str">
        <f ca="1">IF($CD90="","",IF(OFFSET(BV$55,'Intermediate Data'!$CD90,0)=-98,"Unknown",IF(OFFSET(BV$55,'Intermediate Data'!$CD90,0)=-99,"N/A",OFFSET(BV$55,'Intermediate Data'!$CD90,0))))</f>
        <v/>
      </c>
      <c r="CY90" s="682" t="str">
        <f ca="1">IF($CD90="","",IF(OFFSET(BW$55,'Intermediate Data'!$CD90,0)=-98,"Unknown",IF(OFFSET(BW$55,'Intermediate Data'!$CD90,0)="N/A","",OFFSET(BW$55,'Intermediate Data'!$CD90,0))))</f>
        <v/>
      </c>
      <c r="CZ90" s="682" t="str">
        <f ca="1">IF($CD90="","",IF(OFFSET(BX$55,'Intermediate Data'!$CD90,0)=-98,"Unknown",IF(OFFSET(BX$55,'Intermediate Data'!$CD90,0)="N/A","",OFFSET(BX$55,'Intermediate Data'!$CD90,0))))</f>
        <v/>
      </c>
      <c r="DA90" s="682" t="str">
        <f ca="1">IF($CD90="","",IF(OFFSET(BY$55,'Intermediate Data'!$CD90,0)=-98,"Unknown",IF(OFFSET(BY$55,'Intermediate Data'!$CD90,0)="N/A","",OFFSET(BY$55,'Intermediate Data'!$CD90,0))))</f>
        <v/>
      </c>
      <c r="DB90" s="682" t="str">
        <f ca="1">IF($CD90="","",IF(OFFSET(BZ$55,'Intermediate Data'!$CD90,0)=-98,"Unknown",IF(OFFSET(BZ$55,'Intermediate Data'!$CD90,0)="N/A","",OFFSET(BZ$55,'Intermediate Data'!$CD90,0))))</f>
        <v/>
      </c>
    </row>
    <row r="91" spans="1:106" x14ac:dyDescent="0.2">
      <c r="A91" s="90">
        <f ca="1">IF(OFFSET(DATA!F40,0,$D$48)='Intermediate Data'!$E$48,IF(OR($E$49=$C$27,$E$48=$B$4),DATA!A40,IF($G$49=DATA!D40,DATA!A40,"")),"")</f>
        <v>36</v>
      </c>
      <c r="B91" s="90">
        <f ca="1">IF($A91="","",DATA!EH40)</f>
        <v>96</v>
      </c>
      <c r="C91" s="90" t="str">
        <f ca="1">IF($A91="","",DATA!B40)</f>
        <v>Electric warmer/serving tray</v>
      </c>
      <c r="D91" s="90">
        <f ca="1">IF($A91="","",OFFSET(DATA!$H40,0,($D$50*5)))</f>
        <v>-99</v>
      </c>
      <c r="E91" s="90">
        <f ca="1">IF($A91="","",OFFSET(DATA!$H40,0,($D$50*5)+1))</f>
        <v>-99</v>
      </c>
      <c r="F91" s="90">
        <f ca="1">IF($A91="","",OFFSET(DATA!$H40,0,($D$50*5)+2))</f>
        <v>-99</v>
      </c>
      <c r="G91" s="90">
        <f ca="1">IF($A91="","",OFFSET(DATA!$H40,0,($D$50*5)+3))</f>
        <v>-99</v>
      </c>
      <c r="H91" s="90">
        <f ca="1">IF($A91="","",OFFSET(DATA!$H40,0,($D$50*5)+4))</f>
        <v>-99</v>
      </c>
      <c r="I91" s="90">
        <f t="shared" ca="1" si="2"/>
        <v>-99</v>
      </c>
      <c r="J91" s="90" t="str">
        <f t="shared" ca="1" si="3"/>
        <v/>
      </c>
      <c r="K91" s="90">
        <f ca="1">IF($A91="","",OFFSET(DATA!$AG40,0,($D$50*5)))</f>
        <v>-99</v>
      </c>
      <c r="L91" s="90">
        <f ca="1">IF($A91="","",OFFSET(DATA!$AG40,0,($D$50*5)+1))</f>
        <v>-99</v>
      </c>
      <c r="M91" s="90">
        <f ca="1">IF($A91="","",OFFSET(DATA!$AG40,0,($D$50*5)+2))</f>
        <v>-99</v>
      </c>
      <c r="N91" s="90">
        <f ca="1">IF($A91="","",OFFSET(DATA!$AG40,0,($D$50*5)+3))</f>
        <v>-99</v>
      </c>
      <c r="O91" s="90">
        <f ca="1">IF($A91="","",OFFSET(DATA!$AG40,0,($D$50*5)+4))</f>
        <v>-99</v>
      </c>
      <c r="P91" s="90">
        <f t="shared" ca="1" si="4"/>
        <v>-99</v>
      </c>
      <c r="Q91" s="90" t="str">
        <f t="shared" ca="1" si="5"/>
        <v/>
      </c>
      <c r="R91" s="699">
        <f ca="1">IF($A91="","",IF(DATA!BF40="",-99,DATA!BF40))</f>
        <v>-99</v>
      </c>
      <c r="S91" s="90">
        <f ca="1">IF($A91="","",IF(DATA!BG40="",-99,DATA!BF40-DATA!BG40))</f>
        <v>-99</v>
      </c>
      <c r="T91" s="90">
        <f ca="1">IF($A91="","",DATA!BH40)</f>
        <v>-99</v>
      </c>
      <c r="U91" s="90">
        <f ca="1">IF($A91="","",OFFSET(DATA!BM40,0,$D$48))</f>
        <v>-99</v>
      </c>
      <c r="V91" s="90">
        <f t="shared" ca="1" si="15"/>
        <v>96</v>
      </c>
      <c r="W91" s="99">
        <f t="shared" ca="1" si="7"/>
        <v>95.999881200910011</v>
      </c>
      <c r="X91" s="112">
        <f t="shared" ca="1" si="8"/>
        <v>98.999881201790004</v>
      </c>
      <c r="Y91" s="90">
        <f t="shared" ca="1" si="9"/>
        <v>124</v>
      </c>
      <c r="AA91" s="90" t="str">
        <f ca="1">IF($Y91="","",IF(OFFSET(C$55,'Intermediate Data'!$Y91,0)=-98,"Unknown",IF(OFFSET(C$55,'Intermediate Data'!$Y91,0)=-99,"N/A",OFFSET(C$55,'Intermediate Data'!$Y91,0))))</f>
        <v>Electric fence</v>
      </c>
      <c r="AB91" s="90" t="str">
        <f ca="1">IF($Y91="","",IF(OFFSET(D$55,'Intermediate Data'!$Y91,0)=-98,"N/A",IF(OFFSET(D$55,'Intermediate Data'!$Y91,0)=-99,"N/A",OFFSET(D$55,'Intermediate Data'!$Y91,0))))</f>
        <v>N/A</v>
      </c>
      <c r="AC91" s="90" t="str">
        <f ca="1">IF($Y91="","",IF(OFFSET(E$55,'Intermediate Data'!$Y91,0)=-98,"N/A",IF(OFFSET(E$55,'Intermediate Data'!$Y91,0)=-99,"N/A",OFFSET(E$55,'Intermediate Data'!$Y91,0))))</f>
        <v>N/A</v>
      </c>
      <c r="AD91" s="90" t="str">
        <f ca="1">IF($Y91="","",IF(OFFSET(F$55,'Intermediate Data'!$Y91,0)=-98,"N/A",IF(OFFSET(F$55,'Intermediate Data'!$Y91,0)=-99,"N/A",OFFSET(F$55,'Intermediate Data'!$Y91,0))))</f>
        <v>N/A</v>
      </c>
      <c r="AE91" s="90" t="str">
        <f ca="1">IF($Y91="","",IF(OFFSET(G$55,'Intermediate Data'!$Y91,0)=-98,"N/A",IF(OFFSET(G$55,'Intermediate Data'!$Y91,0)=-99,"N/A",OFFSET(G$55,'Intermediate Data'!$Y91,0))))</f>
        <v>N/A</v>
      </c>
      <c r="AF91" s="90" t="str">
        <f ca="1">IF($Y91="","",IF(OFFSET(H$55,'Intermediate Data'!$Y91,0)=-98,"N/A",IF(OFFSET(H$55,'Intermediate Data'!$Y91,0)=-99,"N/A",OFFSET(H$55,'Intermediate Data'!$Y91,0))))</f>
        <v>N/A</v>
      </c>
      <c r="AG91" s="90" t="str">
        <f ca="1">IF($Y91="","",IF(OFFSET(I$55,'Intermediate Data'!$Y91,0)=-98,"N/A",IF(OFFSET(I$55,'Intermediate Data'!$Y91,0)=-99,"N/A",OFFSET(I$55,'Intermediate Data'!$Y91,0))))</f>
        <v>N/A</v>
      </c>
      <c r="AH91" s="90" t="str">
        <f ca="1">IF($Y91="","",IF(OFFSET(J$55,'Intermediate Data'!$Y91,0)=-98,"N/A",IF(OFFSET(J$55,'Intermediate Data'!$Y91,0)=-99,"N/A",OFFSET(J$55,'Intermediate Data'!$Y91,0))))</f>
        <v/>
      </c>
      <c r="AI91" s="90" t="str">
        <f ca="1">IF($Y91="","",IF(OFFSET(K$55,'Intermediate Data'!$Y91,0)=-98,"N/A",IF(OFFSET(K$55,'Intermediate Data'!$Y91,0)=-99,"N/A",OFFSET(K$55,'Intermediate Data'!$Y91,0))))</f>
        <v>N/A</v>
      </c>
      <c r="AJ91" s="90" t="str">
        <f ca="1">IF($Y91="","",IF(OFFSET(L$55,'Intermediate Data'!$Y91,0)=-98,"N/A",IF(OFFSET(L$55,'Intermediate Data'!$Y91,0)=-99,"N/A",OFFSET(L$55,'Intermediate Data'!$Y91,0))))</f>
        <v>N/A</v>
      </c>
      <c r="AK91" s="90" t="str">
        <f ca="1">IF($Y91="","",IF(OFFSET(M$55,'Intermediate Data'!$Y91,0)=-98,"N/A",IF(OFFSET(M$55,'Intermediate Data'!$Y91,0)=-99,"N/A",OFFSET(M$55,'Intermediate Data'!$Y91,0))))</f>
        <v>N/A</v>
      </c>
      <c r="AL91" s="90" t="str">
        <f ca="1">IF($Y91="","",IF(OFFSET(N$55,'Intermediate Data'!$Y91,0)=-98,"N/A",IF(OFFSET(N$55,'Intermediate Data'!$Y91,0)=-99,"N/A",OFFSET(N$55,'Intermediate Data'!$Y91,0))))</f>
        <v>N/A</v>
      </c>
      <c r="AM91" s="90" t="str">
        <f ca="1">IF($Y91="","",IF(OFFSET(O$55,'Intermediate Data'!$Y91,0)=-98,"N/A",IF(OFFSET(O$55,'Intermediate Data'!$Y91,0)=-99,"N/A",OFFSET(O$55,'Intermediate Data'!$Y91,0))))</f>
        <v>N/A</v>
      </c>
      <c r="AN91" s="90" t="str">
        <f ca="1">IF($Y91="","",IF(OFFSET(P$55,'Intermediate Data'!$Y91,0)=-98,"N/A",IF(OFFSET(P$55,'Intermediate Data'!$Y91,0)=-99,"N/A",OFFSET(P$55,'Intermediate Data'!$Y91,0))))</f>
        <v>N/A</v>
      </c>
      <c r="AO91" s="90" t="str">
        <f ca="1">IF($Y91="","",IF(OFFSET(Q$55,'Intermediate Data'!$Y91,0)=-98,"N/A",IF(OFFSET(Q$55,'Intermediate Data'!$Y91,0)=-99,"N/A",OFFSET(Q$55,'Intermediate Data'!$Y91,0))))</f>
        <v/>
      </c>
      <c r="AP91" s="697" t="str">
        <f ca="1">IF($Y91="","",IF(OFFSET(S$55,'Intermediate Data'!$Y91,0)=-98,"",IF(OFFSET(S$55,'Intermediate Data'!$Y91,0)=-99,"",OFFSET(S$55,'Intermediate Data'!$Y91,0))))</f>
        <v/>
      </c>
      <c r="AQ91" s="90" t="str">
        <f ca="1">IF($Y91="","",IF(OFFSET(T$55,'Intermediate Data'!$Y91,0)=-98,"Not published",IF(OFFSET(T$55,'Intermediate Data'!$Y91,0)=-99,"",OFFSET(T$55,'Intermediate Data'!$Y91,0))))</f>
        <v/>
      </c>
      <c r="AR91" s="90" t="str">
        <f ca="1">IF($Y91="","",IF(OFFSET(U$55,'Intermediate Data'!$Y91,0)=-98,"Unknown",IF(OFFSET(U$55,'Intermediate Data'!$Y91,0)=-99,"",OFFSET(U$55,'Intermediate Data'!$Y91,0))))</f>
        <v/>
      </c>
      <c r="AU91" s="112" t="str">
        <f ca="1">IF(AND(OFFSET(DATA!$F40,0,$AX$48)='Intermediate Data'!$AY$48,DATA!$E40="Tier 1"),IF(OR($AX$49=0,$AX$48=1),DATA!A40,IF(AND($AX$49=1,INDEX('Intermediate Data'!$AY$25:$AY$44,MATCH(DATA!$B40,'Intermediate Data'!$AX$25:$AX$44,0))=TRUE),DATA!A40,"")),"")</f>
        <v/>
      </c>
      <c r="AV91" s="112" t="str">
        <f ca="1">IF($AU91="","",DATA!B40)</f>
        <v/>
      </c>
      <c r="AW91" s="112" t="str">
        <f ca="1">IF(OR($AU91="",DATA!BI40=""),"",DATA!BI40)</f>
        <v/>
      </c>
      <c r="AX91" s="112" t="str">
        <f ca="1">IF(OR($AU91="",OFFSET(DATA!BK40,0,$AX$48)=""),"",OFFSET(DATA!BK40,0,$AX$48))</f>
        <v/>
      </c>
      <c r="AY91" s="112" t="str">
        <f ca="1">IF(OR($AU91="",OFFSET(DATA!BM40,0,$AX$48)=""),"",OFFSET(DATA!BM40,0,$AX$48))</f>
        <v/>
      </c>
      <c r="AZ91" s="112" t="str">
        <f ca="1">IF(OR($AU91="",OFFSET(DATA!BO40,0,'Intermediate Data'!$AX$48)=""),"",OFFSET(DATA!BO40,0,$AX$48))</f>
        <v/>
      </c>
      <c r="BA91" s="112" t="str">
        <f ca="1">IF(OR($AU91="",DATA!BQ40=""),"",DATA!BQ40)</f>
        <v/>
      </c>
      <c r="BB91" s="112" t="str">
        <f ca="1">IF($AU91="","",OFFSET(DATA!BS40,0,$AX$48))</f>
        <v/>
      </c>
      <c r="BC91" s="112" t="str">
        <f ca="1">IF($AU91="","",OFFSET(DATA!BU40,0,$AX$48))</f>
        <v/>
      </c>
      <c r="BD91" s="112" t="str">
        <f ca="1">IF($AU91="","",OFFSET(DATA!BW40,0,$AX$48))</f>
        <v/>
      </c>
      <c r="BE91" s="112" t="str">
        <f ca="1">IF($AU91="","",OFFSET(DATA!BY40,0,$AX$48))</f>
        <v/>
      </c>
      <c r="BF91" s="112" t="str">
        <f ca="1">IF($AU91="","",OFFSET(DATA!CA40,0,$AX$48))</f>
        <v/>
      </c>
      <c r="BG91" s="112" t="str">
        <f ca="1">IF($AU91="","",DATA!CC40)</f>
        <v/>
      </c>
      <c r="BH91" s="112" t="str">
        <f ca="1">IF($AU91="","",OFFSET(DATA!CE40,0,$AX$48))</f>
        <v/>
      </c>
      <c r="BI91" s="112" t="str">
        <f ca="1">IF($AU91="","",OFFSET(DATA!CG40,0,$AX$48))</f>
        <v/>
      </c>
      <c r="BJ91" s="112" t="str">
        <f ca="1">IF($AU91="","",OFFSET(DATA!CI40,0,$AX$48))</f>
        <v/>
      </c>
      <c r="BK91" s="112" t="str">
        <f ca="1">IF($AU91="","",OFFSET(DATA!CK40,0,$AX$48))</f>
        <v/>
      </c>
      <c r="BL91" s="112" t="str">
        <f ca="1">IF($AU91="","",OFFSET(DATA!CM40,0,$AX$48))</f>
        <v/>
      </c>
      <c r="BM91" s="112" t="str">
        <f ca="1">IF($AU91="","",DATA!BH40)</f>
        <v/>
      </c>
      <c r="BN91" s="112" t="str">
        <f ca="1">IF($AU91="","",DATA!DS40)</f>
        <v/>
      </c>
      <c r="BO91" s="112" t="str">
        <f ca="1">IF($AU91="","",DATA!DU40)</f>
        <v/>
      </c>
      <c r="BP91" s="112" t="str">
        <f ca="1">IF($AU91="","",DATA!DV40)</f>
        <v/>
      </c>
      <c r="BQ91" s="112" t="str">
        <f ca="1">IF($AU91="","",DATA!DX40)</f>
        <v/>
      </c>
      <c r="BR91" s="112" t="str">
        <f ca="1">IF($AU91="","",DATA!DZ40)</f>
        <v/>
      </c>
      <c r="BS91" s="171" t="str">
        <f ca="1">IF($AU91="","",DATA!EA40)</f>
        <v/>
      </c>
      <c r="BT91" s="171" t="str">
        <f ca="1">IF($AU91="","",DATA!EC40)</f>
        <v/>
      </c>
      <c r="BU91" s="171" t="str">
        <f ca="1">IF($AU91="","",DATA!EF40)</f>
        <v/>
      </c>
      <c r="BV91" s="113" t="str">
        <f t="shared" ca="1" si="10"/>
        <v/>
      </c>
      <c r="BW91" s="680" t="str">
        <f ca="1">IF(AU91="","",OFFSET(DATA!DC40,0,'Intermediate Data'!$AX$48))</f>
        <v/>
      </c>
      <c r="BX91" s="681" t="str">
        <f ca="1">IF($AU91="","",DATA!DG40)</f>
        <v/>
      </c>
      <c r="BY91" s="680" t="str">
        <f ca="1">IF($AU91="","",OFFSET(DATA!DE40,0,'Intermediate Data'!$AX$48))</f>
        <v/>
      </c>
      <c r="BZ91" s="681" t="str">
        <f ca="1">IF($AU91="","",DATA!DH40)</f>
        <v/>
      </c>
      <c r="CA91" s="90" t="str">
        <f t="shared" ca="1" si="11"/>
        <v/>
      </c>
      <c r="CB91" s="99" t="str">
        <f t="shared" ca="1" si="12"/>
        <v/>
      </c>
      <c r="CC91" s="90" t="str">
        <f t="shared" ca="1" si="13"/>
        <v/>
      </c>
      <c r="CD91" s="90" t="str">
        <f t="shared" ca="1" si="14"/>
        <v/>
      </c>
      <c r="CF91" s="90" t="str">
        <f ca="1">IF($CD91="","",IF(OFFSET(AV$55,'Intermediate Data'!$CD91,0)=-98,"Unknown",IF(OFFSET(AV$55,'Intermediate Data'!$CD91,0)=-99,"N/A",OFFSET(AV$55,'Intermediate Data'!$CD91,0))))</f>
        <v/>
      </c>
      <c r="CG91" s="90" t="str">
        <f ca="1">IF($CD91="","",IF(OFFSET(AW$55,'Intermediate Data'!$CD91,0)=-98,"",IF(OFFSET(AW$55,'Intermediate Data'!$CD91,0)=-99,"N/A",OFFSET(AW$55,'Intermediate Data'!$CD91,0))))</f>
        <v/>
      </c>
      <c r="CH91" s="90" t="str">
        <f ca="1">IF($CD91="","",IF(OFFSET(AX$55,'Intermediate Data'!$CD91,0)=-98,"Unknown",IF(OFFSET(AX$55,'Intermediate Data'!$CD91,0)=-99,"N/A",OFFSET(AX$55,'Intermediate Data'!$CD91,0))))</f>
        <v/>
      </c>
      <c r="CI91" s="125" t="str">
        <f ca="1">IF($CD91="","",IF(OFFSET(AY$55,'Intermediate Data'!$CD91,0)=-98,"Unknown",IF(OFFSET(AY$55,'Intermediate Data'!$CD91,0)=-99,"No spec",OFFSET(AY$55,'Intermediate Data'!$CD91,0))))</f>
        <v/>
      </c>
      <c r="CJ91" s="125" t="str">
        <f ca="1">IF($CD91="","",IF(OFFSET(AZ$55,'Intermediate Data'!$CD91,0)=-98,"Unknown",IF(OFFSET(AZ$55,'Intermediate Data'!$CD91,0)=-99,"N/A",OFFSET(AZ$55,'Intermediate Data'!$CD91,0))))</f>
        <v/>
      </c>
      <c r="CK91" s="90" t="str">
        <f ca="1">IF($CD91="","",IF(OFFSET(BA$55,'Intermediate Data'!$CD91,0)=-98,"Unknown",IF(OFFSET(BA$55,'Intermediate Data'!$CD91,0)=-99,"N/A",OFFSET(BA$55,'Intermediate Data'!$CD91,0))))</f>
        <v/>
      </c>
      <c r="CL91" s="90" t="str">
        <f ca="1">IF($CD91="","",IF(OFFSET(BB$55,'Intermediate Data'!$CD91,$AX$50)=-98,"Unknown",IF(OFFSET(BB$55,'Intermediate Data'!$CD91,$AX$50)="N/A","",OFFSET(BB$55,'Intermediate Data'!$CD91,$AX$50))))</f>
        <v/>
      </c>
      <c r="CM91" s="90" t="str">
        <f ca="1">IF($CD91="","",IF(OFFSET(BG$55,'Intermediate Data'!$CD91,0)="ET","ET",""))</f>
        <v/>
      </c>
      <c r="CN91" s="90" t="str">
        <f ca="1">IF($CD91="","",IF(OFFSET(BH$55,'Intermediate Data'!$CD91,$AX$50)=-98,"Unknown",IF(OFFSET(BH$55,'Intermediate Data'!$CD91,$AX$50)="N/A","",OFFSET(BH$55,'Intermediate Data'!$CD91,$AX$50))))</f>
        <v/>
      </c>
      <c r="CO91" s="90" t="str">
        <f ca="1">IF($CD91="","",IF(OFFSET(BM$55,'Intermediate Data'!$CD91,0)=-98,"Not published",IF(OFFSET(BM$55,'Intermediate Data'!$CD91,0)=-99,"No spec",OFFSET(BM$55,'Intermediate Data'!$CD91,0))))</f>
        <v/>
      </c>
      <c r="CP91" s="114" t="str">
        <f ca="1">IF($CD91="","",IF(OFFSET(BN$55,'Intermediate Data'!$CD91,0)=-98,"Unknown",IF(OFFSET(BN$55,'Intermediate Data'!$CD91,0)=-99,"N/A",OFFSET(BN$55,'Intermediate Data'!$CD91,0))))</f>
        <v/>
      </c>
      <c r="CQ91" s="114" t="str">
        <f ca="1">IF($CD91="","",IF(OFFSET(BO$55,'Intermediate Data'!$CD91,0)=-98,"Unknown",IF(OFFSET(BO$55,'Intermediate Data'!$CD91,0)=-99,"N/A",OFFSET(BO$55,'Intermediate Data'!$CD91,0))))</f>
        <v/>
      </c>
      <c r="CR91" s="114" t="str">
        <f ca="1">IF($CD91="","",IF(OFFSET(BP$55,'Intermediate Data'!$CD91,0)=-98,"Unknown",IF(OFFSET(BP$55,'Intermediate Data'!$CD91,0)=-99,"N/A",OFFSET(BP$55,'Intermediate Data'!$CD91,0))))</f>
        <v/>
      </c>
      <c r="CS91" s="114" t="str">
        <f ca="1">IF($CD91="","",IF(OFFSET(BQ$55,'Intermediate Data'!$CD91,0)=-98,"Unknown",IF(OFFSET(BQ$55,'Intermediate Data'!$CD91,0)=-99,"N/A",OFFSET(BQ$55,'Intermediate Data'!$CD91,0))))</f>
        <v/>
      </c>
      <c r="CT91" s="114" t="str">
        <f ca="1">IF($CD91="","",IF(OFFSET(BR$55,'Intermediate Data'!$CD91,0)=-98,"Unknown",IF(OFFSET(BR$55,'Intermediate Data'!$CD91,0)=-99,"N/A",OFFSET(BR$55,'Intermediate Data'!$CD91,0))))</f>
        <v/>
      </c>
      <c r="CU91" s="114" t="str">
        <f ca="1">IF($CD91="","",IF(OFFSET(BS$55,'Intermediate Data'!$CD91,0)=-98,"Unknown",IF(OFFSET(BS$55,'Intermediate Data'!$CD91,0)=-99,"N/A",OFFSET(BS$55,'Intermediate Data'!$CD91,0))))</f>
        <v/>
      </c>
      <c r="CV91" s="114" t="str">
        <f ca="1">IF($CD91="","",IF(OFFSET(BT$55,'Intermediate Data'!$CD91,0)=-98,"Unknown",IF(OFFSET(BT$55,'Intermediate Data'!$CD91,0)=-99,"N/A",OFFSET(BT$55,'Intermediate Data'!$CD91,0))))</f>
        <v/>
      </c>
      <c r="CW91" s="114" t="str">
        <f ca="1">IF($CD91="","",IF(OFFSET(BU$55,'Intermediate Data'!$CD91,0)=-98,"Unknown",IF(OFFSET(BU$55,'Intermediate Data'!$CD91,0)=-99,"N/A",OFFSET(BU$55,'Intermediate Data'!$CD91,0))))</f>
        <v/>
      </c>
      <c r="CX91" s="114" t="str">
        <f ca="1">IF($CD91="","",IF(OFFSET(BV$55,'Intermediate Data'!$CD91,0)=-98,"Unknown",IF(OFFSET(BV$55,'Intermediate Data'!$CD91,0)=-99,"N/A",OFFSET(BV$55,'Intermediate Data'!$CD91,0))))</f>
        <v/>
      </c>
      <c r="CY91" s="682" t="str">
        <f ca="1">IF($CD91="","",IF(OFFSET(BW$55,'Intermediate Data'!$CD91,0)=-98,"Unknown",IF(OFFSET(BW$55,'Intermediate Data'!$CD91,0)="N/A","",OFFSET(BW$55,'Intermediate Data'!$CD91,0))))</f>
        <v/>
      </c>
      <c r="CZ91" s="682" t="str">
        <f ca="1">IF($CD91="","",IF(OFFSET(BX$55,'Intermediate Data'!$CD91,0)=-98,"Unknown",IF(OFFSET(BX$55,'Intermediate Data'!$CD91,0)="N/A","",OFFSET(BX$55,'Intermediate Data'!$CD91,0))))</f>
        <v/>
      </c>
      <c r="DA91" s="682" t="str">
        <f ca="1">IF($CD91="","",IF(OFFSET(BY$55,'Intermediate Data'!$CD91,0)=-98,"Unknown",IF(OFFSET(BY$55,'Intermediate Data'!$CD91,0)="N/A","",OFFSET(BY$55,'Intermediate Data'!$CD91,0))))</f>
        <v/>
      </c>
      <c r="DB91" s="682" t="str">
        <f ca="1">IF($CD91="","",IF(OFFSET(BZ$55,'Intermediate Data'!$CD91,0)=-98,"Unknown",IF(OFFSET(BZ$55,'Intermediate Data'!$CD91,0)="N/A","",OFFSET(BZ$55,'Intermediate Data'!$CD91,0))))</f>
        <v/>
      </c>
    </row>
    <row r="92" spans="1:106" x14ac:dyDescent="0.2">
      <c r="A92" s="90">
        <f ca="1">IF(OFFSET(DATA!F41,0,$D$48)='Intermediate Data'!$E$48,IF(OR($E$49=$C$27,$E$48=$B$4),DATA!A41,IF($G$49=DATA!D41,DATA!A41,"")),"")</f>
        <v>37</v>
      </c>
      <c r="B92" s="90">
        <f ca="1">IF($A92="","",DATA!EH41)</f>
        <v>95</v>
      </c>
      <c r="C92" s="90" t="str">
        <f ca="1">IF($A92="","",DATA!B41)</f>
        <v>Espresso machine</v>
      </c>
      <c r="D92" s="90">
        <f ca="1">IF($A92="","",OFFSET(DATA!$H41,0,($D$50*5)))</f>
        <v>-99</v>
      </c>
      <c r="E92" s="90">
        <f ca="1">IF($A92="","",OFFSET(DATA!$H41,0,($D$50*5)+1))</f>
        <v>-99</v>
      </c>
      <c r="F92" s="90">
        <f ca="1">IF($A92="","",OFFSET(DATA!$H41,0,($D$50*5)+2))</f>
        <v>-99</v>
      </c>
      <c r="G92" s="90">
        <f ca="1">IF($A92="","",OFFSET(DATA!$H41,0,($D$50*5)+3))</f>
        <v>-99</v>
      </c>
      <c r="H92" s="90">
        <f ca="1">IF($A92="","",OFFSET(DATA!$H41,0,($D$50*5)+4))</f>
        <v>-99</v>
      </c>
      <c r="I92" s="90">
        <f t="shared" ca="1" si="2"/>
        <v>-99</v>
      </c>
      <c r="J92" s="90" t="str">
        <f t="shared" ca="1" si="3"/>
        <v/>
      </c>
      <c r="K92" s="90">
        <f ca="1">IF($A92="","",OFFSET(DATA!$AG41,0,($D$50*5)))</f>
        <v>-99</v>
      </c>
      <c r="L92" s="90">
        <f ca="1">IF($A92="","",OFFSET(DATA!$AG41,0,($D$50*5)+1))</f>
        <v>-99</v>
      </c>
      <c r="M92" s="90">
        <f ca="1">IF($A92="","",OFFSET(DATA!$AG41,0,($D$50*5)+2))</f>
        <v>-99</v>
      </c>
      <c r="N92" s="90">
        <f ca="1">IF($A92="","",OFFSET(DATA!$AG41,0,($D$50*5)+3))</f>
        <v>-99</v>
      </c>
      <c r="O92" s="90">
        <f ca="1">IF($A92="","",OFFSET(DATA!$AG41,0,($D$50*5)+4))</f>
        <v>-99</v>
      </c>
      <c r="P92" s="90">
        <f t="shared" ca="1" si="4"/>
        <v>-99</v>
      </c>
      <c r="Q92" s="90" t="str">
        <f t="shared" ca="1" si="5"/>
        <v/>
      </c>
      <c r="R92" s="699">
        <f ca="1">IF($A92="","",IF(DATA!BF41="",-99,DATA!BF41))</f>
        <v>-99</v>
      </c>
      <c r="S92" s="90">
        <f ca="1">IF($A92="","",IF(DATA!BG41="",-99,DATA!BF41-DATA!BG41))</f>
        <v>-99</v>
      </c>
      <c r="T92" s="90">
        <f ca="1">IF($A92="","",DATA!BH41)</f>
        <v>-99</v>
      </c>
      <c r="U92" s="90">
        <f ca="1">IF($A92="","",OFFSET(DATA!BM41,0,$D$48))</f>
        <v>-99</v>
      </c>
      <c r="V92" s="90">
        <f t="shared" ca="1" si="15"/>
        <v>95</v>
      </c>
      <c r="W92" s="99">
        <f t="shared" ca="1" si="7"/>
        <v>94.999881200920001</v>
      </c>
      <c r="X92" s="112">
        <f t="shared" ca="1" si="8"/>
        <v>97.999881200890002</v>
      </c>
      <c r="Y92" s="90">
        <f t="shared" ca="1" si="9"/>
        <v>34</v>
      </c>
      <c r="AA92" s="90" t="str">
        <f ca="1">IF($Y92="","",IF(OFFSET(C$55,'Intermediate Data'!$Y92,0)=-98,"Unknown",IF(OFFSET(C$55,'Intermediate Data'!$Y92,0)=-99,"N/A",OFFSET(C$55,'Intermediate Data'!$Y92,0))))</f>
        <v>Electric grill</v>
      </c>
      <c r="AB92" s="90" t="str">
        <f ca="1">IF($Y92="","",IF(OFFSET(D$55,'Intermediate Data'!$Y92,0)=-98,"N/A",IF(OFFSET(D$55,'Intermediate Data'!$Y92,0)=-99,"N/A",OFFSET(D$55,'Intermediate Data'!$Y92,0))))</f>
        <v>N/A</v>
      </c>
      <c r="AC92" s="90" t="str">
        <f ca="1">IF($Y92="","",IF(OFFSET(E$55,'Intermediate Data'!$Y92,0)=-98,"N/A",IF(OFFSET(E$55,'Intermediate Data'!$Y92,0)=-99,"N/A",OFFSET(E$55,'Intermediate Data'!$Y92,0))))</f>
        <v>N/A</v>
      </c>
      <c r="AD92" s="90" t="str">
        <f ca="1">IF($Y92="","",IF(OFFSET(F$55,'Intermediate Data'!$Y92,0)=-98,"N/A",IF(OFFSET(F$55,'Intermediate Data'!$Y92,0)=-99,"N/A",OFFSET(F$55,'Intermediate Data'!$Y92,0))))</f>
        <v>N/A</v>
      </c>
      <c r="AE92" s="90" t="str">
        <f ca="1">IF($Y92="","",IF(OFFSET(G$55,'Intermediate Data'!$Y92,0)=-98,"N/A",IF(OFFSET(G$55,'Intermediate Data'!$Y92,0)=-99,"N/A",OFFSET(G$55,'Intermediate Data'!$Y92,0))))</f>
        <v>N/A</v>
      </c>
      <c r="AF92" s="90" t="str">
        <f ca="1">IF($Y92="","",IF(OFFSET(H$55,'Intermediate Data'!$Y92,0)=-98,"N/A",IF(OFFSET(H$55,'Intermediate Data'!$Y92,0)=-99,"N/A",OFFSET(H$55,'Intermediate Data'!$Y92,0))))</f>
        <v>N/A</v>
      </c>
      <c r="AG92" s="90" t="str">
        <f ca="1">IF($Y92="","",IF(OFFSET(I$55,'Intermediate Data'!$Y92,0)=-98,"N/A",IF(OFFSET(I$55,'Intermediate Data'!$Y92,0)=-99,"N/A",OFFSET(I$55,'Intermediate Data'!$Y92,0))))</f>
        <v>N/A</v>
      </c>
      <c r="AH92" s="90" t="str">
        <f ca="1">IF($Y92="","",IF(OFFSET(J$55,'Intermediate Data'!$Y92,0)=-98,"N/A",IF(OFFSET(J$55,'Intermediate Data'!$Y92,0)=-99,"N/A",OFFSET(J$55,'Intermediate Data'!$Y92,0))))</f>
        <v/>
      </c>
      <c r="AI92" s="90" t="str">
        <f ca="1">IF($Y92="","",IF(OFFSET(K$55,'Intermediate Data'!$Y92,0)=-98,"N/A",IF(OFFSET(K$55,'Intermediate Data'!$Y92,0)=-99,"N/A",OFFSET(K$55,'Intermediate Data'!$Y92,0))))</f>
        <v>N/A</v>
      </c>
      <c r="AJ92" s="90" t="str">
        <f ca="1">IF($Y92="","",IF(OFFSET(L$55,'Intermediate Data'!$Y92,0)=-98,"N/A",IF(OFFSET(L$55,'Intermediate Data'!$Y92,0)=-99,"N/A",OFFSET(L$55,'Intermediate Data'!$Y92,0))))</f>
        <v>N/A</v>
      </c>
      <c r="AK92" s="90" t="str">
        <f ca="1">IF($Y92="","",IF(OFFSET(M$55,'Intermediate Data'!$Y92,0)=-98,"N/A",IF(OFFSET(M$55,'Intermediate Data'!$Y92,0)=-99,"N/A",OFFSET(M$55,'Intermediate Data'!$Y92,0))))</f>
        <v>N/A</v>
      </c>
      <c r="AL92" s="90" t="str">
        <f ca="1">IF($Y92="","",IF(OFFSET(N$55,'Intermediate Data'!$Y92,0)=-98,"N/A",IF(OFFSET(N$55,'Intermediate Data'!$Y92,0)=-99,"N/A",OFFSET(N$55,'Intermediate Data'!$Y92,0))))</f>
        <v>N/A</v>
      </c>
      <c r="AM92" s="90" t="str">
        <f ca="1">IF($Y92="","",IF(OFFSET(O$55,'Intermediate Data'!$Y92,0)=-98,"N/A",IF(OFFSET(O$55,'Intermediate Data'!$Y92,0)=-99,"N/A",OFFSET(O$55,'Intermediate Data'!$Y92,0))))</f>
        <v>N/A</v>
      </c>
      <c r="AN92" s="90" t="str">
        <f ca="1">IF($Y92="","",IF(OFFSET(P$55,'Intermediate Data'!$Y92,0)=-98,"N/A",IF(OFFSET(P$55,'Intermediate Data'!$Y92,0)=-99,"N/A",OFFSET(P$55,'Intermediate Data'!$Y92,0))))</f>
        <v>N/A</v>
      </c>
      <c r="AO92" s="90" t="str">
        <f ca="1">IF($Y92="","",IF(OFFSET(Q$55,'Intermediate Data'!$Y92,0)=-98,"N/A",IF(OFFSET(Q$55,'Intermediate Data'!$Y92,0)=-99,"N/A",OFFSET(Q$55,'Intermediate Data'!$Y92,0))))</f>
        <v/>
      </c>
      <c r="AP92" s="697" t="str">
        <f ca="1">IF($Y92="","",IF(OFFSET(S$55,'Intermediate Data'!$Y92,0)=-98,"",IF(OFFSET(S$55,'Intermediate Data'!$Y92,0)=-99,"",OFFSET(S$55,'Intermediate Data'!$Y92,0))))</f>
        <v/>
      </c>
      <c r="AQ92" s="90" t="str">
        <f ca="1">IF($Y92="","",IF(OFFSET(T$55,'Intermediate Data'!$Y92,0)=-98,"Not published",IF(OFFSET(T$55,'Intermediate Data'!$Y92,0)=-99,"",OFFSET(T$55,'Intermediate Data'!$Y92,0))))</f>
        <v/>
      </c>
      <c r="AR92" s="90" t="str">
        <f ca="1">IF($Y92="","",IF(OFFSET(U$55,'Intermediate Data'!$Y92,0)=-98,"Unknown",IF(OFFSET(U$55,'Intermediate Data'!$Y92,0)=-99,"",OFFSET(U$55,'Intermediate Data'!$Y92,0))))</f>
        <v/>
      </c>
      <c r="AU92" s="112" t="str">
        <f ca="1">IF(AND(OFFSET(DATA!$F41,0,$AX$48)='Intermediate Data'!$AY$48,DATA!$E41="Tier 1"),IF(OR($AX$49=0,$AX$48=1),DATA!A41,IF(AND($AX$49=1,INDEX('Intermediate Data'!$AY$25:$AY$44,MATCH(DATA!$B41,'Intermediate Data'!$AX$25:$AX$44,0))=TRUE),DATA!A41,"")),"")</f>
        <v/>
      </c>
      <c r="AV92" s="112" t="str">
        <f ca="1">IF($AU92="","",DATA!B41)</f>
        <v/>
      </c>
      <c r="AW92" s="112" t="str">
        <f ca="1">IF(OR($AU92="",DATA!BI41=""),"",DATA!BI41)</f>
        <v/>
      </c>
      <c r="AX92" s="112" t="str">
        <f ca="1">IF(OR($AU92="",OFFSET(DATA!BK41,0,$AX$48)=""),"",OFFSET(DATA!BK41,0,$AX$48))</f>
        <v/>
      </c>
      <c r="AY92" s="112" t="str">
        <f ca="1">IF(OR($AU92="",OFFSET(DATA!BM41,0,$AX$48)=""),"",OFFSET(DATA!BM41,0,$AX$48))</f>
        <v/>
      </c>
      <c r="AZ92" s="112" t="str">
        <f ca="1">IF(OR($AU92="",OFFSET(DATA!BO41,0,'Intermediate Data'!$AX$48)=""),"",OFFSET(DATA!BO41,0,$AX$48))</f>
        <v/>
      </c>
      <c r="BA92" s="112" t="str">
        <f ca="1">IF(OR($AU92="",DATA!BQ41=""),"",DATA!BQ41)</f>
        <v/>
      </c>
      <c r="BB92" s="112" t="str">
        <f ca="1">IF($AU92="","",OFFSET(DATA!BS41,0,$AX$48))</f>
        <v/>
      </c>
      <c r="BC92" s="112" t="str">
        <f ca="1">IF($AU92="","",OFFSET(DATA!BU41,0,$AX$48))</f>
        <v/>
      </c>
      <c r="BD92" s="112" t="str">
        <f ca="1">IF($AU92="","",OFFSET(DATA!BW41,0,$AX$48))</f>
        <v/>
      </c>
      <c r="BE92" s="112" t="str">
        <f ca="1">IF($AU92="","",OFFSET(DATA!BY41,0,$AX$48))</f>
        <v/>
      </c>
      <c r="BF92" s="112" t="str">
        <f ca="1">IF($AU92="","",OFFSET(DATA!CA41,0,$AX$48))</f>
        <v/>
      </c>
      <c r="BG92" s="112" t="str">
        <f ca="1">IF($AU92="","",DATA!CC41)</f>
        <v/>
      </c>
      <c r="BH92" s="112" t="str">
        <f ca="1">IF($AU92="","",OFFSET(DATA!CE41,0,$AX$48))</f>
        <v/>
      </c>
      <c r="BI92" s="112" t="str">
        <f ca="1">IF($AU92="","",OFFSET(DATA!CG41,0,$AX$48))</f>
        <v/>
      </c>
      <c r="BJ92" s="112" t="str">
        <f ca="1">IF($AU92="","",OFFSET(DATA!CI41,0,$AX$48))</f>
        <v/>
      </c>
      <c r="BK92" s="112" t="str">
        <f ca="1">IF($AU92="","",OFFSET(DATA!CK41,0,$AX$48))</f>
        <v/>
      </c>
      <c r="BL92" s="112" t="str">
        <f ca="1">IF($AU92="","",OFFSET(DATA!CM41,0,$AX$48))</f>
        <v/>
      </c>
      <c r="BM92" s="112" t="str">
        <f ca="1">IF($AU92="","",DATA!BH41)</f>
        <v/>
      </c>
      <c r="BN92" s="112" t="str">
        <f ca="1">IF($AU92="","",DATA!DS41)</f>
        <v/>
      </c>
      <c r="BO92" s="112" t="str">
        <f ca="1">IF($AU92="","",DATA!DU41)</f>
        <v/>
      </c>
      <c r="BP92" s="112" t="str">
        <f ca="1">IF($AU92="","",DATA!DV41)</f>
        <v/>
      </c>
      <c r="BQ92" s="112" t="str">
        <f ca="1">IF($AU92="","",DATA!DX41)</f>
        <v/>
      </c>
      <c r="BR92" s="112" t="str">
        <f ca="1">IF($AU92="","",DATA!DZ41)</f>
        <v/>
      </c>
      <c r="BS92" s="171" t="str">
        <f ca="1">IF($AU92="","",DATA!EA41)</f>
        <v/>
      </c>
      <c r="BT92" s="171" t="str">
        <f ca="1">IF($AU92="","",DATA!EC41)</f>
        <v/>
      </c>
      <c r="BU92" s="171" t="str">
        <f ca="1">IF($AU92="","",DATA!EF41)</f>
        <v/>
      </c>
      <c r="BV92" s="113" t="str">
        <f t="shared" ca="1" si="10"/>
        <v/>
      </c>
      <c r="BW92" s="680" t="str">
        <f ca="1">IF(AU92="","",OFFSET(DATA!DC41,0,'Intermediate Data'!$AX$48))</f>
        <v/>
      </c>
      <c r="BX92" s="681" t="str">
        <f ca="1">IF($AU92="","",DATA!DG41)</f>
        <v/>
      </c>
      <c r="BY92" s="680" t="str">
        <f ca="1">IF($AU92="","",OFFSET(DATA!DE41,0,'Intermediate Data'!$AX$48))</f>
        <v/>
      </c>
      <c r="BZ92" s="681" t="str">
        <f ca="1">IF($AU92="","",DATA!DH41)</f>
        <v/>
      </c>
      <c r="CA92" s="90" t="str">
        <f t="shared" ca="1" si="11"/>
        <v/>
      </c>
      <c r="CB92" s="99" t="str">
        <f t="shared" ca="1" si="12"/>
        <v/>
      </c>
      <c r="CC92" s="90" t="str">
        <f t="shared" ca="1" si="13"/>
        <v/>
      </c>
      <c r="CD92" s="90" t="str">
        <f t="shared" ca="1" si="14"/>
        <v/>
      </c>
      <c r="CF92" s="90" t="str">
        <f ca="1">IF($CD92="","",IF(OFFSET(AV$55,'Intermediate Data'!$CD92,0)=-98,"Unknown",IF(OFFSET(AV$55,'Intermediate Data'!$CD92,0)=-99,"N/A",OFFSET(AV$55,'Intermediate Data'!$CD92,0))))</f>
        <v/>
      </c>
      <c r="CG92" s="90" t="str">
        <f ca="1">IF($CD92="","",IF(OFFSET(AW$55,'Intermediate Data'!$CD92,0)=-98,"",IF(OFFSET(AW$55,'Intermediate Data'!$CD92,0)=-99,"N/A",OFFSET(AW$55,'Intermediate Data'!$CD92,0))))</f>
        <v/>
      </c>
      <c r="CH92" s="90" t="str">
        <f ca="1">IF($CD92="","",IF(OFFSET(AX$55,'Intermediate Data'!$CD92,0)=-98,"Unknown",IF(OFFSET(AX$55,'Intermediate Data'!$CD92,0)=-99,"N/A",OFFSET(AX$55,'Intermediate Data'!$CD92,0))))</f>
        <v/>
      </c>
      <c r="CI92" s="125" t="str">
        <f ca="1">IF($CD92="","",IF(OFFSET(AY$55,'Intermediate Data'!$CD92,0)=-98,"Unknown",IF(OFFSET(AY$55,'Intermediate Data'!$CD92,0)=-99,"No spec",OFFSET(AY$55,'Intermediate Data'!$CD92,0))))</f>
        <v/>
      </c>
      <c r="CJ92" s="125" t="str">
        <f ca="1">IF($CD92="","",IF(OFFSET(AZ$55,'Intermediate Data'!$CD92,0)=-98,"Unknown",IF(OFFSET(AZ$55,'Intermediate Data'!$CD92,0)=-99,"N/A",OFFSET(AZ$55,'Intermediate Data'!$CD92,0))))</f>
        <v/>
      </c>
      <c r="CK92" s="90" t="str">
        <f ca="1">IF($CD92="","",IF(OFFSET(BA$55,'Intermediate Data'!$CD92,0)=-98,"Unknown",IF(OFFSET(BA$55,'Intermediate Data'!$CD92,0)=-99,"N/A",OFFSET(BA$55,'Intermediate Data'!$CD92,0))))</f>
        <v/>
      </c>
      <c r="CL92" s="90" t="str">
        <f ca="1">IF($CD92="","",IF(OFFSET(BB$55,'Intermediate Data'!$CD92,$AX$50)=-98,"Unknown",IF(OFFSET(BB$55,'Intermediate Data'!$CD92,$AX$50)="N/A","",OFFSET(BB$55,'Intermediate Data'!$CD92,$AX$50))))</f>
        <v/>
      </c>
      <c r="CM92" s="90" t="str">
        <f ca="1">IF($CD92="","",IF(OFFSET(BG$55,'Intermediate Data'!$CD92,0)="ET","ET",""))</f>
        <v/>
      </c>
      <c r="CN92" s="90" t="str">
        <f ca="1">IF($CD92="","",IF(OFFSET(BH$55,'Intermediate Data'!$CD92,$AX$50)=-98,"Unknown",IF(OFFSET(BH$55,'Intermediate Data'!$CD92,$AX$50)="N/A","",OFFSET(BH$55,'Intermediate Data'!$CD92,$AX$50))))</f>
        <v/>
      </c>
      <c r="CO92" s="90" t="str">
        <f ca="1">IF($CD92="","",IF(OFFSET(BM$55,'Intermediate Data'!$CD92,0)=-98,"Not published",IF(OFFSET(BM$55,'Intermediate Data'!$CD92,0)=-99,"No spec",OFFSET(BM$55,'Intermediate Data'!$CD92,0))))</f>
        <v/>
      </c>
      <c r="CP92" s="114" t="str">
        <f ca="1">IF($CD92="","",IF(OFFSET(BN$55,'Intermediate Data'!$CD92,0)=-98,"Unknown",IF(OFFSET(BN$55,'Intermediate Data'!$CD92,0)=-99,"N/A",OFFSET(BN$55,'Intermediate Data'!$CD92,0))))</f>
        <v/>
      </c>
      <c r="CQ92" s="114" t="str">
        <f ca="1">IF($CD92="","",IF(OFFSET(BO$55,'Intermediate Data'!$CD92,0)=-98,"Unknown",IF(OFFSET(BO$55,'Intermediate Data'!$CD92,0)=-99,"N/A",OFFSET(BO$55,'Intermediate Data'!$CD92,0))))</f>
        <v/>
      </c>
      <c r="CR92" s="114" t="str">
        <f ca="1">IF($CD92="","",IF(OFFSET(BP$55,'Intermediate Data'!$CD92,0)=-98,"Unknown",IF(OFFSET(BP$55,'Intermediate Data'!$CD92,0)=-99,"N/A",OFFSET(BP$55,'Intermediate Data'!$CD92,0))))</f>
        <v/>
      </c>
      <c r="CS92" s="114" t="str">
        <f ca="1">IF($CD92="","",IF(OFFSET(BQ$55,'Intermediate Data'!$CD92,0)=-98,"Unknown",IF(OFFSET(BQ$55,'Intermediate Data'!$CD92,0)=-99,"N/A",OFFSET(BQ$55,'Intermediate Data'!$CD92,0))))</f>
        <v/>
      </c>
      <c r="CT92" s="114" t="str">
        <f ca="1">IF($CD92="","",IF(OFFSET(BR$55,'Intermediate Data'!$CD92,0)=-98,"Unknown",IF(OFFSET(BR$55,'Intermediate Data'!$CD92,0)=-99,"N/A",OFFSET(BR$55,'Intermediate Data'!$CD92,0))))</f>
        <v/>
      </c>
      <c r="CU92" s="114" t="str">
        <f ca="1">IF($CD92="","",IF(OFFSET(BS$55,'Intermediate Data'!$CD92,0)=-98,"Unknown",IF(OFFSET(BS$55,'Intermediate Data'!$CD92,0)=-99,"N/A",OFFSET(BS$55,'Intermediate Data'!$CD92,0))))</f>
        <v/>
      </c>
      <c r="CV92" s="114" t="str">
        <f ca="1">IF($CD92="","",IF(OFFSET(BT$55,'Intermediate Data'!$CD92,0)=-98,"Unknown",IF(OFFSET(BT$55,'Intermediate Data'!$CD92,0)=-99,"N/A",OFFSET(BT$55,'Intermediate Data'!$CD92,0))))</f>
        <v/>
      </c>
      <c r="CW92" s="114" t="str">
        <f ca="1">IF($CD92="","",IF(OFFSET(BU$55,'Intermediate Data'!$CD92,0)=-98,"Unknown",IF(OFFSET(BU$55,'Intermediate Data'!$CD92,0)=-99,"N/A",OFFSET(BU$55,'Intermediate Data'!$CD92,0))))</f>
        <v/>
      </c>
      <c r="CX92" s="114" t="str">
        <f ca="1">IF($CD92="","",IF(OFFSET(BV$55,'Intermediate Data'!$CD92,0)=-98,"Unknown",IF(OFFSET(BV$55,'Intermediate Data'!$CD92,0)=-99,"N/A",OFFSET(BV$55,'Intermediate Data'!$CD92,0))))</f>
        <v/>
      </c>
      <c r="CY92" s="682" t="str">
        <f ca="1">IF($CD92="","",IF(OFFSET(BW$55,'Intermediate Data'!$CD92,0)=-98,"Unknown",IF(OFFSET(BW$55,'Intermediate Data'!$CD92,0)="N/A","",OFFSET(BW$55,'Intermediate Data'!$CD92,0))))</f>
        <v/>
      </c>
      <c r="CZ92" s="682" t="str">
        <f ca="1">IF($CD92="","",IF(OFFSET(BX$55,'Intermediate Data'!$CD92,0)=-98,"Unknown",IF(OFFSET(BX$55,'Intermediate Data'!$CD92,0)="N/A","",OFFSET(BX$55,'Intermediate Data'!$CD92,0))))</f>
        <v/>
      </c>
      <c r="DA92" s="682" t="str">
        <f ca="1">IF($CD92="","",IF(OFFSET(BY$55,'Intermediate Data'!$CD92,0)=-98,"Unknown",IF(OFFSET(BY$55,'Intermediate Data'!$CD92,0)="N/A","",OFFSET(BY$55,'Intermediate Data'!$CD92,0))))</f>
        <v/>
      </c>
      <c r="DB92" s="682" t="str">
        <f ca="1">IF($CD92="","",IF(OFFSET(BZ$55,'Intermediate Data'!$CD92,0)=-98,"Unknown",IF(OFFSET(BZ$55,'Intermediate Data'!$CD92,0)="N/A","",OFFSET(BZ$55,'Intermediate Data'!$CD92,0))))</f>
        <v/>
      </c>
    </row>
    <row r="93" spans="1:106" x14ac:dyDescent="0.2">
      <c r="A93" s="90">
        <f ca="1">IF(OFFSET(DATA!F42,0,$D$48)='Intermediate Data'!$E$48,IF(OR($E$49=$C$27,$E$48=$B$4),DATA!A42,IF($G$49=DATA!D42,DATA!A42,"")),"")</f>
        <v>38</v>
      </c>
      <c r="B93" s="90">
        <f ca="1">IF($A93="","",DATA!EH42)</f>
        <v>89</v>
      </c>
      <c r="C93" s="90" t="str">
        <f ca="1">IF($A93="","",DATA!B42)</f>
        <v>Food processing</v>
      </c>
      <c r="D93" s="90">
        <f ca="1">IF($A93="","",OFFSET(DATA!$H42,0,($D$50*5)))</f>
        <v>-99</v>
      </c>
      <c r="E93" s="90">
        <f ca="1">IF($A93="","",OFFSET(DATA!$H42,0,($D$50*5)+1))</f>
        <v>-99</v>
      </c>
      <c r="F93" s="90">
        <f ca="1">IF($A93="","",OFFSET(DATA!$H42,0,($D$50*5)+2))</f>
        <v>-99</v>
      </c>
      <c r="G93" s="90">
        <f ca="1">IF($A93="","",OFFSET(DATA!$H42,0,($D$50*5)+3))</f>
        <v>-99</v>
      </c>
      <c r="H93" s="90">
        <f ca="1">IF($A93="","",OFFSET(DATA!$H42,0,($D$50*5)+4))</f>
        <v>-99</v>
      </c>
      <c r="I93" s="90">
        <f t="shared" ca="1" si="2"/>
        <v>-99</v>
      </c>
      <c r="J93" s="90" t="str">
        <f t="shared" ca="1" si="3"/>
        <v/>
      </c>
      <c r="K93" s="90">
        <f ca="1">IF($A93="","",OFFSET(DATA!$AG42,0,($D$50*5)))</f>
        <v>-99</v>
      </c>
      <c r="L93" s="90">
        <f ca="1">IF($A93="","",OFFSET(DATA!$AG42,0,($D$50*5)+1))</f>
        <v>-99</v>
      </c>
      <c r="M93" s="90">
        <f ca="1">IF($A93="","",OFFSET(DATA!$AG42,0,($D$50*5)+2))</f>
        <v>-99</v>
      </c>
      <c r="N93" s="90">
        <f ca="1">IF($A93="","",OFFSET(DATA!$AG42,0,($D$50*5)+3))</f>
        <v>-99</v>
      </c>
      <c r="O93" s="90">
        <f ca="1">IF($A93="","",OFFSET(DATA!$AG42,0,($D$50*5)+4))</f>
        <v>-99</v>
      </c>
      <c r="P93" s="90">
        <f t="shared" ca="1" si="4"/>
        <v>-99</v>
      </c>
      <c r="Q93" s="90" t="str">
        <f t="shared" ca="1" si="5"/>
        <v/>
      </c>
      <c r="R93" s="699">
        <f ca="1">IF($A93="","",IF(DATA!BF42="",-99,DATA!BF42))</f>
        <v>-99</v>
      </c>
      <c r="S93" s="90">
        <f ca="1">IF($A93="","",IF(DATA!BG42="",-99,DATA!BF42-DATA!BG42))</f>
        <v>-99</v>
      </c>
      <c r="T93" s="90">
        <f ca="1">IF($A93="","",DATA!BH42)</f>
        <v>-99</v>
      </c>
      <c r="U93" s="90">
        <f ca="1">IF($A93="","",OFFSET(DATA!BM42,0,$D$48))</f>
        <v>-99</v>
      </c>
      <c r="V93" s="90">
        <f t="shared" ca="1" si="15"/>
        <v>89</v>
      </c>
      <c r="W93" s="99">
        <f t="shared" ca="1" si="7"/>
        <v>88.999881200930005</v>
      </c>
      <c r="X93" s="112">
        <f t="shared" ca="1" si="8"/>
        <v>96.999881200900006</v>
      </c>
      <c r="Y93" s="90">
        <f t="shared" ca="1" si="9"/>
        <v>35</v>
      </c>
      <c r="AA93" s="90" t="str">
        <f ca="1">IF($Y93="","",IF(OFFSET(C$55,'Intermediate Data'!$Y93,0)=-98,"Unknown",IF(OFFSET(C$55,'Intermediate Data'!$Y93,0)=-99,"N/A",OFFSET(C$55,'Intermediate Data'!$Y93,0))))</f>
        <v>Electric kettle</v>
      </c>
      <c r="AB93" s="90" t="str">
        <f ca="1">IF($Y93="","",IF(OFFSET(D$55,'Intermediate Data'!$Y93,0)=-98,"N/A",IF(OFFSET(D$55,'Intermediate Data'!$Y93,0)=-99,"N/A",OFFSET(D$55,'Intermediate Data'!$Y93,0))))</f>
        <v>N/A</v>
      </c>
      <c r="AC93" s="90" t="str">
        <f ca="1">IF($Y93="","",IF(OFFSET(E$55,'Intermediate Data'!$Y93,0)=-98,"N/A",IF(OFFSET(E$55,'Intermediate Data'!$Y93,0)=-99,"N/A",OFFSET(E$55,'Intermediate Data'!$Y93,0))))</f>
        <v>N/A</v>
      </c>
      <c r="AD93" s="90" t="str">
        <f ca="1">IF($Y93="","",IF(OFFSET(F$55,'Intermediate Data'!$Y93,0)=-98,"N/A",IF(OFFSET(F$55,'Intermediate Data'!$Y93,0)=-99,"N/A",OFFSET(F$55,'Intermediate Data'!$Y93,0))))</f>
        <v>N/A</v>
      </c>
      <c r="AE93" s="90" t="str">
        <f ca="1">IF($Y93="","",IF(OFFSET(G$55,'Intermediate Data'!$Y93,0)=-98,"N/A",IF(OFFSET(G$55,'Intermediate Data'!$Y93,0)=-99,"N/A",OFFSET(G$55,'Intermediate Data'!$Y93,0))))</f>
        <v>N/A</v>
      </c>
      <c r="AF93" s="90" t="str">
        <f ca="1">IF($Y93="","",IF(OFFSET(H$55,'Intermediate Data'!$Y93,0)=-98,"N/A",IF(OFFSET(H$55,'Intermediate Data'!$Y93,0)=-99,"N/A",OFFSET(H$55,'Intermediate Data'!$Y93,0))))</f>
        <v>N/A</v>
      </c>
      <c r="AG93" s="90" t="str">
        <f ca="1">IF($Y93="","",IF(OFFSET(I$55,'Intermediate Data'!$Y93,0)=-98,"N/A",IF(OFFSET(I$55,'Intermediate Data'!$Y93,0)=-99,"N/A",OFFSET(I$55,'Intermediate Data'!$Y93,0))))</f>
        <v>N/A</v>
      </c>
      <c r="AH93" s="90" t="str">
        <f ca="1">IF($Y93="","",IF(OFFSET(J$55,'Intermediate Data'!$Y93,0)=-98,"N/A",IF(OFFSET(J$55,'Intermediate Data'!$Y93,0)=-99,"N/A",OFFSET(J$55,'Intermediate Data'!$Y93,0))))</f>
        <v/>
      </c>
      <c r="AI93" s="90" t="str">
        <f ca="1">IF($Y93="","",IF(OFFSET(K$55,'Intermediate Data'!$Y93,0)=-98,"N/A",IF(OFFSET(K$55,'Intermediate Data'!$Y93,0)=-99,"N/A",OFFSET(K$55,'Intermediate Data'!$Y93,0))))</f>
        <v>N/A</v>
      </c>
      <c r="AJ93" s="90" t="str">
        <f ca="1">IF($Y93="","",IF(OFFSET(L$55,'Intermediate Data'!$Y93,0)=-98,"N/A",IF(OFFSET(L$55,'Intermediate Data'!$Y93,0)=-99,"N/A",OFFSET(L$55,'Intermediate Data'!$Y93,0))))</f>
        <v>N/A</v>
      </c>
      <c r="AK93" s="90" t="str">
        <f ca="1">IF($Y93="","",IF(OFFSET(M$55,'Intermediate Data'!$Y93,0)=-98,"N/A",IF(OFFSET(M$55,'Intermediate Data'!$Y93,0)=-99,"N/A",OFFSET(M$55,'Intermediate Data'!$Y93,0))))</f>
        <v>N/A</v>
      </c>
      <c r="AL93" s="90" t="str">
        <f ca="1">IF($Y93="","",IF(OFFSET(N$55,'Intermediate Data'!$Y93,0)=-98,"N/A",IF(OFFSET(N$55,'Intermediate Data'!$Y93,0)=-99,"N/A",OFFSET(N$55,'Intermediate Data'!$Y93,0))))</f>
        <v>N/A</v>
      </c>
      <c r="AM93" s="90" t="str">
        <f ca="1">IF($Y93="","",IF(OFFSET(O$55,'Intermediate Data'!$Y93,0)=-98,"N/A",IF(OFFSET(O$55,'Intermediate Data'!$Y93,0)=-99,"N/A",OFFSET(O$55,'Intermediate Data'!$Y93,0))))</f>
        <v>N/A</v>
      </c>
      <c r="AN93" s="90" t="str">
        <f ca="1">IF($Y93="","",IF(OFFSET(P$55,'Intermediate Data'!$Y93,0)=-98,"N/A",IF(OFFSET(P$55,'Intermediate Data'!$Y93,0)=-99,"N/A",OFFSET(P$55,'Intermediate Data'!$Y93,0))))</f>
        <v>N/A</v>
      </c>
      <c r="AO93" s="90" t="str">
        <f ca="1">IF($Y93="","",IF(OFFSET(Q$55,'Intermediate Data'!$Y93,0)=-98,"N/A",IF(OFFSET(Q$55,'Intermediate Data'!$Y93,0)=-99,"N/A",OFFSET(Q$55,'Intermediate Data'!$Y93,0))))</f>
        <v/>
      </c>
      <c r="AP93" s="697" t="str">
        <f ca="1">IF($Y93="","",IF(OFFSET(S$55,'Intermediate Data'!$Y93,0)=-98,"",IF(OFFSET(S$55,'Intermediate Data'!$Y93,0)=-99,"",OFFSET(S$55,'Intermediate Data'!$Y93,0))))</f>
        <v/>
      </c>
      <c r="AQ93" s="90" t="str">
        <f ca="1">IF($Y93="","",IF(OFFSET(T$55,'Intermediate Data'!$Y93,0)=-98,"Not published",IF(OFFSET(T$55,'Intermediate Data'!$Y93,0)=-99,"",OFFSET(T$55,'Intermediate Data'!$Y93,0))))</f>
        <v/>
      </c>
      <c r="AR93" s="90" t="str">
        <f ca="1">IF($Y93="","",IF(OFFSET(U$55,'Intermediate Data'!$Y93,0)=-98,"Unknown",IF(OFFSET(U$55,'Intermediate Data'!$Y93,0)=-99,"",OFFSET(U$55,'Intermediate Data'!$Y93,0))))</f>
        <v/>
      </c>
      <c r="AU93" s="112" t="str">
        <f ca="1">IF(AND(OFFSET(DATA!$F42,0,$AX$48)='Intermediate Data'!$AY$48,DATA!$E42="Tier 1"),IF(OR($AX$49=0,$AX$48=1),DATA!A42,IF(AND($AX$49=1,INDEX('Intermediate Data'!$AY$25:$AY$44,MATCH(DATA!$B42,'Intermediate Data'!$AX$25:$AX$44,0))=TRUE),DATA!A42,"")),"")</f>
        <v/>
      </c>
      <c r="AV93" s="112" t="str">
        <f ca="1">IF($AU93="","",DATA!B42)</f>
        <v/>
      </c>
      <c r="AW93" s="112" t="str">
        <f ca="1">IF(OR($AU93="",DATA!BI42=""),"",DATA!BI42)</f>
        <v/>
      </c>
      <c r="AX93" s="112" t="str">
        <f ca="1">IF(OR($AU93="",OFFSET(DATA!BK42,0,$AX$48)=""),"",OFFSET(DATA!BK42,0,$AX$48))</f>
        <v/>
      </c>
      <c r="AY93" s="112" t="str">
        <f ca="1">IF(OR($AU93="",OFFSET(DATA!BM42,0,$AX$48)=""),"",OFFSET(DATA!BM42,0,$AX$48))</f>
        <v/>
      </c>
      <c r="AZ93" s="112" t="str">
        <f ca="1">IF(OR($AU93="",OFFSET(DATA!BO42,0,'Intermediate Data'!$AX$48)=""),"",OFFSET(DATA!BO42,0,$AX$48))</f>
        <v/>
      </c>
      <c r="BA93" s="112" t="str">
        <f ca="1">IF(OR($AU93="",DATA!BQ42=""),"",DATA!BQ42)</f>
        <v/>
      </c>
      <c r="BB93" s="112" t="str">
        <f ca="1">IF($AU93="","",OFFSET(DATA!BS42,0,$AX$48))</f>
        <v/>
      </c>
      <c r="BC93" s="112" t="str">
        <f ca="1">IF($AU93="","",OFFSET(DATA!BU42,0,$AX$48))</f>
        <v/>
      </c>
      <c r="BD93" s="112" t="str">
        <f ca="1">IF($AU93="","",OFFSET(DATA!BW42,0,$AX$48))</f>
        <v/>
      </c>
      <c r="BE93" s="112" t="str">
        <f ca="1">IF($AU93="","",OFFSET(DATA!BY42,0,$AX$48))</f>
        <v/>
      </c>
      <c r="BF93" s="112" t="str">
        <f ca="1">IF($AU93="","",OFFSET(DATA!CA42,0,$AX$48))</f>
        <v/>
      </c>
      <c r="BG93" s="112" t="str">
        <f ca="1">IF($AU93="","",DATA!CC42)</f>
        <v/>
      </c>
      <c r="BH93" s="112" t="str">
        <f ca="1">IF($AU93="","",OFFSET(DATA!CE42,0,$AX$48))</f>
        <v/>
      </c>
      <c r="BI93" s="112" t="str">
        <f ca="1">IF($AU93="","",OFFSET(DATA!CG42,0,$AX$48))</f>
        <v/>
      </c>
      <c r="BJ93" s="112" t="str">
        <f ca="1">IF($AU93="","",OFFSET(DATA!CI42,0,$AX$48))</f>
        <v/>
      </c>
      <c r="BK93" s="112" t="str">
        <f ca="1">IF($AU93="","",OFFSET(DATA!CK42,0,$AX$48))</f>
        <v/>
      </c>
      <c r="BL93" s="112" t="str">
        <f ca="1">IF($AU93="","",OFFSET(DATA!CM42,0,$AX$48))</f>
        <v/>
      </c>
      <c r="BM93" s="112" t="str">
        <f ca="1">IF($AU93="","",DATA!BH42)</f>
        <v/>
      </c>
      <c r="BN93" s="112" t="str">
        <f ca="1">IF($AU93="","",DATA!DS42)</f>
        <v/>
      </c>
      <c r="BO93" s="112" t="str">
        <f ca="1">IF($AU93="","",DATA!DU42)</f>
        <v/>
      </c>
      <c r="BP93" s="112" t="str">
        <f ca="1">IF($AU93="","",DATA!DV42)</f>
        <v/>
      </c>
      <c r="BQ93" s="112" t="str">
        <f ca="1">IF($AU93="","",DATA!DX42)</f>
        <v/>
      </c>
      <c r="BR93" s="112" t="str">
        <f ca="1">IF($AU93="","",DATA!DZ42)</f>
        <v/>
      </c>
      <c r="BS93" s="171" t="str">
        <f ca="1">IF($AU93="","",DATA!EA42)</f>
        <v/>
      </c>
      <c r="BT93" s="171" t="str">
        <f ca="1">IF($AU93="","",DATA!EC42)</f>
        <v/>
      </c>
      <c r="BU93" s="171" t="str">
        <f ca="1">IF($AU93="","",DATA!EF42)</f>
        <v/>
      </c>
      <c r="BV93" s="113" t="str">
        <f t="shared" ca="1" si="10"/>
        <v/>
      </c>
      <c r="BW93" s="680" t="str">
        <f ca="1">IF(AU93="","",OFFSET(DATA!DC42,0,'Intermediate Data'!$AX$48))</f>
        <v/>
      </c>
      <c r="BX93" s="681" t="str">
        <f ca="1">IF($AU93="","",DATA!DG42)</f>
        <v/>
      </c>
      <c r="BY93" s="680" t="str">
        <f ca="1">IF($AU93="","",OFFSET(DATA!DE42,0,'Intermediate Data'!$AX$48))</f>
        <v/>
      </c>
      <c r="BZ93" s="681" t="str">
        <f ca="1">IF($AU93="","",DATA!DH42)</f>
        <v/>
      </c>
      <c r="CA93" s="90" t="str">
        <f t="shared" ca="1" si="11"/>
        <v/>
      </c>
      <c r="CB93" s="99" t="str">
        <f t="shared" ca="1" si="12"/>
        <v/>
      </c>
      <c r="CC93" s="90" t="str">
        <f t="shared" ca="1" si="13"/>
        <v/>
      </c>
      <c r="CD93" s="90" t="str">
        <f t="shared" ca="1" si="14"/>
        <v/>
      </c>
      <c r="CF93" s="90" t="str">
        <f ca="1">IF($CD93="","",IF(OFFSET(AV$55,'Intermediate Data'!$CD93,0)=-98,"Unknown",IF(OFFSET(AV$55,'Intermediate Data'!$CD93,0)=-99,"N/A",OFFSET(AV$55,'Intermediate Data'!$CD93,0))))</f>
        <v/>
      </c>
      <c r="CG93" s="90" t="str">
        <f ca="1">IF($CD93="","",IF(OFFSET(AW$55,'Intermediate Data'!$CD93,0)=-98,"",IF(OFFSET(AW$55,'Intermediate Data'!$CD93,0)=-99,"N/A",OFFSET(AW$55,'Intermediate Data'!$CD93,0))))</f>
        <v/>
      </c>
      <c r="CH93" s="90" t="str">
        <f ca="1">IF($CD93="","",IF(OFFSET(AX$55,'Intermediate Data'!$CD93,0)=-98,"Unknown",IF(OFFSET(AX$55,'Intermediate Data'!$CD93,0)=-99,"N/A",OFFSET(AX$55,'Intermediate Data'!$CD93,0))))</f>
        <v/>
      </c>
      <c r="CI93" s="125" t="str">
        <f ca="1">IF($CD93="","",IF(OFFSET(AY$55,'Intermediate Data'!$CD93,0)=-98,"Unknown",IF(OFFSET(AY$55,'Intermediate Data'!$CD93,0)=-99,"No spec",OFFSET(AY$55,'Intermediate Data'!$CD93,0))))</f>
        <v/>
      </c>
      <c r="CJ93" s="125" t="str">
        <f ca="1">IF($CD93="","",IF(OFFSET(AZ$55,'Intermediate Data'!$CD93,0)=-98,"Unknown",IF(OFFSET(AZ$55,'Intermediate Data'!$CD93,0)=-99,"N/A",OFFSET(AZ$55,'Intermediate Data'!$CD93,0))))</f>
        <v/>
      </c>
      <c r="CK93" s="90" t="str">
        <f ca="1">IF($CD93="","",IF(OFFSET(BA$55,'Intermediate Data'!$CD93,0)=-98,"Unknown",IF(OFFSET(BA$55,'Intermediate Data'!$CD93,0)=-99,"N/A",OFFSET(BA$55,'Intermediate Data'!$CD93,0))))</f>
        <v/>
      </c>
      <c r="CL93" s="90" t="str">
        <f ca="1">IF($CD93="","",IF(OFFSET(BB$55,'Intermediate Data'!$CD93,$AX$50)=-98,"Unknown",IF(OFFSET(BB$55,'Intermediate Data'!$CD93,$AX$50)="N/A","",OFFSET(BB$55,'Intermediate Data'!$CD93,$AX$50))))</f>
        <v/>
      </c>
      <c r="CM93" s="90" t="str">
        <f ca="1">IF($CD93="","",IF(OFFSET(BG$55,'Intermediate Data'!$CD93,0)="ET","ET",""))</f>
        <v/>
      </c>
      <c r="CN93" s="90" t="str">
        <f ca="1">IF($CD93="","",IF(OFFSET(BH$55,'Intermediate Data'!$CD93,$AX$50)=-98,"Unknown",IF(OFFSET(BH$55,'Intermediate Data'!$CD93,$AX$50)="N/A","",OFFSET(BH$55,'Intermediate Data'!$CD93,$AX$50))))</f>
        <v/>
      </c>
      <c r="CO93" s="90" t="str">
        <f ca="1">IF($CD93="","",IF(OFFSET(BM$55,'Intermediate Data'!$CD93,0)=-98,"Not published",IF(OFFSET(BM$55,'Intermediate Data'!$CD93,0)=-99,"No spec",OFFSET(BM$55,'Intermediate Data'!$CD93,0))))</f>
        <v/>
      </c>
      <c r="CP93" s="114" t="str">
        <f ca="1">IF($CD93="","",IF(OFFSET(BN$55,'Intermediate Data'!$CD93,0)=-98,"Unknown",IF(OFFSET(BN$55,'Intermediate Data'!$CD93,0)=-99,"N/A",OFFSET(BN$55,'Intermediate Data'!$CD93,0))))</f>
        <v/>
      </c>
      <c r="CQ93" s="114" t="str">
        <f ca="1">IF($CD93="","",IF(OFFSET(BO$55,'Intermediate Data'!$CD93,0)=-98,"Unknown",IF(OFFSET(BO$55,'Intermediate Data'!$CD93,0)=-99,"N/A",OFFSET(BO$55,'Intermediate Data'!$CD93,0))))</f>
        <v/>
      </c>
      <c r="CR93" s="114" t="str">
        <f ca="1">IF($CD93="","",IF(OFFSET(BP$55,'Intermediate Data'!$CD93,0)=-98,"Unknown",IF(OFFSET(BP$55,'Intermediate Data'!$CD93,0)=-99,"N/A",OFFSET(BP$55,'Intermediate Data'!$CD93,0))))</f>
        <v/>
      </c>
      <c r="CS93" s="114" t="str">
        <f ca="1">IF($CD93="","",IF(OFFSET(BQ$55,'Intermediate Data'!$CD93,0)=-98,"Unknown",IF(OFFSET(BQ$55,'Intermediate Data'!$CD93,0)=-99,"N/A",OFFSET(BQ$55,'Intermediate Data'!$CD93,0))))</f>
        <v/>
      </c>
      <c r="CT93" s="114" t="str">
        <f ca="1">IF($CD93="","",IF(OFFSET(BR$55,'Intermediate Data'!$CD93,0)=-98,"Unknown",IF(OFFSET(BR$55,'Intermediate Data'!$CD93,0)=-99,"N/A",OFFSET(BR$55,'Intermediate Data'!$CD93,0))))</f>
        <v/>
      </c>
      <c r="CU93" s="114" t="str">
        <f ca="1">IF($CD93="","",IF(OFFSET(BS$55,'Intermediate Data'!$CD93,0)=-98,"Unknown",IF(OFFSET(BS$55,'Intermediate Data'!$CD93,0)=-99,"N/A",OFFSET(BS$55,'Intermediate Data'!$CD93,0))))</f>
        <v/>
      </c>
      <c r="CV93" s="114" t="str">
        <f ca="1">IF($CD93="","",IF(OFFSET(BT$55,'Intermediate Data'!$CD93,0)=-98,"Unknown",IF(OFFSET(BT$55,'Intermediate Data'!$CD93,0)=-99,"N/A",OFFSET(BT$55,'Intermediate Data'!$CD93,0))))</f>
        <v/>
      </c>
      <c r="CW93" s="114" t="str">
        <f ca="1">IF($CD93="","",IF(OFFSET(BU$55,'Intermediate Data'!$CD93,0)=-98,"Unknown",IF(OFFSET(BU$55,'Intermediate Data'!$CD93,0)=-99,"N/A",OFFSET(BU$55,'Intermediate Data'!$CD93,0))))</f>
        <v/>
      </c>
      <c r="CX93" s="114" t="str">
        <f ca="1">IF($CD93="","",IF(OFFSET(BV$55,'Intermediate Data'!$CD93,0)=-98,"Unknown",IF(OFFSET(BV$55,'Intermediate Data'!$CD93,0)=-99,"N/A",OFFSET(BV$55,'Intermediate Data'!$CD93,0))))</f>
        <v/>
      </c>
      <c r="CY93" s="682" t="str">
        <f ca="1">IF($CD93="","",IF(OFFSET(BW$55,'Intermediate Data'!$CD93,0)=-98,"Unknown",IF(OFFSET(BW$55,'Intermediate Data'!$CD93,0)="N/A","",OFFSET(BW$55,'Intermediate Data'!$CD93,0))))</f>
        <v/>
      </c>
      <c r="CZ93" s="682" t="str">
        <f ca="1">IF($CD93="","",IF(OFFSET(BX$55,'Intermediate Data'!$CD93,0)=-98,"Unknown",IF(OFFSET(BX$55,'Intermediate Data'!$CD93,0)="N/A","",OFFSET(BX$55,'Intermediate Data'!$CD93,0))))</f>
        <v/>
      </c>
      <c r="DA93" s="682" t="str">
        <f ca="1">IF($CD93="","",IF(OFFSET(BY$55,'Intermediate Data'!$CD93,0)=-98,"Unknown",IF(OFFSET(BY$55,'Intermediate Data'!$CD93,0)="N/A","",OFFSET(BY$55,'Intermediate Data'!$CD93,0))))</f>
        <v/>
      </c>
      <c r="DB93" s="682" t="str">
        <f ca="1">IF($CD93="","",IF(OFFSET(BZ$55,'Intermediate Data'!$CD93,0)=-98,"Unknown",IF(OFFSET(BZ$55,'Intermediate Data'!$CD93,0)="N/A","",OFFSET(BZ$55,'Intermediate Data'!$CD93,0))))</f>
        <v/>
      </c>
    </row>
    <row r="94" spans="1:106" x14ac:dyDescent="0.2">
      <c r="A94" s="90">
        <f ca="1">IF(OFFSET(DATA!F43,0,$D$48)='Intermediate Data'!$E$48,IF(OR($E$49=$C$27,$E$48=$B$4),DATA!A43,IF($G$49=DATA!D43,DATA!A43,"")),"")</f>
        <v>39</v>
      </c>
      <c r="B94" s="90">
        <f ca="1">IF($A94="","",DATA!EH43)</f>
        <v>68</v>
      </c>
      <c r="C94" s="90" t="str">
        <f ca="1">IF($A94="","",DATA!B43)</f>
        <v>Knife sharpener</v>
      </c>
      <c r="D94" s="90">
        <f ca="1">IF($A94="","",OFFSET(DATA!$H43,0,($D$50*5)))</f>
        <v>-99</v>
      </c>
      <c r="E94" s="90">
        <f ca="1">IF($A94="","",OFFSET(DATA!$H43,0,($D$50*5)+1))</f>
        <v>-99</v>
      </c>
      <c r="F94" s="90">
        <f ca="1">IF($A94="","",OFFSET(DATA!$H43,0,($D$50*5)+2))</f>
        <v>-99</v>
      </c>
      <c r="G94" s="90">
        <f ca="1">IF($A94="","",OFFSET(DATA!$H43,0,($D$50*5)+3))</f>
        <v>-99</v>
      </c>
      <c r="H94" s="90">
        <f ca="1">IF($A94="","",OFFSET(DATA!$H43,0,($D$50*5)+4))</f>
        <v>-99</v>
      </c>
      <c r="I94" s="90">
        <f t="shared" ca="1" si="2"/>
        <v>-99</v>
      </c>
      <c r="J94" s="90" t="str">
        <f t="shared" ca="1" si="3"/>
        <v/>
      </c>
      <c r="K94" s="90">
        <f ca="1">IF($A94="","",OFFSET(DATA!$AG43,0,($D$50*5)))</f>
        <v>-99</v>
      </c>
      <c r="L94" s="90">
        <f ca="1">IF($A94="","",OFFSET(DATA!$AG43,0,($D$50*5)+1))</f>
        <v>-99</v>
      </c>
      <c r="M94" s="90">
        <f ca="1">IF($A94="","",OFFSET(DATA!$AG43,0,($D$50*5)+2))</f>
        <v>-99</v>
      </c>
      <c r="N94" s="90">
        <f ca="1">IF($A94="","",OFFSET(DATA!$AG43,0,($D$50*5)+3))</f>
        <v>-99</v>
      </c>
      <c r="O94" s="90">
        <f ca="1">IF($A94="","",OFFSET(DATA!$AG43,0,($D$50*5)+4))</f>
        <v>-99</v>
      </c>
      <c r="P94" s="90">
        <f t="shared" ca="1" si="4"/>
        <v>-99</v>
      </c>
      <c r="Q94" s="90" t="str">
        <f t="shared" ca="1" si="5"/>
        <v/>
      </c>
      <c r="R94" s="699">
        <f ca="1">IF($A94="","",IF(DATA!BF43="",-99,DATA!BF43))</f>
        <v>-99</v>
      </c>
      <c r="S94" s="90">
        <f ca="1">IF($A94="","",IF(DATA!BG43="",-99,DATA!BF43-DATA!BG43))</f>
        <v>-99</v>
      </c>
      <c r="T94" s="90">
        <f ca="1">IF($A94="","",DATA!BH43)</f>
        <v>-99</v>
      </c>
      <c r="U94" s="90">
        <f ca="1">IF($A94="","",OFFSET(DATA!BM43,0,$D$48))</f>
        <v>-99</v>
      </c>
      <c r="V94" s="90">
        <f t="shared" ca="1" si="15"/>
        <v>68</v>
      </c>
      <c r="W94" s="99">
        <f t="shared" ca="1" si="7"/>
        <v>67.99988120094001</v>
      </c>
      <c r="X94" s="112">
        <f t="shared" ca="1" si="8"/>
        <v>95.999881200910011</v>
      </c>
      <c r="Y94" s="90">
        <f t="shared" ca="1" si="9"/>
        <v>36</v>
      </c>
      <c r="AA94" s="90" t="str">
        <f ca="1">IF($Y94="","",IF(OFFSET(C$55,'Intermediate Data'!$Y94,0)=-98,"Unknown",IF(OFFSET(C$55,'Intermediate Data'!$Y94,0)=-99,"N/A",OFFSET(C$55,'Intermediate Data'!$Y94,0))))</f>
        <v>Electric warmer/serving tray</v>
      </c>
      <c r="AB94" s="90" t="str">
        <f ca="1">IF($Y94="","",IF(OFFSET(D$55,'Intermediate Data'!$Y94,0)=-98,"N/A",IF(OFFSET(D$55,'Intermediate Data'!$Y94,0)=-99,"N/A",OFFSET(D$55,'Intermediate Data'!$Y94,0))))</f>
        <v>N/A</v>
      </c>
      <c r="AC94" s="90" t="str">
        <f ca="1">IF($Y94="","",IF(OFFSET(E$55,'Intermediate Data'!$Y94,0)=-98,"N/A",IF(OFFSET(E$55,'Intermediate Data'!$Y94,0)=-99,"N/A",OFFSET(E$55,'Intermediate Data'!$Y94,0))))</f>
        <v>N/A</v>
      </c>
      <c r="AD94" s="90" t="str">
        <f ca="1">IF($Y94="","",IF(OFFSET(F$55,'Intermediate Data'!$Y94,0)=-98,"N/A",IF(OFFSET(F$55,'Intermediate Data'!$Y94,0)=-99,"N/A",OFFSET(F$55,'Intermediate Data'!$Y94,0))))</f>
        <v>N/A</v>
      </c>
      <c r="AE94" s="90" t="str">
        <f ca="1">IF($Y94="","",IF(OFFSET(G$55,'Intermediate Data'!$Y94,0)=-98,"N/A",IF(OFFSET(G$55,'Intermediate Data'!$Y94,0)=-99,"N/A",OFFSET(G$55,'Intermediate Data'!$Y94,0))))</f>
        <v>N/A</v>
      </c>
      <c r="AF94" s="90" t="str">
        <f ca="1">IF($Y94="","",IF(OFFSET(H$55,'Intermediate Data'!$Y94,0)=-98,"N/A",IF(OFFSET(H$55,'Intermediate Data'!$Y94,0)=-99,"N/A",OFFSET(H$55,'Intermediate Data'!$Y94,0))))</f>
        <v>N/A</v>
      </c>
      <c r="AG94" s="90" t="str">
        <f ca="1">IF($Y94="","",IF(OFFSET(I$55,'Intermediate Data'!$Y94,0)=-98,"N/A",IF(OFFSET(I$55,'Intermediate Data'!$Y94,0)=-99,"N/A",OFFSET(I$55,'Intermediate Data'!$Y94,0))))</f>
        <v>N/A</v>
      </c>
      <c r="AH94" s="90" t="str">
        <f ca="1">IF($Y94="","",IF(OFFSET(J$55,'Intermediate Data'!$Y94,0)=-98,"N/A",IF(OFFSET(J$55,'Intermediate Data'!$Y94,0)=-99,"N/A",OFFSET(J$55,'Intermediate Data'!$Y94,0))))</f>
        <v/>
      </c>
      <c r="AI94" s="90" t="str">
        <f ca="1">IF($Y94="","",IF(OFFSET(K$55,'Intermediate Data'!$Y94,0)=-98,"N/A",IF(OFFSET(K$55,'Intermediate Data'!$Y94,0)=-99,"N/A",OFFSET(K$55,'Intermediate Data'!$Y94,0))))</f>
        <v>N/A</v>
      </c>
      <c r="AJ94" s="90" t="str">
        <f ca="1">IF($Y94="","",IF(OFFSET(L$55,'Intermediate Data'!$Y94,0)=-98,"N/A",IF(OFFSET(L$55,'Intermediate Data'!$Y94,0)=-99,"N/A",OFFSET(L$55,'Intermediate Data'!$Y94,0))))</f>
        <v>N/A</v>
      </c>
      <c r="AK94" s="90" t="str">
        <f ca="1">IF($Y94="","",IF(OFFSET(M$55,'Intermediate Data'!$Y94,0)=-98,"N/A",IF(OFFSET(M$55,'Intermediate Data'!$Y94,0)=-99,"N/A",OFFSET(M$55,'Intermediate Data'!$Y94,0))))</f>
        <v>N/A</v>
      </c>
      <c r="AL94" s="90" t="str">
        <f ca="1">IF($Y94="","",IF(OFFSET(N$55,'Intermediate Data'!$Y94,0)=-98,"N/A",IF(OFFSET(N$55,'Intermediate Data'!$Y94,0)=-99,"N/A",OFFSET(N$55,'Intermediate Data'!$Y94,0))))</f>
        <v>N/A</v>
      </c>
      <c r="AM94" s="90" t="str">
        <f ca="1">IF($Y94="","",IF(OFFSET(O$55,'Intermediate Data'!$Y94,0)=-98,"N/A",IF(OFFSET(O$55,'Intermediate Data'!$Y94,0)=-99,"N/A",OFFSET(O$55,'Intermediate Data'!$Y94,0))))</f>
        <v>N/A</v>
      </c>
      <c r="AN94" s="90" t="str">
        <f ca="1">IF($Y94="","",IF(OFFSET(P$55,'Intermediate Data'!$Y94,0)=-98,"N/A",IF(OFFSET(P$55,'Intermediate Data'!$Y94,0)=-99,"N/A",OFFSET(P$55,'Intermediate Data'!$Y94,0))))</f>
        <v>N/A</v>
      </c>
      <c r="AO94" s="90" t="str">
        <f ca="1">IF($Y94="","",IF(OFFSET(Q$55,'Intermediate Data'!$Y94,0)=-98,"N/A",IF(OFFSET(Q$55,'Intermediate Data'!$Y94,0)=-99,"N/A",OFFSET(Q$55,'Intermediate Data'!$Y94,0))))</f>
        <v/>
      </c>
      <c r="AP94" s="697" t="str">
        <f ca="1">IF($Y94="","",IF(OFFSET(S$55,'Intermediate Data'!$Y94,0)=-98,"",IF(OFFSET(S$55,'Intermediate Data'!$Y94,0)=-99,"",OFFSET(S$55,'Intermediate Data'!$Y94,0))))</f>
        <v/>
      </c>
      <c r="AQ94" s="90" t="str">
        <f ca="1">IF($Y94="","",IF(OFFSET(T$55,'Intermediate Data'!$Y94,0)=-98,"Not published",IF(OFFSET(T$55,'Intermediate Data'!$Y94,0)=-99,"",OFFSET(T$55,'Intermediate Data'!$Y94,0))))</f>
        <v/>
      </c>
      <c r="AR94" s="90" t="str">
        <f ca="1">IF($Y94="","",IF(OFFSET(U$55,'Intermediate Data'!$Y94,0)=-98,"Unknown",IF(OFFSET(U$55,'Intermediate Data'!$Y94,0)=-99,"",OFFSET(U$55,'Intermediate Data'!$Y94,0))))</f>
        <v/>
      </c>
      <c r="AU94" s="112" t="str">
        <f ca="1">IF(AND(OFFSET(DATA!$F43,0,$AX$48)='Intermediate Data'!$AY$48,DATA!$E43="Tier 1"),IF(OR($AX$49=0,$AX$48=1),DATA!A43,IF(AND($AX$49=1,INDEX('Intermediate Data'!$AY$25:$AY$44,MATCH(DATA!$B43,'Intermediate Data'!$AX$25:$AX$44,0))=TRUE),DATA!A43,"")),"")</f>
        <v/>
      </c>
      <c r="AV94" s="112" t="str">
        <f ca="1">IF($AU94="","",DATA!B43)</f>
        <v/>
      </c>
      <c r="AW94" s="112" t="str">
        <f ca="1">IF(OR($AU94="",DATA!BI43=""),"",DATA!BI43)</f>
        <v/>
      </c>
      <c r="AX94" s="112" t="str">
        <f ca="1">IF(OR($AU94="",OFFSET(DATA!BK43,0,$AX$48)=""),"",OFFSET(DATA!BK43,0,$AX$48))</f>
        <v/>
      </c>
      <c r="AY94" s="112" t="str">
        <f ca="1">IF(OR($AU94="",OFFSET(DATA!BM43,0,$AX$48)=""),"",OFFSET(DATA!BM43,0,$AX$48))</f>
        <v/>
      </c>
      <c r="AZ94" s="112" t="str">
        <f ca="1">IF(OR($AU94="",OFFSET(DATA!BO43,0,'Intermediate Data'!$AX$48)=""),"",OFFSET(DATA!BO43,0,$AX$48))</f>
        <v/>
      </c>
      <c r="BA94" s="112" t="str">
        <f ca="1">IF(OR($AU94="",DATA!BQ43=""),"",DATA!BQ43)</f>
        <v/>
      </c>
      <c r="BB94" s="112" t="str">
        <f ca="1">IF($AU94="","",OFFSET(DATA!BS43,0,$AX$48))</f>
        <v/>
      </c>
      <c r="BC94" s="112" t="str">
        <f ca="1">IF($AU94="","",OFFSET(DATA!BU43,0,$AX$48))</f>
        <v/>
      </c>
      <c r="BD94" s="112" t="str">
        <f ca="1">IF($AU94="","",OFFSET(DATA!BW43,0,$AX$48))</f>
        <v/>
      </c>
      <c r="BE94" s="112" t="str">
        <f ca="1">IF($AU94="","",OFFSET(DATA!BY43,0,$AX$48))</f>
        <v/>
      </c>
      <c r="BF94" s="112" t="str">
        <f ca="1">IF($AU94="","",OFFSET(DATA!CA43,0,$AX$48))</f>
        <v/>
      </c>
      <c r="BG94" s="112" t="str">
        <f ca="1">IF($AU94="","",DATA!CC43)</f>
        <v/>
      </c>
      <c r="BH94" s="112" t="str">
        <f ca="1">IF($AU94="","",OFFSET(DATA!CE43,0,$AX$48))</f>
        <v/>
      </c>
      <c r="BI94" s="112" t="str">
        <f ca="1">IF($AU94="","",OFFSET(DATA!CG43,0,$AX$48))</f>
        <v/>
      </c>
      <c r="BJ94" s="112" t="str">
        <f ca="1">IF($AU94="","",OFFSET(DATA!CI43,0,$AX$48))</f>
        <v/>
      </c>
      <c r="BK94" s="112" t="str">
        <f ca="1">IF($AU94="","",OFFSET(DATA!CK43,0,$AX$48))</f>
        <v/>
      </c>
      <c r="BL94" s="112" t="str">
        <f ca="1">IF($AU94="","",OFFSET(DATA!CM43,0,$AX$48))</f>
        <v/>
      </c>
      <c r="BM94" s="112" t="str">
        <f ca="1">IF($AU94="","",DATA!BH43)</f>
        <v/>
      </c>
      <c r="BN94" s="112" t="str">
        <f ca="1">IF($AU94="","",DATA!DS43)</f>
        <v/>
      </c>
      <c r="BO94" s="112" t="str">
        <f ca="1">IF($AU94="","",DATA!DU43)</f>
        <v/>
      </c>
      <c r="BP94" s="112" t="str">
        <f ca="1">IF($AU94="","",DATA!DV43)</f>
        <v/>
      </c>
      <c r="BQ94" s="112" t="str">
        <f ca="1">IF($AU94="","",DATA!DX43)</f>
        <v/>
      </c>
      <c r="BR94" s="112" t="str">
        <f ca="1">IF($AU94="","",DATA!DZ43)</f>
        <v/>
      </c>
      <c r="BS94" s="171" t="str">
        <f ca="1">IF($AU94="","",DATA!EA43)</f>
        <v/>
      </c>
      <c r="BT94" s="171" t="str">
        <f ca="1">IF($AU94="","",DATA!EC43)</f>
        <v/>
      </c>
      <c r="BU94" s="171" t="str">
        <f ca="1">IF($AU94="","",DATA!EF43)</f>
        <v/>
      </c>
      <c r="BV94" s="113" t="str">
        <f t="shared" ca="1" si="10"/>
        <v/>
      </c>
      <c r="BW94" s="680" t="str">
        <f ca="1">IF(AU94="","",OFFSET(DATA!DC43,0,'Intermediate Data'!$AX$48))</f>
        <v/>
      </c>
      <c r="BX94" s="681" t="str">
        <f ca="1">IF($AU94="","",DATA!DG43)</f>
        <v/>
      </c>
      <c r="BY94" s="680" t="str">
        <f ca="1">IF($AU94="","",OFFSET(DATA!DE43,0,'Intermediate Data'!$AX$48))</f>
        <v/>
      </c>
      <c r="BZ94" s="681" t="str">
        <f ca="1">IF($AU94="","",DATA!DH43)</f>
        <v/>
      </c>
      <c r="CA94" s="90" t="str">
        <f t="shared" ca="1" si="11"/>
        <v/>
      </c>
      <c r="CB94" s="99" t="str">
        <f t="shared" ca="1" si="12"/>
        <v/>
      </c>
      <c r="CC94" s="90" t="str">
        <f t="shared" ca="1" si="13"/>
        <v/>
      </c>
      <c r="CD94" s="90" t="str">
        <f t="shared" ca="1" si="14"/>
        <v/>
      </c>
      <c r="CF94" s="90" t="str">
        <f ca="1">IF($CD94="","",IF(OFFSET(AV$55,'Intermediate Data'!$CD94,0)=-98,"Unknown",IF(OFFSET(AV$55,'Intermediate Data'!$CD94,0)=-99,"N/A",OFFSET(AV$55,'Intermediate Data'!$CD94,0))))</f>
        <v/>
      </c>
      <c r="CG94" s="90" t="str">
        <f ca="1">IF($CD94="","",IF(OFFSET(AW$55,'Intermediate Data'!$CD94,0)=-98,"",IF(OFFSET(AW$55,'Intermediate Data'!$CD94,0)=-99,"N/A",OFFSET(AW$55,'Intermediate Data'!$CD94,0))))</f>
        <v/>
      </c>
      <c r="CH94" s="90" t="str">
        <f ca="1">IF($CD94="","",IF(OFFSET(AX$55,'Intermediate Data'!$CD94,0)=-98,"Unknown",IF(OFFSET(AX$55,'Intermediate Data'!$CD94,0)=-99,"N/A",OFFSET(AX$55,'Intermediate Data'!$CD94,0))))</f>
        <v/>
      </c>
      <c r="CI94" s="125" t="str">
        <f ca="1">IF($CD94="","",IF(OFFSET(AY$55,'Intermediate Data'!$CD94,0)=-98,"Unknown",IF(OFFSET(AY$55,'Intermediate Data'!$CD94,0)=-99,"No spec",OFFSET(AY$55,'Intermediate Data'!$CD94,0))))</f>
        <v/>
      </c>
      <c r="CJ94" s="125" t="str">
        <f ca="1">IF($CD94="","",IF(OFFSET(AZ$55,'Intermediate Data'!$CD94,0)=-98,"Unknown",IF(OFFSET(AZ$55,'Intermediate Data'!$CD94,0)=-99,"N/A",OFFSET(AZ$55,'Intermediate Data'!$CD94,0))))</f>
        <v/>
      </c>
      <c r="CK94" s="90" t="str">
        <f ca="1">IF($CD94="","",IF(OFFSET(BA$55,'Intermediate Data'!$CD94,0)=-98,"Unknown",IF(OFFSET(BA$55,'Intermediate Data'!$CD94,0)=-99,"N/A",OFFSET(BA$55,'Intermediate Data'!$CD94,0))))</f>
        <v/>
      </c>
      <c r="CL94" s="90" t="str">
        <f ca="1">IF($CD94="","",IF(OFFSET(BB$55,'Intermediate Data'!$CD94,$AX$50)=-98,"Unknown",IF(OFFSET(BB$55,'Intermediate Data'!$CD94,$AX$50)="N/A","",OFFSET(BB$55,'Intermediate Data'!$CD94,$AX$50))))</f>
        <v/>
      </c>
      <c r="CM94" s="90" t="str">
        <f ca="1">IF($CD94="","",IF(OFFSET(BG$55,'Intermediate Data'!$CD94,0)="ET","ET",""))</f>
        <v/>
      </c>
      <c r="CN94" s="90" t="str">
        <f ca="1">IF($CD94="","",IF(OFFSET(BH$55,'Intermediate Data'!$CD94,$AX$50)=-98,"Unknown",IF(OFFSET(BH$55,'Intermediate Data'!$CD94,$AX$50)="N/A","",OFFSET(BH$55,'Intermediate Data'!$CD94,$AX$50))))</f>
        <v/>
      </c>
      <c r="CO94" s="90" t="str">
        <f ca="1">IF($CD94="","",IF(OFFSET(BM$55,'Intermediate Data'!$CD94,0)=-98,"Not published",IF(OFFSET(BM$55,'Intermediate Data'!$CD94,0)=-99,"No spec",OFFSET(BM$55,'Intermediate Data'!$CD94,0))))</f>
        <v/>
      </c>
      <c r="CP94" s="114" t="str">
        <f ca="1">IF($CD94="","",IF(OFFSET(BN$55,'Intermediate Data'!$CD94,0)=-98,"Unknown",IF(OFFSET(BN$55,'Intermediate Data'!$CD94,0)=-99,"N/A",OFFSET(BN$55,'Intermediate Data'!$CD94,0))))</f>
        <v/>
      </c>
      <c r="CQ94" s="114" t="str">
        <f ca="1">IF($CD94="","",IF(OFFSET(BO$55,'Intermediate Data'!$CD94,0)=-98,"Unknown",IF(OFFSET(BO$55,'Intermediate Data'!$CD94,0)=-99,"N/A",OFFSET(BO$55,'Intermediate Data'!$CD94,0))))</f>
        <v/>
      </c>
      <c r="CR94" s="114" t="str">
        <f ca="1">IF($CD94="","",IF(OFFSET(BP$55,'Intermediate Data'!$CD94,0)=-98,"Unknown",IF(OFFSET(BP$55,'Intermediate Data'!$CD94,0)=-99,"N/A",OFFSET(BP$55,'Intermediate Data'!$CD94,0))))</f>
        <v/>
      </c>
      <c r="CS94" s="114" t="str">
        <f ca="1">IF($CD94="","",IF(OFFSET(BQ$55,'Intermediate Data'!$CD94,0)=-98,"Unknown",IF(OFFSET(BQ$55,'Intermediate Data'!$CD94,0)=-99,"N/A",OFFSET(BQ$55,'Intermediate Data'!$CD94,0))))</f>
        <v/>
      </c>
      <c r="CT94" s="114" t="str">
        <f ca="1">IF($CD94="","",IF(OFFSET(BR$55,'Intermediate Data'!$CD94,0)=-98,"Unknown",IF(OFFSET(BR$55,'Intermediate Data'!$CD94,0)=-99,"N/A",OFFSET(BR$55,'Intermediate Data'!$CD94,0))))</f>
        <v/>
      </c>
      <c r="CU94" s="114" t="str">
        <f ca="1">IF($CD94="","",IF(OFFSET(BS$55,'Intermediate Data'!$CD94,0)=-98,"Unknown",IF(OFFSET(BS$55,'Intermediate Data'!$CD94,0)=-99,"N/A",OFFSET(BS$55,'Intermediate Data'!$CD94,0))))</f>
        <v/>
      </c>
      <c r="CV94" s="114" t="str">
        <f ca="1">IF($CD94="","",IF(OFFSET(BT$55,'Intermediate Data'!$CD94,0)=-98,"Unknown",IF(OFFSET(BT$55,'Intermediate Data'!$CD94,0)=-99,"N/A",OFFSET(BT$55,'Intermediate Data'!$CD94,0))))</f>
        <v/>
      </c>
      <c r="CW94" s="114" t="str">
        <f ca="1">IF($CD94="","",IF(OFFSET(BU$55,'Intermediate Data'!$CD94,0)=-98,"Unknown",IF(OFFSET(BU$55,'Intermediate Data'!$CD94,0)=-99,"N/A",OFFSET(BU$55,'Intermediate Data'!$CD94,0))))</f>
        <v/>
      </c>
      <c r="CX94" s="114" t="str">
        <f ca="1">IF($CD94="","",IF(OFFSET(BV$55,'Intermediate Data'!$CD94,0)=-98,"Unknown",IF(OFFSET(BV$55,'Intermediate Data'!$CD94,0)=-99,"N/A",OFFSET(BV$55,'Intermediate Data'!$CD94,0))))</f>
        <v/>
      </c>
      <c r="CY94" s="682" t="str">
        <f ca="1">IF($CD94="","",IF(OFFSET(BW$55,'Intermediate Data'!$CD94,0)=-98,"Unknown",IF(OFFSET(BW$55,'Intermediate Data'!$CD94,0)="N/A","",OFFSET(BW$55,'Intermediate Data'!$CD94,0))))</f>
        <v/>
      </c>
      <c r="CZ94" s="682" t="str">
        <f ca="1">IF($CD94="","",IF(OFFSET(BX$55,'Intermediate Data'!$CD94,0)=-98,"Unknown",IF(OFFSET(BX$55,'Intermediate Data'!$CD94,0)="N/A","",OFFSET(BX$55,'Intermediate Data'!$CD94,0))))</f>
        <v/>
      </c>
      <c r="DA94" s="682" t="str">
        <f ca="1">IF($CD94="","",IF(OFFSET(BY$55,'Intermediate Data'!$CD94,0)=-98,"Unknown",IF(OFFSET(BY$55,'Intermediate Data'!$CD94,0)="N/A","",OFFSET(BY$55,'Intermediate Data'!$CD94,0))))</f>
        <v/>
      </c>
      <c r="DB94" s="682" t="str">
        <f ca="1">IF($CD94="","",IF(OFFSET(BZ$55,'Intermediate Data'!$CD94,0)=-98,"Unknown",IF(OFFSET(BZ$55,'Intermediate Data'!$CD94,0)="N/A","",OFFSET(BZ$55,'Intermediate Data'!$CD94,0))))</f>
        <v/>
      </c>
    </row>
    <row r="95" spans="1:106" x14ac:dyDescent="0.2">
      <c r="A95" s="90">
        <f ca="1">IF(OFFSET(DATA!F44,0,$D$48)='Intermediate Data'!$E$48,IF(OR($E$49=$C$27,$E$48=$B$4),DATA!A44,IF($G$49=DATA!D44,DATA!A44,"")),"")</f>
        <v>40</v>
      </c>
      <c r="B95" s="90">
        <f ca="1">IF($A95="","",DATA!EH44)</f>
        <v>53</v>
      </c>
      <c r="C95" s="90" t="str">
        <f ca="1">IF($A95="","",DATA!B44)</f>
        <v>Popcorn maker</v>
      </c>
      <c r="D95" s="90">
        <f ca="1">IF($A95="","",OFFSET(DATA!$H44,0,($D$50*5)))</f>
        <v>-99</v>
      </c>
      <c r="E95" s="90">
        <f ca="1">IF($A95="","",OFFSET(DATA!$H44,0,($D$50*5)+1))</f>
        <v>-99</v>
      </c>
      <c r="F95" s="90">
        <f ca="1">IF($A95="","",OFFSET(DATA!$H44,0,($D$50*5)+2))</f>
        <v>-99</v>
      </c>
      <c r="G95" s="90">
        <f ca="1">IF($A95="","",OFFSET(DATA!$H44,0,($D$50*5)+3))</f>
        <v>-99</v>
      </c>
      <c r="H95" s="90">
        <f ca="1">IF($A95="","",OFFSET(DATA!$H44,0,($D$50*5)+4))</f>
        <v>-99</v>
      </c>
      <c r="I95" s="90">
        <f t="shared" ca="1" si="2"/>
        <v>-99</v>
      </c>
      <c r="J95" s="90" t="str">
        <f t="shared" ca="1" si="3"/>
        <v/>
      </c>
      <c r="K95" s="90">
        <f ca="1">IF($A95="","",OFFSET(DATA!$AG44,0,($D$50*5)))</f>
        <v>-99</v>
      </c>
      <c r="L95" s="90">
        <f ca="1">IF($A95="","",OFFSET(DATA!$AG44,0,($D$50*5)+1))</f>
        <v>-99</v>
      </c>
      <c r="M95" s="90">
        <f ca="1">IF($A95="","",OFFSET(DATA!$AG44,0,($D$50*5)+2))</f>
        <v>-99</v>
      </c>
      <c r="N95" s="90">
        <f ca="1">IF($A95="","",OFFSET(DATA!$AG44,0,($D$50*5)+3))</f>
        <v>-99</v>
      </c>
      <c r="O95" s="90">
        <f ca="1">IF($A95="","",OFFSET(DATA!$AG44,0,($D$50*5)+4))</f>
        <v>-99</v>
      </c>
      <c r="P95" s="90">
        <f t="shared" ca="1" si="4"/>
        <v>-99</v>
      </c>
      <c r="Q95" s="90" t="str">
        <f t="shared" ca="1" si="5"/>
        <v/>
      </c>
      <c r="R95" s="699">
        <f ca="1">IF($A95="","",IF(DATA!BF44="",-99,DATA!BF44))</f>
        <v>-99</v>
      </c>
      <c r="S95" s="90">
        <f ca="1">IF($A95="","",IF(DATA!BG44="",-99,DATA!BF44-DATA!BG44))</f>
        <v>-99</v>
      </c>
      <c r="T95" s="90">
        <f ca="1">IF($A95="","",DATA!BH44)</f>
        <v>-99</v>
      </c>
      <c r="U95" s="90">
        <f ca="1">IF($A95="","",OFFSET(DATA!BM44,0,$D$48))</f>
        <v>-99</v>
      </c>
      <c r="V95" s="90">
        <f t="shared" ca="1" si="15"/>
        <v>53</v>
      </c>
      <c r="W95" s="99">
        <f t="shared" ca="1" si="7"/>
        <v>52.99988120095</v>
      </c>
      <c r="X95" s="112">
        <f t="shared" ca="1" si="8"/>
        <v>94.999881200920001</v>
      </c>
      <c r="Y95" s="90">
        <f t="shared" ca="1" si="9"/>
        <v>37</v>
      </c>
      <c r="AA95" s="90" t="str">
        <f ca="1">IF($Y95="","",IF(OFFSET(C$55,'Intermediate Data'!$Y95,0)=-98,"Unknown",IF(OFFSET(C$55,'Intermediate Data'!$Y95,0)=-99,"N/A",OFFSET(C$55,'Intermediate Data'!$Y95,0))))</f>
        <v>Espresso machine</v>
      </c>
      <c r="AB95" s="90" t="str">
        <f ca="1">IF($Y95="","",IF(OFFSET(D$55,'Intermediate Data'!$Y95,0)=-98,"N/A",IF(OFFSET(D$55,'Intermediate Data'!$Y95,0)=-99,"N/A",OFFSET(D$55,'Intermediate Data'!$Y95,0))))</f>
        <v>N/A</v>
      </c>
      <c r="AC95" s="90" t="str">
        <f ca="1">IF($Y95="","",IF(OFFSET(E$55,'Intermediate Data'!$Y95,0)=-98,"N/A",IF(OFFSET(E$55,'Intermediate Data'!$Y95,0)=-99,"N/A",OFFSET(E$55,'Intermediate Data'!$Y95,0))))</f>
        <v>N/A</v>
      </c>
      <c r="AD95" s="90" t="str">
        <f ca="1">IF($Y95="","",IF(OFFSET(F$55,'Intermediate Data'!$Y95,0)=-98,"N/A",IF(OFFSET(F$55,'Intermediate Data'!$Y95,0)=-99,"N/A",OFFSET(F$55,'Intermediate Data'!$Y95,0))))</f>
        <v>N/A</v>
      </c>
      <c r="AE95" s="90" t="str">
        <f ca="1">IF($Y95="","",IF(OFFSET(G$55,'Intermediate Data'!$Y95,0)=-98,"N/A",IF(OFFSET(G$55,'Intermediate Data'!$Y95,0)=-99,"N/A",OFFSET(G$55,'Intermediate Data'!$Y95,0))))</f>
        <v>N/A</v>
      </c>
      <c r="AF95" s="90" t="str">
        <f ca="1">IF($Y95="","",IF(OFFSET(H$55,'Intermediate Data'!$Y95,0)=-98,"N/A",IF(OFFSET(H$55,'Intermediate Data'!$Y95,0)=-99,"N/A",OFFSET(H$55,'Intermediate Data'!$Y95,0))))</f>
        <v>N/A</v>
      </c>
      <c r="AG95" s="90" t="str">
        <f ca="1">IF($Y95="","",IF(OFFSET(I$55,'Intermediate Data'!$Y95,0)=-98,"N/A",IF(OFFSET(I$55,'Intermediate Data'!$Y95,0)=-99,"N/A",OFFSET(I$55,'Intermediate Data'!$Y95,0))))</f>
        <v>N/A</v>
      </c>
      <c r="AH95" s="90" t="str">
        <f ca="1">IF($Y95="","",IF(OFFSET(J$55,'Intermediate Data'!$Y95,0)=-98,"N/A",IF(OFFSET(J$55,'Intermediate Data'!$Y95,0)=-99,"N/A",OFFSET(J$55,'Intermediate Data'!$Y95,0))))</f>
        <v/>
      </c>
      <c r="AI95" s="90" t="str">
        <f ca="1">IF($Y95="","",IF(OFFSET(K$55,'Intermediate Data'!$Y95,0)=-98,"N/A",IF(OFFSET(K$55,'Intermediate Data'!$Y95,0)=-99,"N/A",OFFSET(K$55,'Intermediate Data'!$Y95,0))))</f>
        <v>N/A</v>
      </c>
      <c r="AJ95" s="90" t="str">
        <f ca="1">IF($Y95="","",IF(OFFSET(L$55,'Intermediate Data'!$Y95,0)=-98,"N/A",IF(OFFSET(L$55,'Intermediate Data'!$Y95,0)=-99,"N/A",OFFSET(L$55,'Intermediate Data'!$Y95,0))))</f>
        <v>N/A</v>
      </c>
      <c r="AK95" s="90" t="str">
        <f ca="1">IF($Y95="","",IF(OFFSET(M$55,'Intermediate Data'!$Y95,0)=-98,"N/A",IF(OFFSET(M$55,'Intermediate Data'!$Y95,0)=-99,"N/A",OFFSET(M$55,'Intermediate Data'!$Y95,0))))</f>
        <v>N/A</v>
      </c>
      <c r="AL95" s="90" t="str">
        <f ca="1">IF($Y95="","",IF(OFFSET(N$55,'Intermediate Data'!$Y95,0)=-98,"N/A",IF(OFFSET(N$55,'Intermediate Data'!$Y95,0)=-99,"N/A",OFFSET(N$55,'Intermediate Data'!$Y95,0))))</f>
        <v>N/A</v>
      </c>
      <c r="AM95" s="90" t="str">
        <f ca="1">IF($Y95="","",IF(OFFSET(O$55,'Intermediate Data'!$Y95,0)=-98,"N/A",IF(OFFSET(O$55,'Intermediate Data'!$Y95,0)=-99,"N/A",OFFSET(O$55,'Intermediate Data'!$Y95,0))))</f>
        <v>N/A</v>
      </c>
      <c r="AN95" s="90" t="str">
        <f ca="1">IF($Y95="","",IF(OFFSET(P$55,'Intermediate Data'!$Y95,0)=-98,"N/A",IF(OFFSET(P$55,'Intermediate Data'!$Y95,0)=-99,"N/A",OFFSET(P$55,'Intermediate Data'!$Y95,0))))</f>
        <v>N/A</v>
      </c>
      <c r="AO95" s="90" t="str">
        <f ca="1">IF($Y95="","",IF(OFFSET(Q$55,'Intermediate Data'!$Y95,0)=-98,"N/A",IF(OFFSET(Q$55,'Intermediate Data'!$Y95,0)=-99,"N/A",OFFSET(Q$55,'Intermediate Data'!$Y95,0))))</f>
        <v/>
      </c>
      <c r="AP95" s="697" t="str">
        <f ca="1">IF($Y95="","",IF(OFFSET(S$55,'Intermediate Data'!$Y95,0)=-98,"",IF(OFFSET(S$55,'Intermediate Data'!$Y95,0)=-99,"",OFFSET(S$55,'Intermediate Data'!$Y95,0))))</f>
        <v/>
      </c>
      <c r="AQ95" s="90" t="str">
        <f ca="1">IF($Y95="","",IF(OFFSET(T$55,'Intermediate Data'!$Y95,0)=-98,"Not published",IF(OFFSET(T$55,'Intermediate Data'!$Y95,0)=-99,"",OFFSET(T$55,'Intermediate Data'!$Y95,0))))</f>
        <v/>
      </c>
      <c r="AR95" s="90" t="str">
        <f ca="1">IF($Y95="","",IF(OFFSET(U$55,'Intermediate Data'!$Y95,0)=-98,"Unknown",IF(OFFSET(U$55,'Intermediate Data'!$Y95,0)=-99,"",OFFSET(U$55,'Intermediate Data'!$Y95,0))))</f>
        <v/>
      </c>
      <c r="AU95" s="112" t="str">
        <f ca="1">IF(AND(OFFSET(DATA!$F44,0,$AX$48)='Intermediate Data'!$AY$48,DATA!$E44="Tier 1"),IF(OR($AX$49=0,$AX$48=1),DATA!A44,IF(AND($AX$49=1,INDEX('Intermediate Data'!$AY$25:$AY$44,MATCH(DATA!$B44,'Intermediate Data'!$AX$25:$AX$44,0))=TRUE),DATA!A44,"")),"")</f>
        <v/>
      </c>
      <c r="AV95" s="112" t="str">
        <f ca="1">IF($AU95="","",DATA!B44)</f>
        <v/>
      </c>
      <c r="AW95" s="112" t="str">
        <f ca="1">IF(OR($AU95="",DATA!BI44=""),"",DATA!BI44)</f>
        <v/>
      </c>
      <c r="AX95" s="112" t="str">
        <f ca="1">IF(OR($AU95="",OFFSET(DATA!BK44,0,$AX$48)=""),"",OFFSET(DATA!BK44,0,$AX$48))</f>
        <v/>
      </c>
      <c r="AY95" s="112" t="str">
        <f ca="1">IF(OR($AU95="",OFFSET(DATA!BM44,0,$AX$48)=""),"",OFFSET(DATA!BM44,0,$AX$48))</f>
        <v/>
      </c>
      <c r="AZ95" s="112" t="str">
        <f ca="1">IF(OR($AU95="",OFFSET(DATA!BO44,0,'Intermediate Data'!$AX$48)=""),"",OFFSET(DATA!BO44,0,$AX$48))</f>
        <v/>
      </c>
      <c r="BA95" s="112" t="str">
        <f ca="1">IF(OR($AU95="",DATA!BQ44=""),"",DATA!BQ44)</f>
        <v/>
      </c>
      <c r="BB95" s="112" t="str">
        <f ca="1">IF($AU95="","",OFFSET(DATA!BS44,0,$AX$48))</f>
        <v/>
      </c>
      <c r="BC95" s="112" t="str">
        <f ca="1">IF($AU95="","",OFFSET(DATA!BU44,0,$AX$48))</f>
        <v/>
      </c>
      <c r="BD95" s="112" t="str">
        <f ca="1">IF($AU95="","",OFFSET(DATA!BW44,0,$AX$48))</f>
        <v/>
      </c>
      <c r="BE95" s="112" t="str">
        <f ca="1">IF($AU95="","",OFFSET(DATA!BY44,0,$AX$48))</f>
        <v/>
      </c>
      <c r="BF95" s="112" t="str">
        <f ca="1">IF($AU95="","",OFFSET(DATA!CA44,0,$AX$48))</f>
        <v/>
      </c>
      <c r="BG95" s="112" t="str">
        <f ca="1">IF($AU95="","",DATA!CC44)</f>
        <v/>
      </c>
      <c r="BH95" s="112" t="str">
        <f ca="1">IF($AU95="","",OFFSET(DATA!CE44,0,$AX$48))</f>
        <v/>
      </c>
      <c r="BI95" s="112" t="str">
        <f ca="1">IF($AU95="","",OFFSET(DATA!CG44,0,$AX$48))</f>
        <v/>
      </c>
      <c r="BJ95" s="112" t="str">
        <f ca="1">IF($AU95="","",OFFSET(DATA!CI44,0,$AX$48))</f>
        <v/>
      </c>
      <c r="BK95" s="112" t="str">
        <f ca="1">IF($AU95="","",OFFSET(DATA!CK44,0,$AX$48))</f>
        <v/>
      </c>
      <c r="BL95" s="112" t="str">
        <f ca="1">IF($AU95="","",OFFSET(DATA!CM44,0,$AX$48))</f>
        <v/>
      </c>
      <c r="BM95" s="112" t="str">
        <f ca="1">IF($AU95="","",DATA!BH44)</f>
        <v/>
      </c>
      <c r="BN95" s="112" t="str">
        <f ca="1">IF($AU95="","",DATA!DS44)</f>
        <v/>
      </c>
      <c r="BO95" s="112" t="str">
        <f ca="1">IF($AU95="","",DATA!DU44)</f>
        <v/>
      </c>
      <c r="BP95" s="112" t="str">
        <f ca="1">IF($AU95="","",DATA!DV44)</f>
        <v/>
      </c>
      <c r="BQ95" s="112" t="str">
        <f ca="1">IF($AU95="","",DATA!DX44)</f>
        <v/>
      </c>
      <c r="BR95" s="112" t="str">
        <f ca="1">IF($AU95="","",DATA!DZ44)</f>
        <v/>
      </c>
      <c r="BS95" s="171" t="str">
        <f ca="1">IF($AU95="","",DATA!EA44)</f>
        <v/>
      </c>
      <c r="BT95" s="171" t="str">
        <f ca="1">IF($AU95="","",DATA!EC44)</f>
        <v/>
      </c>
      <c r="BU95" s="171" t="str">
        <f ca="1">IF($AU95="","",DATA!EF44)</f>
        <v/>
      </c>
      <c r="BV95" s="113" t="str">
        <f t="shared" ca="1" si="10"/>
        <v/>
      </c>
      <c r="BW95" s="680" t="str">
        <f ca="1">IF(AU95="","",OFFSET(DATA!DC44,0,'Intermediate Data'!$AX$48))</f>
        <v/>
      </c>
      <c r="BX95" s="681" t="str">
        <f ca="1">IF($AU95="","",DATA!DG44)</f>
        <v/>
      </c>
      <c r="BY95" s="680" t="str">
        <f ca="1">IF($AU95="","",OFFSET(DATA!DE44,0,'Intermediate Data'!$AX$48))</f>
        <v/>
      </c>
      <c r="BZ95" s="681" t="str">
        <f ca="1">IF($AU95="","",DATA!DH44)</f>
        <v/>
      </c>
      <c r="CA95" s="90" t="str">
        <f t="shared" ca="1" si="11"/>
        <v/>
      </c>
      <c r="CB95" s="99" t="str">
        <f t="shared" ca="1" si="12"/>
        <v/>
      </c>
      <c r="CC95" s="90" t="str">
        <f t="shared" ca="1" si="13"/>
        <v/>
      </c>
      <c r="CD95" s="90" t="str">
        <f t="shared" ca="1" si="14"/>
        <v/>
      </c>
      <c r="CF95" s="90" t="str">
        <f ca="1">IF($CD95="","",IF(OFFSET(AV$55,'Intermediate Data'!$CD95,0)=-98,"Unknown",IF(OFFSET(AV$55,'Intermediate Data'!$CD95,0)=-99,"N/A",OFFSET(AV$55,'Intermediate Data'!$CD95,0))))</f>
        <v/>
      </c>
      <c r="CG95" s="90" t="str">
        <f ca="1">IF($CD95="","",IF(OFFSET(AW$55,'Intermediate Data'!$CD95,0)=-98,"",IF(OFFSET(AW$55,'Intermediate Data'!$CD95,0)=-99,"N/A",OFFSET(AW$55,'Intermediate Data'!$CD95,0))))</f>
        <v/>
      </c>
      <c r="CH95" s="90" t="str">
        <f ca="1">IF($CD95="","",IF(OFFSET(AX$55,'Intermediate Data'!$CD95,0)=-98,"Unknown",IF(OFFSET(AX$55,'Intermediate Data'!$CD95,0)=-99,"N/A",OFFSET(AX$55,'Intermediate Data'!$CD95,0))))</f>
        <v/>
      </c>
      <c r="CI95" s="125" t="str">
        <f ca="1">IF($CD95="","",IF(OFFSET(AY$55,'Intermediate Data'!$CD95,0)=-98,"Unknown",IF(OFFSET(AY$55,'Intermediate Data'!$CD95,0)=-99,"No spec",OFFSET(AY$55,'Intermediate Data'!$CD95,0))))</f>
        <v/>
      </c>
      <c r="CJ95" s="125" t="str">
        <f ca="1">IF($CD95="","",IF(OFFSET(AZ$55,'Intermediate Data'!$CD95,0)=-98,"Unknown",IF(OFFSET(AZ$55,'Intermediate Data'!$CD95,0)=-99,"N/A",OFFSET(AZ$55,'Intermediate Data'!$CD95,0))))</f>
        <v/>
      </c>
      <c r="CK95" s="90" t="str">
        <f ca="1">IF($CD95="","",IF(OFFSET(BA$55,'Intermediate Data'!$CD95,0)=-98,"Unknown",IF(OFFSET(BA$55,'Intermediate Data'!$CD95,0)=-99,"N/A",OFFSET(BA$55,'Intermediate Data'!$CD95,0))))</f>
        <v/>
      </c>
      <c r="CL95" s="90" t="str">
        <f ca="1">IF($CD95="","",IF(OFFSET(BB$55,'Intermediate Data'!$CD95,$AX$50)=-98,"Unknown",IF(OFFSET(BB$55,'Intermediate Data'!$CD95,$AX$50)="N/A","",OFFSET(BB$55,'Intermediate Data'!$CD95,$AX$50))))</f>
        <v/>
      </c>
      <c r="CM95" s="90" t="str">
        <f ca="1">IF($CD95="","",IF(OFFSET(BG$55,'Intermediate Data'!$CD95,0)="ET","ET",""))</f>
        <v/>
      </c>
      <c r="CN95" s="90" t="str">
        <f ca="1">IF($CD95="","",IF(OFFSET(BH$55,'Intermediate Data'!$CD95,$AX$50)=-98,"Unknown",IF(OFFSET(BH$55,'Intermediate Data'!$CD95,$AX$50)="N/A","",OFFSET(BH$55,'Intermediate Data'!$CD95,$AX$50))))</f>
        <v/>
      </c>
      <c r="CO95" s="90" t="str">
        <f ca="1">IF($CD95="","",IF(OFFSET(BM$55,'Intermediate Data'!$CD95,0)=-98,"Not published",IF(OFFSET(BM$55,'Intermediate Data'!$CD95,0)=-99,"No spec",OFFSET(BM$55,'Intermediate Data'!$CD95,0))))</f>
        <v/>
      </c>
      <c r="CP95" s="114" t="str">
        <f ca="1">IF($CD95="","",IF(OFFSET(BN$55,'Intermediate Data'!$CD95,0)=-98,"Unknown",IF(OFFSET(BN$55,'Intermediate Data'!$CD95,0)=-99,"N/A",OFFSET(BN$55,'Intermediate Data'!$CD95,0))))</f>
        <v/>
      </c>
      <c r="CQ95" s="114" t="str">
        <f ca="1">IF($CD95="","",IF(OFFSET(BO$55,'Intermediate Data'!$CD95,0)=-98,"Unknown",IF(OFFSET(BO$55,'Intermediate Data'!$CD95,0)=-99,"N/A",OFFSET(BO$55,'Intermediate Data'!$CD95,0))))</f>
        <v/>
      </c>
      <c r="CR95" s="114" t="str">
        <f ca="1">IF($CD95="","",IF(OFFSET(BP$55,'Intermediate Data'!$CD95,0)=-98,"Unknown",IF(OFFSET(BP$55,'Intermediate Data'!$CD95,0)=-99,"N/A",OFFSET(BP$55,'Intermediate Data'!$CD95,0))))</f>
        <v/>
      </c>
      <c r="CS95" s="114" t="str">
        <f ca="1">IF($CD95="","",IF(OFFSET(BQ$55,'Intermediate Data'!$CD95,0)=-98,"Unknown",IF(OFFSET(BQ$55,'Intermediate Data'!$CD95,0)=-99,"N/A",OFFSET(BQ$55,'Intermediate Data'!$CD95,0))))</f>
        <v/>
      </c>
      <c r="CT95" s="114" t="str">
        <f ca="1">IF($CD95="","",IF(OFFSET(BR$55,'Intermediate Data'!$CD95,0)=-98,"Unknown",IF(OFFSET(BR$55,'Intermediate Data'!$CD95,0)=-99,"N/A",OFFSET(BR$55,'Intermediate Data'!$CD95,0))))</f>
        <v/>
      </c>
      <c r="CU95" s="114" t="str">
        <f ca="1">IF($CD95="","",IF(OFFSET(BS$55,'Intermediate Data'!$CD95,0)=-98,"Unknown",IF(OFFSET(BS$55,'Intermediate Data'!$CD95,0)=-99,"N/A",OFFSET(BS$55,'Intermediate Data'!$CD95,0))))</f>
        <v/>
      </c>
      <c r="CV95" s="114" t="str">
        <f ca="1">IF($CD95="","",IF(OFFSET(BT$55,'Intermediate Data'!$CD95,0)=-98,"Unknown",IF(OFFSET(BT$55,'Intermediate Data'!$CD95,0)=-99,"N/A",OFFSET(BT$55,'Intermediate Data'!$CD95,0))))</f>
        <v/>
      </c>
      <c r="CW95" s="114" t="str">
        <f ca="1">IF($CD95="","",IF(OFFSET(BU$55,'Intermediate Data'!$CD95,0)=-98,"Unknown",IF(OFFSET(BU$55,'Intermediate Data'!$CD95,0)=-99,"N/A",OFFSET(BU$55,'Intermediate Data'!$CD95,0))))</f>
        <v/>
      </c>
      <c r="CX95" s="114" t="str">
        <f ca="1">IF($CD95="","",IF(OFFSET(BV$55,'Intermediate Data'!$CD95,0)=-98,"Unknown",IF(OFFSET(BV$55,'Intermediate Data'!$CD95,0)=-99,"N/A",OFFSET(BV$55,'Intermediate Data'!$CD95,0))))</f>
        <v/>
      </c>
      <c r="CY95" s="682" t="str">
        <f ca="1">IF($CD95="","",IF(OFFSET(BW$55,'Intermediate Data'!$CD95,0)=-98,"Unknown",IF(OFFSET(BW$55,'Intermediate Data'!$CD95,0)="N/A","",OFFSET(BW$55,'Intermediate Data'!$CD95,0))))</f>
        <v/>
      </c>
      <c r="CZ95" s="682" t="str">
        <f ca="1">IF($CD95="","",IF(OFFSET(BX$55,'Intermediate Data'!$CD95,0)=-98,"Unknown",IF(OFFSET(BX$55,'Intermediate Data'!$CD95,0)="N/A","",OFFSET(BX$55,'Intermediate Data'!$CD95,0))))</f>
        <v/>
      </c>
      <c r="DA95" s="682" t="str">
        <f ca="1">IF($CD95="","",IF(OFFSET(BY$55,'Intermediate Data'!$CD95,0)=-98,"Unknown",IF(OFFSET(BY$55,'Intermediate Data'!$CD95,0)="N/A","",OFFSET(BY$55,'Intermediate Data'!$CD95,0))))</f>
        <v/>
      </c>
      <c r="DB95" s="682" t="str">
        <f ca="1">IF($CD95="","",IF(OFFSET(BZ$55,'Intermediate Data'!$CD95,0)=-98,"Unknown",IF(OFFSET(BZ$55,'Intermediate Data'!$CD95,0)="N/A","",OFFSET(BZ$55,'Intermediate Data'!$CD95,0))))</f>
        <v/>
      </c>
    </row>
    <row r="96" spans="1:106" x14ac:dyDescent="0.2">
      <c r="A96" s="90">
        <f ca="1">IF(OFFSET(DATA!F45,0,$D$48)='Intermediate Data'!$E$48,IF(OR($E$49=$C$27,$E$48=$B$4),DATA!A45,IF($G$49=DATA!D45,DATA!A45,"")),"")</f>
        <v>41</v>
      </c>
      <c r="B96" s="90">
        <f ca="1">IF($A96="","",DATA!EH45)</f>
        <v>51</v>
      </c>
      <c r="C96" s="90" t="str">
        <f ca="1">IF($A96="","",DATA!B45)</f>
        <v>Portable electric grill</v>
      </c>
      <c r="D96" s="90">
        <f ca="1">IF($A96="","",OFFSET(DATA!$H45,0,($D$50*5)))</f>
        <v>-99</v>
      </c>
      <c r="E96" s="90">
        <f ca="1">IF($A96="","",OFFSET(DATA!$H45,0,($D$50*5)+1))</f>
        <v>-99</v>
      </c>
      <c r="F96" s="90">
        <f ca="1">IF($A96="","",OFFSET(DATA!$H45,0,($D$50*5)+2))</f>
        <v>-99</v>
      </c>
      <c r="G96" s="90">
        <f ca="1">IF($A96="","",OFFSET(DATA!$H45,0,($D$50*5)+3))</f>
        <v>-99</v>
      </c>
      <c r="H96" s="90">
        <f ca="1">IF($A96="","",OFFSET(DATA!$H45,0,($D$50*5)+4))</f>
        <v>-99</v>
      </c>
      <c r="I96" s="90">
        <f t="shared" ca="1" si="2"/>
        <v>-99</v>
      </c>
      <c r="J96" s="90" t="str">
        <f t="shared" ca="1" si="3"/>
        <v/>
      </c>
      <c r="K96" s="90">
        <f ca="1">IF($A96="","",OFFSET(DATA!$AG45,0,($D$50*5)))</f>
        <v>-99</v>
      </c>
      <c r="L96" s="90">
        <f ca="1">IF($A96="","",OFFSET(DATA!$AG45,0,($D$50*5)+1))</f>
        <v>-99</v>
      </c>
      <c r="M96" s="90">
        <f ca="1">IF($A96="","",OFFSET(DATA!$AG45,0,($D$50*5)+2))</f>
        <v>-99</v>
      </c>
      <c r="N96" s="90">
        <f ca="1">IF($A96="","",OFFSET(DATA!$AG45,0,($D$50*5)+3))</f>
        <v>-99</v>
      </c>
      <c r="O96" s="90">
        <f ca="1">IF($A96="","",OFFSET(DATA!$AG45,0,($D$50*5)+4))</f>
        <v>-99</v>
      </c>
      <c r="P96" s="90">
        <f t="shared" ca="1" si="4"/>
        <v>-99</v>
      </c>
      <c r="Q96" s="90" t="str">
        <f t="shared" ca="1" si="5"/>
        <v/>
      </c>
      <c r="R96" s="699">
        <f ca="1">IF($A96="","",IF(DATA!BF45="",-99,DATA!BF45))</f>
        <v>-99</v>
      </c>
      <c r="S96" s="90">
        <f ca="1">IF($A96="","",IF(DATA!BG45="",-99,DATA!BF45-DATA!BG45))</f>
        <v>-99</v>
      </c>
      <c r="T96" s="90">
        <f ca="1">IF($A96="","",DATA!BH45)</f>
        <v>-99</v>
      </c>
      <c r="U96" s="90">
        <f ca="1">IF($A96="","",OFFSET(DATA!BM45,0,$D$48))</f>
        <v>-99</v>
      </c>
      <c r="V96" s="90">
        <f t="shared" ca="1" si="15"/>
        <v>51</v>
      </c>
      <c r="W96" s="99">
        <f t="shared" ca="1" si="7"/>
        <v>50.999881200959997</v>
      </c>
      <c r="X96" s="112">
        <f t="shared" ca="1" si="8"/>
        <v>93.999930826915616</v>
      </c>
      <c r="Y96" s="90">
        <f t="shared" ca="1" si="9"/>
        <v>80</v>
      </c>
      <c r="AA96" s="90" t="str">
        <f ca="1">IF($Y96="","",IF(OFFSET(C$55,'Intermediate Data'!$Y96,0)=-98,"Unknown",IF(OFFSET(C$55,'Intermediate Data'!$Y96,0)=-99,"N/A",OFFSET(C$55,'Intermediate Data'!$Y96,0))))</f>
        <v>Evaporative cooler</v>
      </c>
      <c r="AB96" s="90">
        <f ca="1">IF($Y96="","",IF(OFFSET(D$55,'Intermediate Data'!$Y96,0)=-98,"N/A",IF(OFFSET(D$55,'Intermediate Data'!$Y96,0)=-99,"N/A",OFFSET(D$55,'Intermediate Data'!$Y96,0))))</f>
        <v>3.2000000000000001E-2</v>
      </c>
      <c r="AC96" s="90">
        <f ca="1">IF($Y96="","",IF(OFFSET(E$55,'Intermediate Data'!$Y96,0)=-98,"N/A",IF(OFFSET(E$55,'Intermediate Data'!$Y96,0)=-99,"N/A",OFFSET(E$55,'Intermediate Data'!$Y96,0))))</f>
        <v>4.9346286092956798E-2</v>
      </c>
      <c r="AD96" s="90" t="str">
        <f ca="1">IF($Y96="","",IF(OFFSET(F$55,'Intermediate Data'!$Y96,0)=-98,"N/A",IF(OFFSET(F$55,'Intermediate Data'!$Y96,0)=-99,"N/A",OFFSET(F$55,'Intermediate Data'!$Y96,0))))</f>
        <v>N/A</v>
      </c>
      <c r="AE96" s="90">
        <f ca="1">IF($Y96="","",IF(OFFSET(G$55,'Intermediate Data'!$Y96,0)=-98,"N/A",IF(OFFSET(G$55,'Intermediate Data'!$Y96,0)=-99,"N/A",OFFSET(G$55,'Intermediate Data'!$Y96,0))))</f>
        <v>4.8223933953954405E-2</v>
      </c>
      <c r="AF96" s="90" t="str">
        <f ca="1">IF($Y96="","",IF(OFFSET(H$55,'Intermediate Data'!$Y96,0)=-98,"N/A",IF(OFFSET(H$55,'Intermediate Data'!$Y96,0)=-99,"N/A",OFFSET(H$55,'Intermediate Data'!$Y96,0))))</f>
        <v>N/A</v>
      </c>
      <c r="AG96" s="90">
        <f ca="1">IF($Y96="","",IF(OFFSET(I$55,'Intermediate Data'!$Y96,0)=-98,"N/A",IF(OFFSET(I$55,'Intermediate Data'!$Y96,0)=-99,"N/A",OFFSET(I$55,'Intermediate Data'!$Y96,0))))</f>
        <v>4.8223933953954405E-2</v>
      </c>
      <c r="AH96" s="90" t="str">
        <f ca="1">IF($Y96="","",IF(OFFSET(J$55,'Intermediate Data'!$Y96,0)=-98,"N/A",IF(OFFSET(J$55,'Intermediate Data'!$Y96,0)=-99,"N/A",OFFSET(J$55,'Intermediate Data'!$Y96,0))))</f>
        <v>RASS</v>
      </c>
      <c r="AI96" s="90" t="str">
        <f ca="1">IF($Y96="","",IF(OFFSET(K$55,'Intermediate Data'!$Y96,0)=-98,"N/A",IF(OFFSET(K$55,'Intermediate Data'!$Y96,0)=-99,"N/A",OFFSET(K$55,'Intermediate Data'!$Y96,0))))</f>
        <v>N/A</v>
      </c>
      <c r="AJ96" s="90">
        <f ca="1">IF($Y96="","",IF(OFFSET(L$55,'Intermediate Data'!$Y96,0)=-98,"N/A",IF(OFFSET(L$55,'Intermediate Data'!$Y96,0)=-99,"N/A",OFFSET(L$55,'Intermediate Data'!$Y96,0))))</f>
        <v>5.5545740507961509E-2</v>
      </c>
      <c r="AK96" s="90" t="str">
        <f ca="1">IF($Y96="","",IF(OFFSET(M$55,'Intermediate Data'!$Y96,0)=-98,"N/A",IF(OFFSET(M$55,'Intermediate Data'!$Y96,0)=-99,"N/A",OFFSET(M$55,'Intermediate Data'!$Y96,0))))</f>
        <v>N/A</v>
      </c>
      <c r="AL96" s="90">
        <f ca="1">IF($Y96="","",IF(OFFSET(N$55,'Intermediate Data'!$Y96,0)=-98,"N/A",IF(OFFSET(N$55,'Intermediate Data'!$Y96,0)=-99,"N/A",OFFSET(N$55,'Intermediate Data'!$Y96,0))))</f>
        <v>5.4316197866149371E-2</v>
      </c>
      <c r="AM96" s="90" t="str">
        <f ca="1">IF($Y96="","",IF(OFFSET(O$55,'Intermediate Data'!$Y96,0)=-98,"N/A",IF(OFFSET(O$55,'Intermediate Data'!$Y96,0)=-99,"N/A",OFFSET(O$55,'Intermediate Data'!$Y96,0))))</f>
        <v>N/A</v>
      </c>
      <c r="AN96" s="90">
        <f ca="1">IF($Y96="","",IF(OFFSET(P$55,'Intermediate Data'!$Y96,0)=-98,"N/A",IF(OFFSET(P$55,'Intermediate Data'!$Y96,0)=-99,"N/A",OFFSET(P$55,'Intermediate Data'!$Y96,0))))</f>
        <v>5.4316197866149371E-2</v>
      </c>
      <c r="AO96" s="90" t="str">
        <f ca="1">IF($Y96="","",IF(OFFSET(Q$55,'Intermediate Data'!$Y96,0)=-98,"N/A",IF(OFFSET(Q$55,'Intermediate Data'!$Y96,0)=-99,"N/A",OFFSET(Q$55,'Intermediate Data'!$Y96,0))))</f>
        <v>RASS</v>
      </c>
      <c r="AP96" s="697" t="str">
        <f ca="1">IF($Y96="","",IF(OFFSET(S$55,'Intermediate Data'!$Y96,0)=-98,"",IF(OFFSET(S$55,'Intermediate Data'!$Y96,0)=-99,"",OFFSET(S$55,'Intermediate Data'!$Y96,0))))</f>
        <v/>
      </c>
      <c r="AQ96" s="90" t="str">
        <f ca="1">IF($Y96="","",IF(OFFSET(T$55,'Intermediate Data'!$Y96,0)=-98,"Not published",IF(OFFSET(T$55,'Intermediate Data'!$Y96,0)=-99,"",OFFSET(T$55,'Intermediate Data'!$Y96,0))))</f>
        <v/>
      </c>
      <c r="AR96" s="90" t="str">
        <f ca="1">IF($Y96="","",IF(OFFSET(U$55,'Intermediate Data'!$Y96,0)=-98,"Unknown",IF(OFFSET(U$55,'Intermediate Data'!$Y96,0)=-99,"",OFFSET(U$55,'Intermediate Data'!$Y96,0))))</f>
        <v/>
      </c>
      <c r="AU96" s="112" t="str">
        <f ca="1">IF(AND(OFFSET(DATA!$F45,0,$AX$48)='Intermediate Data'!$AY$48,DATA!$E45="Tier 1"),IF(OR($AX$49=0,$AX$48=1),DATA!A45,IF(AND($AX$49=1,INDEX('Intermediate Data'!$AY$25:$AY$44,MATCH(DATA!$B45,'Intermediate Data'!$AX$25:$AX$44,0))=TRUE),DATA!A45,"")),"")</f>
        <v/>
      </c>
      <c r="AV96" s="112" t="str">
        <f ca="1">IF($AU96="","",DATA!B45)</f>
        <v/>
      </c>
      <c r="AW96" s="112" t="str">
        <f ca="1">IF(OR($AU96="",DATA!BI45=""),"",DATA!BI45)</f>
        <v/>
      </c>
      <c r="AX96" s="112" t="str">
        <f ca="1">IF(OR($AU96="",OFFSET(DATA!BK45,0,$AX$48)=""),"",OFFSET(DATA!BK45,0,$AX$48))</f>
        <v/>
      </c>
      <c r="AY96" s="112" t="str">
        <f ca="1">IF(OR($AU96="",OFFSET(DATA!BM45,0,$AX$48)=""),"",OFFSET(DATA!BM45,0,$AX$48))</f>
        <v/>
      </c>
      <c r="AZ96" s="112" t="str">
        <f ca="1">IF(OR($AU96="",OFFSET(DATA!BO45,0,'Intermediate Data'!$AX$48)=""),"",OFFSET(DATA!BO45,0,$AX$48))</f>
        <v/>
      </c>
      <c r="BA96" s="112" t="str">
        <f ca="1">IF(OR($AU96="",DATA!BQ45=""),"",DATA!BQ45)</f>
        <v/>
      </c>
      <c r="BB96" s="112" t="str">
        <f ca="1">IF($AU96="","",OFFSET(DATA!BS45,0,$AX$48))</f>
        <v/>
      </c>
      <c r="BC96" s="112" t="str">
        <f ca="1">IF($AU96="","",OFFSET(DATA!BU45,0,$AX$48))</f>
        <v/>
      </c>
      <c r="BD96" s="112" t="str">
        <f ca="1">IF($AU96="","",OFFSET(DATA!BW45,0,$AX$48))</f>
        <v/>
      </c>
      <c r="BE96" s="112" t="str">
        <f ca="1">IF($AU96="","",OFFSET(DATA!BY45,0,$AX$48))</f>
        <v/>
      </c>
      <c r="BF96" s="112" t="str">
        <f ca="1">IF($AU96="","",OFFSET(DATA!CA45,0,$AX$48))</f>
        <v/>
      </c>
      <c r="BG96" s="112" t="str">
        <f ca="1">IF($AU96="","",DATA!CC45)</f>
        <v/>
      </c>
      <c r="BH96" s="112" t="str">
        <f ca="1">IF($AU96="","",OFFSET(DATA!CE45,0,$AX$48))</f>
        <v/>
      </c>
      <c r="BI96" s="112" t="str">
        <f ca="1">IF($AU96="","",OFFSET(DATA!CG45,0,$AX$48))</f>
        <v/>
      </c>
      <c r="BJ96" s="112" t="str">
        <f ca="1">IF($AU96="","",OFFSET(DATA!CI45,0,$AX$48))</f>
        <v/>
      </c>
      <c r="BK96" s="112" t="str">
        <f ca="1">IF($AU96="","",OFFSET(DATA!CK45,0,$AX$48))</f>
        <v/>
      </c>
      <c r="BL96" s="112" t="str">
        <f ca="1">IF($AU96="","",OFFSET(DATA!CM45,0,$AX$48))</f>
        <v/>
      </c>
      <c r="BM96" s="112" t="str">
        <f ca="1">IF($AU96="","",DATA!BH45)</f>
        <v/>
      </c>
      <c r="BN96" s="112" t="str">
        <f ca="1">IF($AU96="","",DATA!DS45)</f>
        <v/>
      </c>
      <c r="BO96" s="112" t="str">
        <f ca="1">IF($AU96="","",DATA!DU45)</f>
        <v/>
      </c>
      <c r="BP96" s="112" t="str">
        <f ca="1">IF($AU96="","",DATA!DV45)</f>
        <v/>
      </c>
      <c r="BQ96" s="112" t="str">
        <f ca="1">IF($AU96="","",DATA!DX45)</f>
        <v/>
      </c>
      <c r="BR96" s="112" t="str">
        <f ca="1">IF($AU96="","",DATA!DZ45)</f>
        <v/>
      </c>
      <c r="BS96" s="171" t="str">
        <f ca="1">IF($AU96="","",DATA!EA45)</f>
        <v/>
      </c>
      <c r="BT96" s="171" t="str">
        <f ca="1">IF($AU96="","",DATA!EC45)</f>
        <v/>
      </c>
      <c r="BU96" s="171" t="str">
        <f ca="1">IF($AU96="","",DATA!EF45)</f>
        <v/>
      </c>
      <c r="BV96" s="113" t="str">
        <f t="shared" ca="1" si="10"/>
        <v/>
      </c>
      <c r="BW96" s="680" t="str">
        <f ca="1">IF(AU96="","",OFFSET(DATA!DC45,0,'Intermediate Data'!$AX$48))</f>
        <v/>
      </c>
      <c r="BX96" s="681" t="str">
        <f ca="1">IF($AU96="","",DATA!DG45)</f>
        <v/>
      </c>
      <c r="BY96" s="680" t="str">
        <f ca="1">IF($AU96="","",OFFSET(DATA!DE45,0,'Intermediate Data'!$AX$48))</f>
        <v/>
      </c>
      <c r="BZ96" s="681" t="str">
        <f ca="1">IF($AU96="","",DATA!DH45)</f>
        <v/>
      </c>
      <c r="CA96" s="90" t="str">
        <f t="shared" ca="1" si="11"/>
        <v/>
      </c>
      <c r="CB96" s="99" t="str">
        <f t="shared" ca="1" si="12"/>
        <v/>
      </c>
      <c r="CC96" s="90" t="str">
        <f t="shared" ca="1" si="13"/>
        <v/>
      </c>
      <c r="CD96" s="90" t="str">
        <f t="shared" ca="1" si="14"/>
        <v/>
      </c>
      <c r="CF96" s="90" t="str">
        <f ca="1">IF($CD96="","",IF(OFFSET(AV$55,'Intermediate Data'!$CD96,0)=-98,"Unknown",IF(OFFSET(AV$55,'Intermediate Data'!$CD96,0)=-99,"N/A",OFFSET(AV$55,'Intermediate Data'!$CD96,0))))</f>
        <v/>
      </c>
      <c r="CG96" s="90" t="str">
        <f ca="1">IF($CD96="","",IF(OFFSET(AW$55,'Intermediate Data'!$CD96,0)=-98,"",IF(OFFSET(AW$55,'Intermediate Data'!$CD96,0)=-99,"N/A",OFFSET(AW$55,'Intermediate Data'!$CD96,0))))</f>
        <v/>
      </c>
      <c r="CH96" s="90" t="str">
        <f ca="1">IF($CD96="","",IF(OFFSET(AX$55,'Intermediate Data'!$CD96,0)=-98,"Unknown",IF(OFFSET(AX$55,'Intermediate Data'!$CD96,0)=-99,"N/A",OFFSET(AX$55,'Intermediate Data'!$CD96,0))))</f>
        <v/>
      </c>
      <c r="CI96" s="125" t="str">
        <f ca="1">IF($CD96="","",IF(OFFSET(AY$55,'Intermediate Data'!$CD96,0)=-98,"Unknown",IF(OFFSET(AY$55,'Intermediate Data'!$CD96,0)=-99,"No spec",OFFSET(AY$55,'Intermediate Data'!$CD96,0))))</f>
        <v/>
      </c>
      <c r="CJ96" s="125" t="str">
        <f ca="1">IF($CD96="","",IF(OFFSET(AZ$55,'Intermediate Data'!$CD96,0)=-98,"Unknown",IF(OFFSET(AZ$55,'Intermediate Data'!$CD96,0)=-99,"N/A",OFFSET(AZ$55,'Intermediate Data'!$CD96,0))))</f>
        <v/>
      </c>
      <c r="CK96" s="90" t="str">
        <f ca="1">IF($CD96="","",IF(OFFSET(BA$55,'Intermediate Data'!$CD96,0)=-98,"Unknown",IF(OFFSET(BA$55,'Intermediate Data'!$CD96,0)=-99,"N/A",OFFSET(BA$55,'Intermediate Data'!$CD96,0))))</f>
        <v/>
      </c>
      <c r="CL96" s="90" t="str">
        <f ca="1">IF($CD96="","",IF(OFFSET(BB$55,'Intermediate Data'!$CD96,$AX$50)=-98,"Unknown",IF(OFFSET(BB$55,'Intermediate Data'!$CD96,$AX$50)="N/A","",OFFSET(BB$55,'Intermediate Data'!$CD96,$AX$50))))</f>
        <v/>
      </c>
      <c r="CM96" s="90" t="str">
        <f ca="1">IF($CD96="","",IF(OFFSET(BG$55,'Intermediate Data'!$CD96,0)="ET","ET",""))</f>
        <v/>
      </c>
      <c r="CN96" s="90" t="str">
        <f ca="1">IF($CD96="","",IF(OFFSET(BH$55,'Intermediate Data'!$CD96,$AX$50)=-98,"Unknown",IF(OFFSET(BH$55,'Intermediate Data'!$CD96,$AX$50)="N/A","",OFFSET(BH$55,'Intermediate Data'!$CD96,$AX$50))))</f>
        <v/>
      </c>
      <c r="CO96" s="90" t="str">
        <f ca="1">IF($CD96="","",IF(OFFSET(BM$55,'Intermediate Data'!$CD96,0)=-98,"Not published",IF(OFFSET(BM$55,'Intermediate Data'!$CD96,0)=-99,"No spec",OFFSET(BM$55,'Intermediate Data'!$CD96,0))))</f>
        <v/>
      </c>
      <c r="CP96" s="114" t="str">
        <f ca="1">IF($CD96="","",IF(OFFSET(BN$55,'Intermediate Data'!$CD96,0)=-98,"Unknown",IF(OFFSET(BN$55,'Intermediate Data'!$CD96,0)=-99,"N/A",OFFSET(BN$55,'Intermediate Data'!$CD96,0))))</f>
        <v/>
      </c>
      <c r="CQ96" s="114" t="str">
        <f ca="1">IF($CD96="","",IF(OFFSET(BO$55,'Intermediate Data'!$CD96,0)=-98,"Unknown",IF(OFFSET(BO$55,'Intermediate Data'!$CD96,0)=-99,"N/A",OFFSET(BO$55,'Intermediate Data'!$CD96,0))))</f>
        <v/>
      </c>
      <c r="CR96" s="114" t="str">
        <f ca="1">IF($CD96="","",IF(OFFSET(BP$55,'Intermediate Data'!$CD96,0)=-98,"Unknown",IF(OFFSET(BP$55,'Intermediate Data'!$CD96,0)=-99,"N/A",OFFSET(BP$55,'Intermediate Data'!$CD96,0))))</f>
        <v/>
      </c>
      <c r="CS96" s="114" t="str">
        <f ca="1">IF($CD96="","",IF(OFFSET(BQ$55,'Intermediate Data'!$CD96,0)=-98,"Unknown",IF(OFFSET(BQ$55,'Intermediate Data'!$CD96,0)=-99,"N/A",OFFSET(BQ$55,'Intermediate Data'!$CD96,0))))</f>
        <v/>
      </c>
      <c r="CT96" s="114" t="str">
        <f ca="1">IF($CD96="","",IF(OFFSET(BR$55,'Intermediate Data'!$CD96,0)=-98,"Unknown",IF(OFFSET(BR$55,'Intermediate Data'!$CD96,0)=-99,"N/A",OFFSET(BR$55,'Intermediate Data'!$CD96,0))))</f>
        <v/>
      </c>
      <c r="CU96" s="114" t="str">
        <f ca="1">IF($CD96="","",IF(OFFSET(BS$55,'Intermediate Data'!$CD96,0)=-98,"Unknown",IF(OFFSET(BS$55,'Intermediate Data'!$CD96,0)=-99,"N/A",OFFSET(BS$55,'Intermediate Data'!$CD96,0))))</f>
        <v/>
      </c>
      <c r="CV96" s="114" t="str">
        <f ca="1">IF($CD96="","",IF(OFFSET(BT$55,'Intermediate Data'!$CD96,0)=-98,"Unknown",IF(OFFSET(BT$55,'Intermediate Data'!$CD96,0)=-99,"N/A",OFFSET(BT$55,'Intermediate Data'!$CD96,0))))</f>
        <v/>
      </c>
      <c r="CW96" s="114" t="str">
        <f ca="1">IF($CD96="","",IF(OFFSET(BU$55,'Intermediate Data'!$CD96,0)=-98,"Unknown",IF(OFFSET(BU$55,'Intermediate Data'!$CD96,0)=-99,"N/A",OFFSET(BU$55,'Intermediate Data'!$CD96,0))))</f>
        <v/>
      </c>
      <c r="CX96" s="114" t="str">
        <f ca="1">IF($CD96="","",IF(OFFSET(BV$55,'Intermediate Data'!$CD96,0)=-98,"Unknown",IF(OFFSET(BV$55,'Intermediate Data'!$CD96,0)=-99,"N/A",OFFSET(BV$55,'Intermediate Data'!$CD96,0))))</f>
        <v/>
      </c>
      <c r="CY96" s="682" t="str">
        <f ca="1">IF($CD96="","",IF(OFFSET(BW$55,'Intermediate Data'!$CD96,0)=-98,"Unknown",IF(OFFSET(BW$55,'Intermediate Data'!$CD96,0)="N/A","",OFFSET(BW$55,'Intermediate Data'!$CD96,0))))</f>
        <v/>
      </c>
      <c r="CZ96" s="682" t="str">
        <f ca="1">IF($CD96="","",IF(OFFSET(BX$55,'Intermediate Data'!$CD96,0)=-98,"Unknown",IF(OFFSET(BX$55,'Intermediate Data'!$CD96,0)="N/A","",OFFSET(BX$55,'Intermediate Data'!$CD96,0))))</f>
        <v/>
      </c>
      <c r="DA96" s="682" t="str">
        <f ca="1">IF($CD96="","",IF(OFFSET(BY$55,'Intermediate Data'!$CD96,0)=-98,"Unknown",IF(OFFSET(BY$55,'Intermediate Data'!$CD96,0)="N/A","",OFFSET(BY$55,'Intermediate Data'!$CD96,0))))</f>
        <v/>
      </c>
      <c r="DB96" s="682" t="str">
        <f ca="1">IF($CD96="","",IF(OFFSET(BZ$55,'Intermediate Data'!$CD96,0)=-98,"Unknown",IF(OFFSET(BZ$55,'Intermediate Data'!$CD96,0)="N/A","",OFFSET(BZ$55,'Intermediate Data'!$CD96,0))))</f>
        <v/>
      </c>
    </row>
    <row r="97" spans="1:106" x14ac:dyDescent="0.2">
      <c r="A97" s="90" t="str">
        <f ca="1">IF(OFFSET(DATA!F46,0,$D$48)='Intermediate Data'!$E$48,IF(OR($E$49=$C$27,$E$48=$B$4),DATA!A46,IF($G$49=DATA!D46,DATA!A46,"")),"")</f>
        <v/>
      </c>
      <c r="B97" s="90" t="str">
        <f ca="1">IF($A97="","",DATA!EH46)</f>
        <v/>
      </c>
      <c r="C97" s="90" t="str">
        <f ca="1">IF($A97="","",DATA!B46)</f>
        <v/>
      </c>
      <c r="D97" s="90" t="str">
        <f ca="1">IF($A97="","",OFFSET(DATA!$H46,0,($D$50*5)))</f>
        <v/>
      </c>
      <c r="E97" s="90" t="str">
        <f ca="1">IF($A97="","",OFFSET(DATA!$H46,0,($D$50*5)+1))</f>
        <v/>
      </c>
      <c r="F97" s="90" t="str">
        <f ca="1">IF($A97="","",OFFSET(DATA!$H46,0,($D$50*5)+2))</f>
        <v/>
      </c>
      <c r="G97" s="90" t="str">
        <f ca="1">IF($A97="","",OFFSET(DATA!$H46,0,($D$50*5)+3))</f>
        <v/>
      </c>
      <c r="H97" s="90" t="str">
        <f ca="1">IF($A97="","",OFFSET(DATA!$H46,0,($D$50*5)+4))</f>
        <v/>
      </c>
      <c r="I97" s="90" t="str">
        <f t="shared" ca="1" si="2"/>
        <v/>
      </c>
      <c r="J97" s="90" t="str">
        <f t="shared" ca="1" si="3"/>
        <v/>
      </c>
      <c r="K97" s="90" t="str">
        <f ca="1">IF($A97="","",OFFSET(DATA!$AG46,0,($D$50*5)))</f>
        <v/>
      </c>
      <c r="L97" s="90" t="str">
        <f ca="1">IF($A97="","",OFFSET(DATA!$AG46,0,($D$50*5)+1))</f>
        <v/>
      </c>
      <c r="M97" s="90" t="str">
        <f ca="1">IF($A97="","",OFFSET(DATA!$AG46,0,($D$50*5)+2))</f>
        <v/>
      </c>
      <c r="N97" s="90" t="str">
        <f ca="1">IF($A97="","",OFFSET(DATA!$AG46,0,($D$50*5)+3))</f>
        <v/>
      </c>
      <c r="O97" s="90" t="str">
        <f ca="1">IF($A97="","",OFFSET(DATA!$AG46,0,($D$50*5)+4))</f>
        <v/>
      </c>
      <c r="P97" s="90" t="str">
        <f t="shared" ca="1" si="4"/>
        <v/>
      </c>
      <c r="Q97" s="90" t="str">
        <f t="shared" ca="1" si="5"/>
        <v/>
      </c>
      <c r="R97" s="699" t="str">
        <f ca="1">IF($A97="","",IF(DATA!BF46="",-99,DATA!BF46))</f>
        <v/>
      </c>
      <c r="S97" s="90" t="str">
        <f ca="1">IF($A97="","",IF(DATA!BG46="",-99,DATA!BF46-DATA!BG46))</f>
        <v/>
      </c>
      <c r="T97" s="90" t="str">
        <f ca="1">IF($A97="","",DATA!BH46)</f>
        <v/>
      </c>
      <c r="U97" s="90" t="str">
        <f ca="1">IF($A97="","",OFFSET(DATA!BM46,0,$D$48))</f>
        <v/>
      </c>
      <c r="V97" s="90" t="str">
        <f t="shared" ca="1" si="15"/>
        <v/>
      </c>
      <c r="W97" s="99" t="str">
        <f t="shared" ca="1" si="7"/>
        <v/>
      </c>
      <c r="X97" s="112">
        <f t="shared" ca="1" si="8"/>
        <v>92.999881201400001</v>
      </c>
      <c r="Y97" s="90">
        <f t="shared" ca="1" si="9"/>
        <v>85</v>
      </c>
      <c r="AA97" s="90" t="str">
        <f ca="1">IF($Y97="","",IF(OFFSET(C$55,'Intermediate Data'!$Y97,0)=-98,"Unknown",IF(OFFSET(C$55,'Intermediate Data'!$Y97,0)=-99,"N/A",OFFSET(C$55,'Intermediate Data'!$Y97,0))))</f>
        <v>Exterior lighting fixtures</v>
      </c>
      <c r="AB97" s="90" t="str">
        <f ca="1">IF($Y97="","",IF(OFFSET(D$55,'Intermediate Data'!$Y97,0)=-98,"N/A",IF(OFFSET(D$55,'Intermediate Data'!$Y97,0)=-99,"N/A",OFFSET(D$55,'Intermediate Data'!$Y97,0))))</f>
        <v>N/A</v>
      </c>
      <c r="AC97" s="90" t="str">
        <f ca="1">IF($Y97="","",IF(OFFSET(E$55,'Intermediate Data'!$Y97,0)=-98,"N/A",IF(OFFSET(E$55,'Intermediate Data'!$Y97,0)=-99,"N/A",OFFSET(E$55,'Intermediate Data'!$Y97,0))))</f>
        <v>N/A</v>
      </c>
      <c r="AD97" s="90" t="str">
        <f ca="1">IF($Y97="","",IF(OFFSET(F$55,'Intermediate Data'!$Y97,0)=-98,"N/A",IF(OFFSET(F$55,'Intermediate Data'!$Y97,0)=-99,"N/A",OFFSET(F$55,'Intermediate Data'!$Y97,0))))</f>
        <v>N/A</v>
      </c>
      <c r="AE97" s="90" t="str">
        <f ca="1">IF($Y97="","",IF(OFFSET(G$55,'Intermediate Data'!$Y97,0)=-98,"N/A",IF(OFFSET(G$55,'Intermediate Data'!$Y97,0)=-99,"N/A",OFFSET(G$55,'Intermediate Data'!$Y97,0))))</f>
        <v>N/A</v>
      </c>
      <c r="AF97" s="90" t="str">
        <f ca="1">IF($Y97="","",IF(OFFSET(H$55,'Intermediate Data'!$Y97,0)=-98,"N/A",IF(OFFSET(H$55,'Intermediate Data'!$Y97,0)=-99,"N/A",OFFSET(H$55,'Intermediate Data'!$Y97,0))))</f>
        <v>N/A</v>
      </c>
      <c r="AG97" s="90" t="str">
        <f ca="1">IF($Y97="","",IF(OFFSET(I$55,'Intermediate Data'!$Y97,0)=-98,"N/A",IF(OFFSET(I$55,'Intermediate Data'!$Y97,0)=-99,"N/A",OFFSET(I$55,'Intermediate Data'!$Y97,0))))</f>
        <v>N/A</v>
      </c>
      <c r="AH97" s="90" t="str">
        <f ca="1">IF($Y97="","",IF(OFFSET(J$55,'Intermediate Data'!$Y97,0)=-98,"N/A",IF(OFFSET(J$55,'Intermediate Data'!$Y97,0)=-99,"N/A",OFFSET(J$55,'Intermediate Data'!$Y97,0))))</f>
        <v/>
      </c>
      <c r="AI97" s="90" t="str">
        <f ca="1">IF($Y97="","",IF(OFFSET(K$55,'Intermediate Data'!$Y97,0)=-98,"N/A",IF(OFFSET(K$55,'Intermediate Data'!$Y97,0)=-99,"N/A",OFFSET(K$55,'Intermediate Data'!$Y97,0))))</f>
        <v>N/A</v>
      </c>
      <c r="AJ97" s="90" t="str">
        <f ca="1">IF($Y97="","",IF(OFFSET(L$55,'Intermediate Data'!$Y97,0)=-98,"N/A",IF(OFFSET(L$55,'Intermediate Data'!$Y97,0)=-99,"N/A",OFFSET(L$55,'Intermediate Data'!$Y97,0))))</f>
        <v>N/A</v>
      </c>
      <c r="AK97" s="90" t="str">
        <f ca="1">IF($Y97="","",IF(OFFSET(M$55,'Intermediate Data'!$Y97,0)=-98,"N/A",IF(OFFSET(M$55,'Intermediate Data'!$Y97,0)=-99,"N/A",OFFSET(M$55,'Intermediate Data'!$Y97,0))))</f>
        <v>N/A</v>
      </c>
      <c r="AL97" s="90" t="str">
        <f ca="1">IF($Y97="","",IF(OFFSET(N$55,'Intermediate Data'!$Y97,0)=-98,"N/A",IF(OFFSET(N$55,'Intermediate Data'!$Y97,0)=-99,"N/A",OFFSET(N$55,'Intermediate Data'!$Y97,0))))</f>
        <v>N/A</v>
      </c>
      <c r="AM97" s="90" t="str">
        <f ca="1">IF($Y97="","",IF(OFFSET(O$55,'Intermediate Data'!$Y97,0)=-98,"N/A",IF(OFFSET(O$55,'Intermediate Data'!$Y97,0)=-99,"N/A",OFFSET(O$55,'Intermediate Data'!$Y97,0))))</f>
        <v>N/A</v>
      </c>
      <c r="AN97" s="90" t="str">
        <f ca="1">IF($Y97="","",IF(OFFSET(P$55,'Intermediate Data'!$Y97,0)=-98,"N/A",IF(OFFSET(P$55,'Intermediate Data'!$Y97,0)=-99,"N/A",OFFSET(P$55,'Intermediate Data'!$Y97,0))))</f>
        <v>N/A</v>
      </c>
      <c r="AO97" s="90" t="str">
        <f ca="1">IF($Y97="","",IF(OFFSET(Q$55,'Intermediate Data'!$Y97,0)=-98,"N/A",IF(OFFSET(Q$55,'Intermediate Data'!$Y97,0)=-99,"N/A",OFFSET(Q$55,'Intermediate Data'!$Y97,0))))</f>
        <v/>
      </c>
      <c r="AP97" s="697" t="str">
        <f ca="1">IF($Y97="","",IF(OFFSET(S$55,'Intermediate Data'!$Y97,0)=-98,"",IF(OFFSET(S$55,'Intermediate Data'!$Y97,0)=-99,"",OFFSET(S$55,'Intermediate Data'!$Y97,0))))</f>
        <v/>
      </c>
      <c r="AQ97" s="90" t="str">
        <f ca="1">IF($Y97="","",IF(OFFSET(T$55,'Intermediate Data'!$Y97,0)=-98,"Not published",IF(OFFSET(T$55,'Intermediate Data'!$Y97,0)=-99,"",OFFSET(T$55,'Intermediate Data'!$Y97,0))))</f>
        <v/>
      </c>
      <c r="AR97" s="90" t="str">
        <f ca="1">IF($Y97="","",IF(OFFSET(U$55,'Intermediate Data'!$Y97,0)=-98,"Unknown",IF(OFFSET(U$55,'Intermediate Data'!$Y97,0)=-99,"",OFFSET(U$55,'Intermediate Data'!$Y97,0))))</f>
        <v/>
      </c>
      <c r="AU97" s="112" t="str">
        <f ca="1">IF(AND(OFFSET(DATA!$F46,0,$AX$48)='Intermediate Data'!$AY$48,DATA!$E46="Tier 1"),IF(OR($AX$49=0,$AX$48=1),DATA!A46,IF(AND($AX$49=1,INDEX('Intermediate Data'!$AY$25:$AY$44,MATCH(DATA!$B46,'Intermediate Data'!$AX$25:$AX$44,0))=TRUE),DATA!A46,"")),"")</f>
        <v/>
      </c>
      <c r="AV97" s="112" t="str">
        <f ca="1">IF($AU97="","",DATA!B46)</f>
        <v/>
      </c>
      <c r="AW97" s="112" t="str">
        <f ca="1">IF(OR($AU97="",DATA!BI46=""),"",DATA!BI46)</f>
        <v/>
      </c>
      <c r="AX97" s="112" t="str">
        <f ca="1">IF(OR($AU97="",OFFSET(DATA!BK46,0,$AX$48)=""),"",OFFSET(DATA!BK46,0,$AX$48))</f>
        <v/>
      </c>
      <c r="AY97" s="112" t="str">
        <f ca="1">IF(OR($AU97="",OFFSET(DATA!BM46,0,$AX$48)=""),"",OFFSET(DATA!BM46,0,$AX$48))</f>
        <v/>
      </c>
      <c r="AZ97" s="112" t="str">
        <f ca="1">IF(OR($AU97="",OFFSET(DATA!BO46,0,'Intermediate Data'!$AX$48)=""),"",OFFSET(DATA!BO46,0,$AX$48))</f>
        <v/>
      </c>
      <c r="BA97" s="112" t="str">
        <f ca="1">IF(OR($AU97="",DATA!BQ46=""),"",DATA!BQ46)</f>
        <v/>
      </c>
      <c r="BB97" s="112" t="str">
        <f ca="1">IF($AU97="","",OFFSET(DATA!BS46,0,$AX$48))</f>
        <v/>
      </c>
      <c r="BC97" s="112" t="str">
        <f ca="1">IF($AU97="","",OFFSET(DATA!BU46,0,$AX$48))</f>
        <v/>
      </c>
      <c r="BD97" s="112" t="str">
        <f ca="1">IF($AU97="","",OFFSET(DATA!BW46,0,$AX$48))</f>
        <v/>
      </c>
      <c r="BE97" s="112" t="str">
        <f ca="1">IF($AU97="","",OFFSET(DATA!BY46,0,$AX$48))</f>
        <v/>
      </c>
      <c r="BF97" s="112" t="str">
        <f ca="1">IF($AU97="","",OFFSET(DATA!CA46,0,$AX$48))</f>
        <v/>
      </c>
      <c r="BG97" s="112" t="str">
        <f ca="1">IF($AU97="","",DATA!CC46)</f>
        <v/>
      </c>
      <c r="BH97" s="112" t="str">
        <f ca="1">IF($AU97="","",OFFSET(DATA!CE46,0,$AX$48))</f>
        <v/>
      </c>
      <c r="BI97" s="112" t="str">
        <f ca="1">IF($AU97="","",OFFSET(DATA!CG46,0,$AX$48))</f>
        <v/>
      </c>
      <c r="BJ97" s="112" t="str">
        <f ca="1">IF($AU97="","",OFFSET(DATA!CI46,0,$AX$48))</f>
        <v/>
      </c>
      <c r="BK97" s="112" t="str">
        <f ca="1">IF($AU97="","",OFFSET(DATA!CK46,0,$AX$48))</f>
        <v/>
      </c>
      <c r="BL97" s="112" t="str">
        <f ca="1">IF($AU97="","",OFFSET(DATA!CM46,0,$AX$48))</f>
        <v/>
      </c>
      <c r="BM97" s="112" t="str">
        <f ca="1">IF($AU97="","",DATA!BH46)</f>
        <v/>
      </c>
      <c r="BN97" s="112" t="str">
        <f ca="1">IF($AU97="","",DATA!DS46)</f>
        <v/>
      </c>
      <c r="BO97" s="112" t="str">
        <f ca="1">IF($AU97="","",DATA!DU46)</f>
        <v/>
      </c>
      <c r="BP97" s="112" t="str">
        <f ca="1">IF($AU97="","",DATA!DV46)</f>
        <v/>
      </c>
      <c r="BQ97" s="112" t="str">
        <f ca="1">IF($AU97="","",DATA!DX46)</f>
        <v/>
      </c>
      <c r="BR97" s="112" t="str">
        <f ca="1">IF($AU97="","",DATA!DZ46)</f>
        <v/>
      </c>
      <c r="BS97" s="171" t="str">
        <f ca="1">IF($AU97="","",DATA!EA46)</f>
        <v/>
      </c>
      <c r="BT97" s="171" t="str">
        <f ca="1">IF($AU97="","",DATA!EC46)</f>
        <v/>
      </c>
      <c r="BU97" s="171" t="str">
        <f ca="1">IF($AU97="","",DATA!EF46)</f>
        <v/>
      </c>
      <c r="BV97" s="113" t="str">
        <f t="shared" ca="1" si="10"/>
        <v/>
      </c>
      <c r="BW97" s="680" t="str">
        <f ca="1">IF(AU97="","",OFFSET(DATA!DC46,0,'Intermediate Data'!$AX$48))</f>
        <v/>
      </c>
      <c r="BX97" s="681" t="str">
        <f ca="1">IF($AU97="","",DATA!DG46)</f>
        <v/>
      </c>
      <c r="BY97" s="680" t="str">
        <f ca="1">IF($AU97="","",OFFSET(DATA!DE46,0,'Intermediate Data'!$AX$48))</f>
        <v/>
      </c>
      <c r="BZ97" s="681" t="str">
        <f ca="1">IF($AU97="","",DATA!DH46)</f>
        <v/>
      </c>
      <c r="CA97" s="90" t="str">
        <f t="shared" ca="1" si="11"/>
        <v/>
      </c>
      <c r="CB97" s="99" t="str">
        <f t="shared" ca="1" si="12"/>
        <v/>
      </c>
      <c r="CC97" s="90" t="str">
        <f t="shared" ca="1" si="13"/>
        <v/>
      </c>
      <c r="CD97" s="90" t="str">
        <f t="shared" ca="1" si="14"/>
        <v/>
      </c>
      <c r="CF97" s="90" t="str">
        <f ca="1">IF($CD97="","",IF(OFFSET(AV$55,'Intermediate Data'!$CD97,0)=-98,"Unknown",IF(OFFSET(AV$55,'Intermediate Data'!$CD97,0)=-99,"N/A",OFFSET(AV$55,'Intermediate Data'!$CD97,0))))</f>
        <v/>
      </c>
      <c r="CG97" s="90" t="str">
        <f ca="1">IF($CD97="","",IF(OFFSET(AW$55,'Intermediate Data'!$CD97,0)=-98,"",IF(OFFSET(AW$55,'Intermediate Data'!$CD97,0)=-99,"N/A",OFFSET(AW$55,'Intermediate Data'!$CD97,0))))</f>
        <v/>
      </c>
      <c r="CH97" s="90" t="str">
        <f ca="1">IF($CD97="","",IF(OFFSET(AX$55,'Intermediate Data'!$CD97,0)=-98,"Unknown",IF(OFFSET(AX$55,'Intermediate Data'!$CD97,0)=-99,"N/A",OFFSET(AX$55,'Intermediate Data'!$CD97,0))))</f>
        <v/>
      </c>
      <c r="CI97" s="125" t="str">
        <f ca="1">IF($CD97="","",IF(OFFSET(AY$55,'Intermediate Data'!$CD97,0)=-98,"Unknown",IF(OFFSET(AY$55,'Intermediate Data'!$CD97,0)=-99,"No spec",OFFSET(AY$55,'Intermediate Data'!$CD97,0))))</f>
        <v/>
      </c>
      <c r="CJ97" s="125" t="str">
        <f ca="1">IF($CD97="","",IF(OFFSET(AZ$55,'Intermediate Data'!$CD97,0)=-98,"Unknown",IF(OFFSET(AZ$55,'Intermediate Data'!$CD97,0)=-99,"N/A",OFFSET(AZ$55,'Intermediate Data'!$CD97,0))))</f>
        <v/>
      </c>
      <c r="CK97" s="90" t="str">
        <f ca="1">IF($CD97="","",IF(OFFSET(BA$55,'Intermediate Data'!$CD97,0)=-98,"Unknown",IF(OFFSET(BA$55,'Intermediate Data'!$CD97,0)=-99,"N/A",OFFSET(BA$55,'Intermediate Data'!$CD97,0))))</f>
        <v/>
      </c>
      <c r="CL97" s="90" t="str">
        <f ca="1">IF($CD97="","",IF(OFFSET(BB$55,'Intermediate Data'!$CD97,$AX$50)=-98,"Unknown",IF(OFFSET(BB$55,'Intermediate Data'!$CD97,$AX$50)="N/A","",OFFSET(BB$55,'Intermediate Data'!$CD97,$AX$50))))</f>
        <v/>
      </c>
      <c r="CM97" s="90" t="str">
        <f ca="1">IF($CD97="","",IF(OFFSET(BG$55,'Intermediate Data'!$CD97,0)="ET","ET",""))</f>
        <v/>
      </c>
      <c r="CN97" s="90" t="str">
        <f ca="1">IF($CD97="","",IF(OFFSET(BH$55,'Intermediate Data'!$CD97,$AX$50)=-98,"Unknown",IF(OFFSET(BH$55,'Intermediate Data'!$CD97,$AX$50)="N/A","",OFFSET(BH$55,'Intermediate Data'!$CD97,$AX$50))))</f>
        <v/>
      </c>
      <c r="CO97" s="90" t="str">
        <f ca="1">IF($CD97="","",IF(OFFSET(BM$55,'Intermediate Data'!$CD97,0)=-98,"Not published",IF(OFFSET(BM$55,'Intermediate Data'!$CD97,0)=-99,"No spec",OFFSET(BM$55,'Intermediate Data'!$CD97,0))))</f>
        <v/>
      </c>
      <c r="CP97" s="114" t="str">
        <f ca="1">IF($CD97="","",IF(OFFSET(BN$55,'Intermediate Data'!$CD97,0)=-98,"Unknown",IF(OFFSET(BN$55,'Intermediate Data'!$CD97,0)=-99,"N/A",OFFSET(BN$55,'Intermediate Data'!$CD97,0))))</f>
        <v/>
      </c>
      <c r="CQ97" s="114" t="str">
        <f ca="1">IF($CD97="","",IF(OFFSET(BO$55,'Intermediate Data'!$CD97,0)=-98,"Unknown",IF(OFFSET(BO$55,'Intermediate Data'!$CD97,0)=-99,"N/A",OFFSET(BO$55,'Intermediate Data'!$CD97,0))))</f>
        <v/>
      </c>
      <c r="CR97" s="114" t="str">
        <f ca="1">IF($CD97="","",IF(OFFSET(BP$55,'Intermediate Data'!$CD97,0)=-98,"Unknown",IF(OFFSET(BP$55,'Intermediate Data'!$CD97,0)=-99,"N/A",OFFSET(BP$55,'Intermediate Data'!$CD97,0))))</f>
        <v/>
      </c>
      <c r="CS97" s="114" t="str">
        <f ca="1">IF($CD97="","",IF(OFFSET(BQ$55,'Intermediate Data'!$CD97,0)=-98,"Unknown",IF(OFFSET(BQ$55,'Intermediate Data'!$CD97,0)=-99,"N/A",OFFSET(BQ$55,'Intermediate Data'!$CD97,0))))</f>
        <v/>
      </c>
      <c r="CT97" s="114" t="str">
        <f ca="1">IF($CD97="","",IF(OFFSET(BR$55,'Intermediate Data'!$CD97,0)=-98,"Unknown",IF(OFFSET(BR$55,'Intermediate Data'!$CD97,0)=-99,"N/A",OFFSET(BR$55,'Intermediate Data'!$CD97,0))))</f>
        <v/>
      </c>
      <c r="CU97" s="114" t="str">
        <f ca="1">IF($CD97="","",IF(OFFSET(BS$55,'Intermediate Data'!$CD97,0)=-98,"Unknown",IF(OFFSET(BS$55,'Intermediate Data'!$CD97,0)=-99,"N/A",OFFSET(BS$55,'Intermediate Data'!$CD97,0))))</f>
        <v/>
      </c>
      <c r="CV97" s="114" t="str">
        <f ca="1">IF($CD97="","",IF(OFFSET(BT$55,'Intermediate Data'!$CD97,0)=-98,"Unknown",IF(OFFSET(BT$55,'Intermediate Data'!$CD97,0)=-99,"N/A",OFFSET(BT$55,'Intermediate Data'!$CD97,0))))</f>
        <v/>
      </c>
      <c r="CW97" s="114" t="str">
        <f ca="1">IF($CD97="","",IF(OFFSET(BU$55,'Intermediate Data'!$CD97,0)=-98,"Unknown",IF(OFFSET(BU$55,'Intermediate Data'!$CD97,0)=-99,"N/A",OFFSET(BU$55,'Intermediate Data'!$CD97,0))))</f>
        <v/>
      </c>
      <c r="CX97" s="114" t="str">
        <f ca="1">IF($CD97="","",IF(OFFSET(BV$55,'Intermediate Data'!$CD97,0)=-98,"Unknown",IF(OFFSET(BV$55,'Intermediate Data'!$CD97,0)=-99,"N/A",OFFSET(BV$55,'Intermediate Data'!$CD97,0))))</f>
        <v/>
      </c>
      <c r="CY97" s="682" t="str">
        <f ca="1">IF($CD97="","",IF(OFFSET(BW$55,'Intermediate Data'!$CD97,0)=-98,"Unknown",IF(OFFSET(BW$55,'Intermediate Data'!$CD97,0)="N/A","",OFFSET(BW$55,'Intermediate Data'!$CD97,0))))</f>
        <v/>
      </c>
      <c r="CZ97" s="682" t="str">
        <f ca="1">IF($CD97="","",IF(OFFSET(BX$55,'Intermediate Data'!$CD97,0)=-98,"Unknown",IF(OFFSET(BX$55,'Intermediate Data'!$CD97,0)="N/A","",OFFSET(BX$55,'Intermediate Data'!$CD97,0))))</f>
        <v/>
      </c>
      <c r="DA97" s="682" t="str">
        <f ca="1">IF($CD97="","",IF(OFFSET(BY$55,'Intermediate Data'!$CD97,0)=-98,"Unknown",IF(OFFSET(BY$55,'Intermediate Data'!$CD97,0)="N/A","",OFFSET(BY$55,'Intermediate Data'!$CD97,0))))</f>
        <v/>
      </c>
      <c r="DB97" s="682" t="str">
        <f ca="1">IF($CD97="","",IF(OFFSET(BZ$55,'Intermediate Data'!$CD97,0)=-98,"Unknown",IF(OFFSET(BZ$55,'Intermediate Data'!$CD97,0)="N/A","",OFFSET(BZ$55,'Intermediate Data'!$CD97,0))))</f>
        <v/>
      </c>
    </row>
    <row r="98" spans="1:106" x14ac:dyDescent="0.2">
      <c r="A98" s="90">
        <f ca="1">IF(OFFSET(DATA!F47,0,$D$48)='Intermediate Data'!$E$48,IF(OR($E$49=$C$27,$E$48=$B$4),DATA!A47,IF($G$49=DATA!D47,DATA!A47,"")),"")</f>
        <v>43</v>
      </c>
      <c r="B98" s="90">
        <f ca="1">IF($A98="","",DATA!EH47)</f>
        <v>28</v>
      </c>
      <c r="C98" s="90" t="str">
        <f ca="1">IF($A98="","",DATA!B47)</f>
        <v>Speciality cooking</v>
      </c>
      <c r="D98" s="90">
        <f ca="1">IF($A98="","",OFFSET(DATA!$H47,0,($D$50*5)))</f>
        <v>-99</v>
      </c>
      <c r="E98" s="90">
        <f ca="1">IF($A98="","",OFFSET(DATA!$H47,0,($D$50*5)+1))</f>
        <v>-99</v>
      </c>
      <c r="F98" s="90">
        <f ca="1">IF($A98="","",OFFSET(DATA!$H47,0,($D$50*5)+2))</f>
        <v>-99</v>
      </c>
      <c r="G98" s="90">
        <f ca="1">IF($A98="","",OFFSET(DATA!$H47,0,($D$50*5)+3))</f>
        <v>-99</v>
      </c>
      <c r="H98" s="90">
        <f ca="1">IF($A98="","",OFFSET(DATA!$H47,0,($D$50*5)+4))</f>
        <v>-99</v>
      </c>
      <c r="I98" s="90">
        <f t="shared" ca="1" si="2"/>
        <v>-99</v>
      </c>
      <c r="J98" s="90" t="str">
        <f t="shared" ca="1" si="3"/>
        <v/>
      </c>
      <c r="K98" s="90">
        <f ca="1">IF($A98="","",OFFSET(DATA!$AG47,0,($D$50*5)))</f>
        <v>-99</v>
      </c>
      <c r="L98" s="90">
        <f ca="1">IF($A98="","",OFFSET(DATA!$AG47,0,($D$50*5)+1))</f>
        <v>-99</v>
      </c>
      <c r="M98" s="90">
        <f ca="1">IF($A98="","",OFFSET(DATA!$AG47,0,($D$50*5)+2))</f>
        <v>-99</v>
      </c>
      <c r="N98" s="90">
        <f ca="1">IF($A98="","",OFFSET(DATA!$AG47,0,($D$50*5)+3))</f>
        <v>-99</v>
      </c>
      <c r="O98" s="90">
        <f ca="1">IF($A98="","",OFFSET(DATA!$AG47,0,($D$50*5)+4))</f>
        <v>-99</v>
      </c>
      <c r="P98" s="90">
        <f t="shared" ca="1" si="4"/>
        <v>-99</v>
      </c>
      <c r="Q98" s="90" t="str">
        <f t="shared" ca="1" si="5"/>
        <v/>
      </c>
      <c r="R98" s="699">
        <f ca="1">IF($A98="","",IF(DATA!BF47="",-99,DATA!BF47))</f>
        <v>-99</v>
      </c>
      <c r="S98" s="90">
        <f ca="1">IF($A98="","",IF(DATA!BG47="",-99,DATA!BF47-DATA!BG47))</f>
        <v>-99</v>
      </c>
      <c r="T98" s="90">
        <f ca="1">IF($A98="","",DATA!BH47)</f>
        <v>-99</v>
      </c>
      <c r="U98" s="90">
        <f ca="1">IF($A98="","",OFFSET(DATA!BM47,0,$D$48))</f>
        <v>-99</v>
      </c>
      <c r="V98" s="90">
        <f t="shared" ca="1" si="15"/>
        <v>28</v>
      </c>
      <c r="W98" s="99">
        <f t="shared" ca="1" si="7"/>
        <v>27.999881200979999</v>
      </c>
      <c r="X98" s="112">
        <f t="shared" ca="1" si="8"/>
        <v>91.999881201459999</v>
      </c>
      <c r="Y98" s="90">
        <f t="shared" ca="1" si="9"/>
        <v>91</v>
      </c>
      <c r="AA98" s="90" t="str">
        <f ca="1">IF($Y98="","",IF(OFFSET(C$55,'Intermediate Data'!$Y98,0)=-98,"Unknown",IF(OFFSET(C$55,'Intermediate Data'!$Y98,0)=-99,"N/A",OFFSET(C$55,'Intermediate Data'!$Y98,0))))</f>
        <v>External hard drive</v>
      </c>
      <c r="AB98" s="90" t="str">
        <f ca="1">IF($Y98="","",IF(OFFSET(D$55,'Intermediate Data'!$Y98,0)=-98,"N/A",IF(OFFSET(D$55,'Intermediate Data'!$Y98,0)=-99,"N/A",OFFSET(D$55,'Intermediate Data'!$Y98,0))))</f>
        <v>N/A</v>
      </c>
      <c r="AC98" s="90" t="str">
        <f ca="1">IF($Y98="","",IF(OFFSET(E$55,'Intermediate Data'!$Y98,0)=-98,"N/A",IF(OFFSET(E$55,'Intermediate Data'!$Y98,0)=-99,"N/A",OFFSET(E$55,'Intermediate Data'!$Y98,0))))</f>
        <v>N/A</v>
      </c>
      <c r="AD98" s="90" t="str">
        <f ca="1">IF($Y98="","",IF(OFFSET(F$55,'Intermediate Data'!$Y98,0)=-98,"N/A",IF(OFFSET(F$55,'Intermediate Data'!$Y98,0)=-99,"N/A",OFFSET(F$55,'Intermediate Data'!$Y98,0))))</f>
        <v>N/A</v>
      </c>
      <c r="AE98" s="90" t="str">
        <f ca="1">IF($Y98="","",IF(OFFSET(G$55,'Intermediate Data'!$Y98,0)=-98,"N/A",IF(OFFSET(G$55,'Intermediate Data'!$Y98,0)=-99,"N/A",OFFSET(G$55,'Intermediate Data'!$Y98,0))))</f>
        <v>N/A</v>
      </c>
      <c r="AF98" s="90" t="str">
        <f ca="1">IF($Y98="","",IF(OFFSET(H$55,'Intermediate Data'!$Y98,0)=-98,"N/A",IF(OFFSET(H$55,'Intermediate Data'!$Y98,0)=-99,"N/A",OFFSET(H$55,'Intermediate Data'!$Y98,0))))</f>
        <v>N/A</v>
      </c>
      <c r="AG98" s="90" t="str">
        <f ca="1">IF($Y98="","",IF(OFFSET(I$55,'Intermediate Data'!$Y98,0)=-98,"N/A",IF(OFFSET(I$55,'Intermediate Data'!$Y98,0)=-99,"N/A",OFFSET(I$55,'Intermediate Data'!$Y98,0))))</f>
        <v>N/A</v>
      </c>
      <c r="AH98" s="90" t="str">
        <f ca="1">IF($Y98="","",IF(OFFSET(J$55,'Intermediate Data'!$Y98,0)=-98,"N/A",IF(OFFSET(J$55,'Intermediate Data'!$Y98,0)=-99,"N/A",OFFSET(J$55,'Intermediate Data'!$Y98,0))))</f>
        <v/>
      </c>
      <c r="AI98" s="90" t="str">
        <f ca="1">IF($Y98="","",IF(OFFSET(K$55,'Intermediate Data'!$Y98,0)=-98,"N/A",IF(OFFSET(K$55,'Intermediate Data'!$Y98,0)=-99,"N/A",OFFSET(K$55,'Intermediate Data'!$Y98,0))))</f>
        <v>N/A</v>
      </c>
      <c r="AJ98" s="90" t="str">
        <f ca="1">IF($Y98="","",IF(OFFSET(L$55,'Intermediate Data'!$Y98,0)=-98,"N/A",IF(OFFSET(L$55,'Intermediate Data'!$Y98,0)=-99,"N/A",OFFSET(L$55,'Intermediate Data'!$Y98,0))))</f>
        <v>N/A</v>
      </c>
      <c r="AK98" s="90" t="str">
        <f ca="1">IF($Y98="","",IF(OFFSET(M$55,'Intermediate Data'!$Y98,0)=-98,"N/A",IF(OFFSET(M$55,'Intermediate Data'!$Y98,0)=-99,"N/A",OFFSET(M$55,'Intermediate Data'!$Y98,0))))</f>
        <v>N/A</v>
      </c>
      <c r="AL98" s="90" t="str">
        <f ca="1">IF($Y98="","",IF(OFFSET(N$55,'Intermediate Data'!$Y98,0)=-98,"N/A",IF(OFFSET(N$55,'Intermediate Data'!$Y98,0)=-99,"N/A",OFFSET(N$55,'Intermediate Data'!$Y98,0))))</f>
        <v>N/A</v>
      </c>
      <c r="AM98" s="90" t="str">
        <f ca="1">IF($Y98="","",IF(OFFSET(O$55,'Intermediate Data'!$Y98,0)=-98,"N/A",IF(OFFSET(O$55,'Intermediate Data'!$Y98,0)=-99,"N/A",OFFSET(O$55,'Intermediate Data'!$Y98,0))))</f>
        <v>N/A</v>
      </c>
      <c r="AN98" s="90" t="str">
        <f ca="1">IF($Y98="","",IF(OFFSET(P$55,'Intermediate Data'!$Y98,0)=-98,"N/A",IF(OFFSET(P$55,'Intermediate Data'!$Y98,0)=-99,"N/A",OFFSET(P$55,'Intermediate Data'!$Y98,0))))</f>
        <v>N/A</v>
      </c>
      <c r="AO98" s="90" t="str">
        <f ca="1">IF($Y98="","",IF(OFFSET(Q$55,'Intermediate Data'!$Y98,0)=-98,"N/A",IF(OFFSET(Q$55,'Intermediate Data'!$Y98,0)=-99,"N/A",OFFSET(Q$55,'Intermediate Data'!$Y98,0))))</f>
        <v/>
      </c>
      <c r="AP98" s="697" t="str">
        <f ca="1">IF($Y98="","",IF(OFFSET(S$55,'Intermediate Data'!$Y98,0)=-98,"",IF(OFFSET(S$55,'Intermediate Data'!$Y98,0)=-99,"",OFFSET(S$55,'Intermediate Data'!$Y98,0))))</f>
        <v/>
      </c>
      <c r="AQ98" s="90" t="str">
        <f ca="1">IF($Y98="","",IF(OFFSET(T$55,'Intermediate Data'!$Y98,0)=-98,"Not published",IF(OFFSET(T$55,'Intermediate Data'!$Y98,0)=-99,"",OFFSET(T$55,'Intermediate Data'!$Y98,0))))</f>
        <v/>
      </c>
      <c r="AR98" s="90" t="str">
        <f ca="1">IF($Y98="","",IF(OFFSET(U$55,'Intermediate Data'!$Y98,0)=-98,"Unknown",IF(OFFSET(U$55,'Intermediate Data'!$Y98,0)=-99,"",OFFSET(U$55,'Intermediate Data'!$Y98,0))))</f>
        <v/>
      </c>
      <c r="AU98" s="112" t="str">
        <f ca="1">IF(AND(OFFSET(DATA!$F47,0,$AX$48)='Intermediate Data'!$AY$48,DATA!$E47="Tier 1"),IF(OR($AX$49=0,$AX$48=1),DATA!A47,IF(AND($AX$49=1,INDEX('Intermediate Data'!$AY$25:$AY$44,MATCH(DATA!$B47,'Intermediate Data'!$AX$25:$AX$44,0))=TRUE),DATA!A47,"")),"")</f>
        <v/>
      </c>
      <c r="AV98" s="112" t="str">
        <f ca="1">IF($AU98="","",DATA!B47)</f>
        <v/>
      </c>
      <c r="AW98" s="112" t="str">
        <f ca="1">IF(OR($AU98="",DATA!BI47=""),"",DATA!BI47)</f>
        <v/>
      </c>
      <c r="AX98" s="112" t="str">
        <f ca="1">IF(OR($AU98="",OFFSET(DATA!BK47,0,$AX$48)=""),"",OFFSET(DATA!BK47,0,$AX$48))</f>
        <v/>
      </c>
      <c r="AY98" s="112" t="str">
        <f ca="1">IF(OR($AU98="",OFFSET(DATA!BM47,0,$AX$48)=""),"",OFFSET(DATA!BM47,0,$AX$48))</f>
        <v/>
      </c>
      <c r="AZ98" s="112" t="str">
        <f ca="1">IF(OR($AU98="",OFFSET(DATA!BO47,0,'Intermediate Data'!$AX$48)=""),"",OFFSET(DATA!BO47,0,$AX$48))</f>
        <v/>
      </c>
      <c r="BA98" s="112" t="str">
        <f ca="1">IF(OR($AU98="",DATA!BQ47=""),"",DATA!BQ47)</f>
        <v/>
      </c>
      <c r="BB98" s="112" t="str">
        <f ca="1">IF($AU98="","",OFFSET(DATA!BS47,0,$AX$48))</f>
        <v/>
      </c>
      <c r="BC98" s="112" t="str">
        <f ca="1">IF($AU98="","",OFFSET(DATA!BU47,0,$AX$48))</f>
        <v/>
      </c>
      <c r="BD98" s="112" t="str">
        <f ca="1">IF($AU98="","",OFFSET(DATA!BW47,0,$AX$48))</f>
        <v/>
      </c>
      <c r="BE98" s="112" t="str">
        <f ca="1">IF($AU98="","",OFFSET(DATA!BY47,0,$AX$48))</f>
        <v/>
      </c>
      <c r="BF98" s="112" t="str">
        <f ca="1">IF($AU98="","",OFFSET(DATA!CA47,0,$AX$48))</f>
        <v/>
      </c>
      <c r="BG98" s="112" t="str">
        <f ca="1">IF($AU98="","",DATA!CC47)</f>
        <v/>
      </c>
      <c r="BH98" s="112" t="str">
        <f ca="1">IF($AU98="","",OFFSET(DATA!CE47,0,$AX$48))</f>
        <v/>
      </c>
      <c r="BI98" s="112" t="str">
        <f ca="1">IF($AU98="","",OFFSET(DATA!CG47,0,$AX$48))</f>
        <v/>
      </c>
      <c r="BJ98" s="112" t="str">
        <f ca="1">IF($AU98="","",OFFSET(DATA!CI47,0,$AX$48))</f>
        <v/>
      </c>
      <c r="BK98" s="112" t="str">
        <f ca="1">IF($AU98="","",OFFSET(DATA!CK47,0,$AX$48))</f>
        <v/>
      </c>
      <c r="BL98" s="112" t="str">
        <f ca="1">IF($AU98="","",OFFSET(DATA!CM47,0,$AX$48))</f>
        <v/>
      </c>
      <c r="BM98" s="112" t="str">
        <f ca="1">IF($AU98="","",DATA!BH47)</f>
        <v/>
      </c>
      <c r="BN98" s="112" t="str">
        <f ca="1">IF($AU98="","",DATA!DS47)</f>
        <v/>
      </c>
      <c r="BO98" s="112" t="str">
        <f ca="1">IF($AU98="","",DATA!DU47)</f>
        <v/>
      </c>
      <c r="BP98" s="112" t="str">
        <f ca="1">IF($AU98="","",DATA!DV47)</f>
        <v/>
      </c>
      <c r="BQ98" s="112" t="str">
        <f ca="1">IF($AU98="","",DATA!DX47)</f>
        <v/>
      </c>
      <c r="BR98" s="112" t="str">
        <f ca="1">IF($AU98="","",DATA!DZ47)</f>
        <v/>
      </c>
      <c r="BS98" s="171" t="str">
        <f ca="1">IF($AU98="","",DATA!EA47)</f>
        <v/>
      </c>
      <c r="BT98" s="171" t="str">
        <f ca="1">IF($AU98="","",DATA!EC47)</f>
        <v/>
      </c>
      <c r="BU98" s="171" t="str">
        <f ca="1">IF($AU98="","",DATA!EF47)</f>
        <v/>
      </c>
      <c r="BV98" s="113" t="str">
        <f t="shared" ca="1" si="10"/>
        <v/>
      </c>
      <c r="BW98" s="680" t="str">
        <f ca="1">IF(AU98="","",OFFSET(DATA!DC47,0,'Intermediate Data'!$AX$48))</f>
        <v/>
      </c>
      <c r="BX98" s="681" t="str">
        <f ca="1">IF($AU98="","",DATA!DG47)</f>
        <v/>
      </c>
      <c r="BY98" s="680" t="str">
        <f ca="1">IF($AU98="","",OFFSET(DATA!DE47,0,'Intermediate Data'!$AX$48))</f>
        <v/>
      </c>
      <c r="BZ98" s="681" t="str">
        <f ca="1">IF($AU98="","",DATA!DH47)</f>
        <v/>
      </c>
      <c r="CA98" s="90" t="str">
        <f t="shared" ca="1" si="11"/>
        <v/>
      </c>
      <c r="CB98" s="99" t="str">
        <f t="shared" ca="1" si="12"/>
        <v/>
      </c>
      <c r="CC98" s="90" t="str">
        <f t="shared" ca="1" si="13"/>
        <v/>
      </c>
      <c r="CD98" s="90" t="str">
        <f t="shared" ca="1" si="14"/>
        <v/>
      </c>
      <c r="CF98" s="90" t="str">
        <f ca="1">IF($CD98="","",IF(OFFSET(AV$55,'Intermediate Data'!$CD98,0)=-98,"Unknown",IF(OFFSET(AV$55,'Intermediate Data'!$CD98,0)=-99,"N/A",OFFSET(AV$55,'Intermediate Data'!$CD98,0))))</f>
        <v/>
      </c>
      <c r="CG98" s="90" t="str">
        <f ca="1">IF($CD98="","",IF(OFFSET(AW$55,'Intermediate Data'!$CD98,0)=-98,"",IF(OFFSET(AW$55,'Intermediate Data'!$CD98,0)=-99,"N/A",OFFSET(AW$55,'Intermediate Data'!$CD98,0))))</f>
        <v/>
      </c>
      <c r="CH98" s="90" t="str">
        <f ca="1">IF($CD98="","",IF(OFFSET(AX$55,'Intermediate Data'!$CD98,0)=-98,"Unknown",IF(OFFSET(AX$55,'Intermediate Data'!$CD98,0)=-99,"N/A",OFFSET(AX$55,'Intermediate Data'!$CD98,0))))</f>
        <v/>
      </c>
      <c r="CI98" s="125" t="str">
        <f ca="1">IF($CD98="","",IF(OFFSET(AY$55,'Intermediate Data'!$CD98,0)=-98,"Unknown",IF(OFFSET(AY$55,'Intermediate Data'!$CD98,0)=-99,"No spec",OFFSET(AY$55,'Intermediate Data'!$CD98,0))))</f>
        <v/>
      </c>
      <c r="CJ98" s="125" t="str">
        <f ca="1">IF($CD98="","",IF(OFFSET(AZ$55,'Intermediate Data'!$CD98,0)=-98,"Unknown",IF(OFFSET(AZ$55,'Intermediate Data'!$CD98,0)=-99,"N/A",OFFSET(AZ$55,'Intermediate Data'!$CD98,0))))</f>
        <v/>
      </c>
      <c r="CK98" s="90" t="str">
        <f ca="1">IF($CD98="","",IF(OFFSET(BA$55,'Intermediate Data'!$CD98,0)=-98,"Unknown",IF(OFFSET(BA$55,'Intermediate Data'!$CD98,0)=-99,"N/A",OFFSET(BA$55,'Intermediate Data'!$CD98,0))))</f>
        <v/>
      </c>
      <c r="CL98" s="90" t="str">
        <f ca="1">IF($CD98="","",IF(OFFSET(BB$55,'Intermediate Data'!$CD98,$AX$50)=-98,"Unknown",IF(OFFSET(BB$55,'Intermediate Data'!$CD98,$AX$50)="N/A","",OFFSET(BB$55,'Intermediate Data'!$CD98,$AX$50))))</f>
        <v/>
      </c>
      <c r="CM98" s="90" t="str">
        <f ca="1">IF($CD98="","",IF(OFFSET(BG$55,'Intermediate Data'!$CD98,0)="ET","ET",""))</f>
        <v/>
      </c>
      <c r="CN98" s="90" t="str">
        <f ca="1">IF($CD98="","",IF(OFFSET(BH$55,'Intermediate Data'!$CD98,$AX$50)=-98,"Unknown",IF(OFFSET(BH$55,'Intermediate Data'!$CD98,$AX$50)="N/A","",OFFSET(BH$55,'Intermediate Data'!$CD98,$AX$50))))</f>
        <v/>
      </c>
      <c r="CO98" s="90" t="str">
        <f ca="1">IF($CD98="","",IF(OFFSET(BM$55,'Intermediate Data'!$CD98,0)=-98,"Not published",IF(OFFSET(BM$55,'Intermediate Data'!$CD98,0)=-99,"No spec",OFFSET(BM$55,'Intermediate Data'!$CD98,0))))</f>
        <v/>
      </c>
      <c r="CP98" s="114" t="str">
        <f ca="1">IF($CD98="","",IF(OFFSET(BN$55,'Intermediate Data'!$CD98,0)=-98,"Unknown",IF(OFFSET(BN$55,'Intermediate Data'!$CD98,0)=-99,"N/A",OFFSET(BN$55,'Intermediate Data'!$CD98,0))))</f>
        <v/>
      </c>
      <c r="CQ98" s="114" t="str">
        <f ca="1">IF($CD98="","",IF(OFFSET(BO$55,'Intermediate Data'!$CD98,0)=-98,"Unknown",IF(OFFSET(BO$55,'Intermediate Data'!$CD98,0)=-99,"N/A",OFFSET(BO$55,'Intermediate Data'!$CD98,0))))</f>
        <v/>
      </c>
      <c r="CR98" s="114" t="str">
        <f ca="1">IF($CD98="","",IF(OFFSET(BP$55,'Intermediate Data'!$CD98,0)=-98,"Unknown",IF(OFFSET(BP$55,'Intermediate Data'!$CD98,0)=-99,"N/A",OFFSET(BP$55,'Intermediate Data'!$CD98,0))))</f>
        <v/>
      </c>
      <c r="CS98" s="114" t="str">
        <f ca="1">IF($CD98="","",IF(OFFSET(BQ$55,'Intermediate Data'!$CD98,0)=-98,"Unknown",IF(OFFSET(BQ$55,'Intermediate Data'!$CD98,0)=-99,"N/A",OFFSET(BQ$55,'Intermediate Data'!$CD98,0))))</f>
        <v/>
      </c>
      <c r="CT98" s="114" t="str">
        <f ca="1">IF($CD98="","",IF(OFFSET(BR$55,'Intermediate Data'!$CD98,0)=-98,"Unknown",IF(OFFSET(BR$55,'Intermediate Data'!$CD98,0)=-99,"N/A",OFFSET(BR$55,'Intermediate Data'!$CD98,0))))</f>
        <v/>
      </c>
      <c r="CU98" s="114" t="str">
        <f ca="1">IF($CD98="","",IF(OFFSET(BS$55,'Intermediate Data'!$CD98,0)=-98,"Unknown",IF(OFFSET(BS$55,'Intermediate Data'!$CD98,0)=-99,"N/A",OFFSET(BS$55,'Intermediate Data'!$CD98,0))))</f>
        <v/>
      </c>
      <c r="CV98" s="114" t="str">
        <f ca="1">IF($CD98="","",IF(OFFSET(BT$55,'Intermediate Data'!$CD98,0)=-98,"Unknown",IF(OFFSET(BT$55,'Intermediate Data'!$CD98,0)=-99,"N/A",OFFSET(BT$55,'Intermediate Data'!$CD98,0))))</f>
        <v/>
      </c>
      <c r="CW98" s="114" t="str">
        <f ca="1">IF($CD98="","",IF(OFFSET(BU$55,'Intermediate Data'!$CD98,0)=-98,"Unknown",IF(OFFSET(BU$55,'Intermediate Data'!$CD98,0)=-99,"N/A",OFFSET(BU$55,'Intermediate Data'!$CD98,0))))</f>
        <v/>
      </c>
      <c r="CX98" s="114" t="str">
        <f ca="1">IF($CD98="","",IF(OFFSET(BV$55,'Intermediate Data'!$CD98,0)=-98,"Unknown",IF(OFFSET(BV$55,'Intermediate Data'!$CD98,0)=-99,"N/A",OFFSET(BV$55,'Intermediate Data'!$CD98,0))))</f>
        <v/>
      </c>
      <c r="CY98" s="682" t="str">
        <f ca="1">IF($CD98="","",IF(OFFSET(BW$55,'Intermediate Data'!$CD98,0)=-98,"Unknown",IF(OFFSET(BW$55,'Intermediate Data'!$CD98,0)="N/A","",OFFSET(BW$55,'Intermediate Data'!$CD98,0))))</f>
        <v/>
      </c>
      <c r="CZ98" s="682" t="str">
        <f ca="1">IF($CD98="","",IF(OFFSET(BX$55,'Intermediate Data'!$CD98,0)=-98,"Unknown",IF(OFFSET(BX$55,'Intermediate Data'!$CD98,0)="N/A","",OFFSET(BX$55,'Intermediate Data'!$CD98,0))))</f>
        <v/>
      </c>
      <c r="DA98" s="682" t="str">
        <f ca="1">IF($CD98="","",IF(OFFSET(BY$55,'Intermediate Data'!$CD98,0)=-98,"Unknown",IF(OFFSET(BY$55,'Intermediate Data'!$CD98,0)="N/A","",OFFSET(BY$55,'Intermediate Data'!$CD98,0))))</f>
        <v/>
      </c>
      <c r="DB98" s="682" t="str">
        <f ca="1">IF($CD98="","",IF(OFFSET(BZ$55,'Intermediate Data'!$CD98,0)=-98,"Unknown",IF(OFFSET(BZ$55,'Intermediate Data'!$CD98,0)="N/A","",OFFSET(BZ$55,'Intermediate Data'!$CD98,0))))</f>
        <v/>
      </c>
    </row>
    <row r="99" spans="1:106" x14ac:dyDescent="0.2">
      <c r="A99" s="90">
        <f ca="1">IF(OFFSET(DATA!F48,0,$D$48)='Intermediate Data'!$E$48,IF(OR($E$49=$C$27,$E$48=$B$4),DATA!A48,IF($G$49=DATA!D48,DATA!A48,"")),"")</f>
        <v>44</v>
      </c>
      <c r="B99" s="90">
        <f ca="1">IF($A99="","",DATA!EH48)</f>
        <v>27</v>
      </c>
      <c r="C99" s="90" t="str">
        <f ca="1">IF($A99="","",DATA!B48)</f>
        <v>Stand alone electric mixer</v>
      </c>
      <c r="D99" s="90">
        <f ca="1">IF($A99="","",OFFSET(DATA!$H48,0,($D$50*5)))</f>
        <v>-99</v>
      </c>
      <c r="E99" s="90">
        <f ca="1">IF($A99="","",OFFSET(DATA!$H48,0,($D$50*5)+1))</f>
        <v>-99</v>
      </c>
      <c r="F99" s="90">
        <f ca="1">IF($A99="","",OFFSET(DATA!$H48,0,($D$50*5)+2))</f>
        <v>-99</v>
      </c>
      <c r="G99" s="90">
        <f ca="1">IF($A99="","",OFFSET(DATA!$H48,0,($D$50*5)+3))</f>
        <v>-99</v>
      </c>
      <c r="H99" s="90">
        <f ca="1">IF($A99="","",OFFSET(DATA!$H48,0,($D$50*5)+4))</f>
        <v>-99</v>
      </c>
      <c r="I99" s="90">
        <f t="shared" ca="1" si="2"/>
        <v>-99</v>
      </c>
      <c r="J99" s="90" t="str">
        <f t="shared" ca="1" si="3"/>
        <v/>
      </c>
      <c r="K99" s="90">
        <f ca="1">IF($A99="","",OFFSET(DATA!$AG48,0,($D$50*5)))</f>
        <v>-99</v>
      </c>
      <c r="L99" s="90">
        <f ca="1">IF($A99="","",OFFSET(DATA!$AG48,0,($D$50*5)+1))</f>
        <v>-99</v>
      </c>
      <c r="M99" s="90">
        <f ca="1">IF($A99="","",OFFSET(DATA!$AG48,0,($D$50*5)+2))</f>
        <v>-99</v>
      </c>
      <c r="N99" s="90">
        <f ca="1">IF($A99="","",OFFSET(DATA!$AG48,0,($D$50*5)+3))</f>
        <v>-99</v>
      </c>
      <c r="O99" s="90">
        <f ca="1">IF($A99="","",OFFSET(DATA!$AG48,0,($D$50*5)+4))</f>
        <v>-99</v>
      </c>
      <c r="P99" s="90">
        <f t="shared" ca="1" si="4"/>
        <v>-99</v>
      </c>
      <c r="Q99" s="90" t="str">
        <f t="shared" ca="1" si="5"/>
        <v/>
      </c>
      <c r="R99" s="699">
        <f ca="1">IF($A99="","",IF(DATA!BF48="",-99,DATA!BF48))</f>
        <v>-99</v>
      </c>
      <c r="S99" s="90">
        <f ca="1">IF($A99="","",IF(DATA!BG48="",-99,DATA!BF48-DATA!BG48))</f>
        <v>-99</v>
      </c>
      <c r="T99" s="90">
        <f ca="1">IF($A99="","",DATA!BH48)</f>
        <v>-99</v>
      </c>
      <c r="U99" s="90">
        <f ca="1">IF($A99="","",OFFSET(DATA!BM48,0,$D$48))</f>
        <v>-99</v>
      </c>
      <c r="V99" s="90">
        <f t="shared" ca="1" si="15"/>
        <v>27</v>
      </c>
      <c r="W99" s="99">
        <f t="shared" ca="1" si="7"/>
        <v>26.99988120099</v>
      </c>
      <c r="X99" s="112">
        <f t="shared" ca="1" si="8"/>
        <v>90.999955176530037</v>
      </c>
      <c r="Y99" s="90">
        <f t="shared" ca="1" si="9"/>
        <v>92</v>
      </c>
      <c r="AA99" s="90" t="str">
        <f ca="1">IF($Y99="","",IF(OFFSET(C$55,'Intermediate Data'!$Y99,0)=-98,"Unknown",IF(OFFSET(C$55,'Intermediate Data'!$Y99,0)=-99,"N/A",OFFSET(C$55,'Intermediate Data'!$Y99,0))))</f>
        <v>Fax</v>
      </c>
      <c r="AB99" s="90" t="str">
        <f ca="1">IF($Y99="","",IF(OFFSET(D$55,'Intermediate Data'!$Y99,0)=-98,"N/A",IF(OFFSET(D$55,'Intermediate Data'!$Y99,0)=-99,"N/A",OFFSET(D$55,'Intermediate Data'!$Y99,0))))</f>
        <v>N/A</v>
      </c>
      <c r="AC99" s="90">
        <f ca="1">IF($Y99="","",IF(OFFSET(E$55,'Intermediate Data'!$Y99,0)=-98,"N/A",IF(OFFSET(E$55,'Intermediate Data'!$Y99,0)=-99,"N/A",OFFSET(E$55,'Intermediate Data'!$Y99,0))))</f>
        <v>0.15970897337728876</v>
      </c>
      <c r="AD99" s="90" t="str">
        <f ca="1">IF($Y99="","",IF(OFFSET(F$55,'Intermediate Data'!$Y99,0)=-98,"N/A",IF(OFFSET(F$55,'Intermediate Data'!$Y99,0)=-99,"N/A",OFFSET(F$55,'Intermediate Data'!$Y99,0))))</f>
        <v>N/A</v>
      </c>
      <c r="AE99" s="90">
        <f ca="1">IF($Y99="","",IF(OFFSET(G$55,'Intermediate Data'!$Y99,0)=-98,"N/A",IF(OFFSET(G$55,'Intermediate Data'!$Y99,0)=-99,"N/A",OFFSET(G$55,'Intermediate Data'!$Y99,0))))</f>
        <v>0.11733432045994785</v>
      </c>
      <c r="AF99" s="90" t="str">
        <f ca="1">IF($Y99="","",IF(OFFSET(H$55,'Intermediate Data'!$Y99,0)=-98,"N/A",IF(OFFSET(H$55,'Intermediate Data'!$Y99,0)=-99,"N/A",OFFSET(H$55,'Intermediate Data'!$Y99,0))))</f>
        <v>N/A</v>
      </c>
      <c r="AG99" s="90">
        <f ca="1">IF($Y99="","",IF(OFFSET(I$55,'Intermediate Data'!$Y99,0)=-98,"N/A",IF(OFFSET(I$55,'Intermediate Data'!$Y99,0)=-99,"N/A",OFFSET(I$55,'Intermediate Data'!$Y99,0))))</f>
        <v>0.11733432045994785</v>
      </c>
      <c r="AH99" s="90" t="str">
        <f ca="1">IF($Y99="","",IF(OFFSET(J$55,'Intermediate Data'!$Y99,0)=-98,"N/A",IF(OFFSET(J$55,'Intermediate Data'!$Y99,0)=-99,"N/A",OFFSET(J$55,'Intermediate Data'!$Y99,0))))</f>
        <v>RASS</v>
      </c>
      <c r="AI99" s="90" t="str">
        <f ca="1">IF($Y99="","",IF(OFFSET(K$55,'Intermediate Data'!$Y99,0)=-98,"N/A",IF(OFFSET(K$55,'Intermediate Data'!$Y99,0)=-99,"N/A",OFFSET(K$55,'Intermediate Data'!$Y99,0))))</f>
        <v>N/A</v>
      </c>
      <c r="AJ99" s="90">
        <f ca="1">IF($Y99="","",IF(OFFSET(L$55,'Intermediate Data'!$Y99,0)=-98,"N/A",IF(OFFSET(L$55,'Intermediate Data'!$Y99,0)=-99,"N/A",OFFSET(L$55,'Intermediate Data'!$Y99,0))))</f>
        <v>0.16434875207958524</v>
      </c>
      <c r="AK99" s="90" t="str">
        <f ca="1">IF($Y99="","",IF(OFFSET(M$55,'Intermediate Data'!$Y99,0)=-98,"N/A",IF(OFFSET(M$55,'Intermediate Data'!$Y99,0)=-99,"N/A",OFFSET(M$55,'Intermediate Data'!$Y99,0))))</f>
        <v>N/A</v>
      </c>
      <c r="AL99" s="90">
        <f ca="1">IF($Y99="","",IF(OFFSET(N$55,'Intermediate Data'!$Y99,0)=-98,"N/A",IF(OFFSET(N$55,'Intermediate Data'!$Y99,0)=-99,"N/A",OFFSET(N$55,'Intermediate Data'!$Y99,0))))</f>
        <v>0.12187398914531972</v>
      </c>
      <c r="AM99" s="90" t="str">
        <f ca="1">IF($Y99="","",IF(OFFSET(O$55,'Intermediate Data'!$Y99,0)=-98,"N/A",IF(OFFSET(O$55,'Intermediate Data'!$Y99,0)=-99,"N/A",OFFSET(O$55,'Intermediate Data'!$Y99,0))))</f>
        <v>N/A</v>
      </c>
      <c r="AN99" s="90">
        <f ca="1">IF($Y99="","",IF(OFFSET(P$55,'Intermediate Data'!$Y99,0)=-98,"N/A",IF(OFFSET(P$55,'Intermediate Data'!$Y99,0)=-99,"N/A",OFFSET(P$55,'Intermediate Data'!$Y99,0))))</f>
        <v>0.12187398914531972</v>
      </c>
      <c r="AO99" s="90" t="str">
        <f ca="1">IF($Y99="","",IF(OFFSET(Q$55,'Intermediate Data'!$Y99,0)=-98,"N/A",IF(OFFSET(Q$55,'Intermediate Data'!$Y99,0)=-99,"N/A",OFFSET(Q$55,'Intermediate Data'!$Y99,0))))</f>
        <v>RASS</v>
      </c>
      <c r="AP99" s="697" t="str">
        <f ca="1">IF($Y99="","",IF(OFFSET(S$55,'Intermediate Data'!$Y99,0)=-98,"",IF(OFFSET(S$55,'Intermediate Data'!$Y99,0)=-99,"",OFFSET(S$55,'Intermediate Data'!$Y99,0))))</f>
        <v/>
      </c>
      <c r="AQ99" s="90">
        <f ca="1">IF($Y99="","",IF(OFFSET(T$55,'Intermediate Data'!$Y99,0)=-98,"Not published",IF(OFFSET(T$55,'Intermediate Data'!$Y99,0)=-99,"",OFFSET(T$55,'Intermediate Data'!$Y99,0))))</f>
        <v>7.0000000000000007E-2</v>
      </c>
      <c r="AR99" s="90">
        <f ca="1">IF($Y99="","",IF(OFFSET(U$55,'Intermediate Data'!$Y99,0)=-98,"Unknown",IF(OFFSET(U$55,'Intermediate Data'!$Y99,0)=-99,"",OFFSET(U$55,'Intermediate Data'!$Y99,0))))</f>
        <v>46</v>
      </c>
      <c r="AU99" s="112" t="str">
        <f ca="1">IF(AND(OFFSET(DATA!$F48,0,$AX$48)='Intermediate Data'!$AY$48,DATA!$E48="Tier 1"),IF(OR($AX$49=0,$AX$48=1),DATA!A48,IF(AND($AX$49=1,INDEX('Intermediate Data'!$AY$25:$AY$44,MATCH(DATA!$B48,'Intermediate Data'!$AX$25:$AX$44,0))=TRUE),DATA!A48,"")),"")</f>
        <v/>
      </c>
      <c r="AV99" s="112" t="str">
        <f ca="1">IF($AU99="","",DATA!B48)</f>
        <v/>
      </c>
      <c r="AW99" s="112" t="str">
        <f ca="1">IF(OR($AU99="",DATA!BI48=""),"",DATA!BI48)</f>
        <v/>
      </c>
      <c r="AX99" s="112" t="str">
        <f ca="1">IF(OR($AU99="",OFFSET(DATA!BK48,0,$AX$48)=""),"",OFFSET(DATA!BK48,0,$AX$48))</f>
        <v/>
      </c>
      <c r="AY99" s="112" t="str">
        <f ca="1">IF(OR($AU99="",OFFSET(DATA!BM48,0,$AX$48)=""),"",OFFSET(DATA!BM48,0,$AX$48))</f>
        <v/>
      </c>
      <c r="AZ99" s="112" t="str">
        <f ca="1">IF(OR($AU99="",OFFSET(DATA!BO48,0,'Intermediate Data'!$AX$48)=""),"",OFFSET(DATA!BO48,0,$AX$48))</f>
        <v/>
      </c>
      <c r="BA99" s="112" t="str">
        <f ca="1">IF(OR($AU99="",DATA!BQ48=""),"",DATA!BQ48)</f>
        <v/>
      </c>
      <c r="BB99" s="112" t="str">
        <f ca="1">IF($AU99="","",OFFSET(DATA!BS48,0,$AX$48))</f>
        <v/>
      </c>
      <c r="BC99" s="112" t="str">
        <f ca="1">IF($AU99="","",OFFSET(DATA!BU48,0,$AX$48))</f>
        <v/>
      </c>
      <c r="BD99" s="112" t="str">
        <f ca="1">IF($AU99="","",OFFSET(DATA!BW48,0,$AX$48))</f>
        <v/>
      </c>
      <c r="BE99" s="112" t="str">
        <f ca="1">IF($AU99="","",OFFSET(DATA!BY48,0,$AX$48))</f>
        <v/>
      </c>
      <c r="BF99" s="112" t="str">
        <f ca="1">IF($AU99="","",OFFSET(DATA!CA48,0,$AX$48))</f>
        <v/>
      </c>
      <c r="BG99" s="112" t="str">
        <f ca="1">IF($AU99="","",DATA!CC48)</f>
        <v/>
      </c>
      <c r="BH99" s="112" t="str">
        <f ca="1">IF($AU99="","",OFFSET(DATA!CE48,0,$AX$48))</f>
        <v/>
      </c>
      <c r="BI99" s="112" t="str">
        <f ca="1">IF($AU99="","",OFFSET(DATA!CG48,0,$AX$48))</f>
        <v/>
      </c>
      <c r="BJ99" s="112" t="str">
        <f ca="1">IF($AU99="","",OFFSET(DATA!CI48,0,$AX$48))</f>
        <v/>
      </c>
      <c r="BK99" s="112" t="str">
        <f ca="1">IF($AU99="","",OFFSET(DATA!CK48,0,$AX$48))</f>
        <v/>
      </c>
      <c r="BL99" s="112" t="str">
        <f ca="1">IF($AU99="","",OFFSET(DATA!CM48,0,$AX$48))</f>
        <v/>
      </c>
      <c r="BM99" s="112" t="str">
        <f ca="1">IF($AU99="","",DATA!BH48)</f>
        <v/>
      </c>
      <c r="BN99" s="112" t="str">
        <f ca="1">IF($AU99="","",DATA!DS48)</f>
        <v/>
      </c>
      <c r="BO99" s="112" t="str">
        <f ca="1">IF($AU99="","",DATA!DU48)</f>
        <v/>
      </c>
      <c r="BP99" s="112" t="str">
        <f ca="1">IF($AU99="","",DATA!DV48)</f>
        <v/>
      </c>
      <c r="BQ99" s="112" t="str">
        <f ca="1">IF($AU99="","",DATA!DX48)</f>
        <v/>
      </c>
      <c r="BR99" s="112" t="str">
        <f ca="1">IF($AU99="","",DATA!DZ48)</f>
        <v/>
      </c>
      <c r="BS99" s="171" t="str">
        <f ca="1">IF($AU99="","",DATA!EA48)</f>
        <v/>
      </c>
      <c r="BT99" s="171" t="str">
        <f ca="1">IF($AU99="","",DATA!EC48)</f>
        <v/>
      </c>
      <c r="BU99" s="171" t="str">
        <f ca="1">IF($AU99="","",DATA!EF48)</f>
        <v/>
      </c>
      <c r="BV99" s="113" t="str">
        <f t="shared" ca="1" si="10"/>
        <v/>
      </c>
      <c r="BW99" s="680" t="str">
        <f ca="1">IF(AU99="","",OFFSET(DATA!DC48,0,'Intermediate Data'!$AX$48))</f>
        <v/>
      </c>
      <c r="BX99" s="681" t="str">
        <f ca="1">IF($AU99="","",DATA!DG48)</f>
        <v/>
      </c>
      <c r="BY99" s="680" t="str">
        <f ca="1">IF($AU99="","",OFFSET(DATA!DE48,0,'Intermediate Data'!$AX$48))</f>
        <v/>
      </c>
      <c r="BZ99" s="681" t="str">
        <f ca="1">IF($AU99="","",DATA!DH48)</f>
        <v/>
      </c>
      <c r="CA99" s="90" t="str">
        <f t="shared" ca="1" si="11"/>
        <v/>
      </c>
      <c r="CB99" s="99" t="str">
        <f t="shared" ca="1" si="12"/>
        <v/>
      </c>
      <c r="CC99" s="90" t="str">
        <f t="shared" ca="1" si="13"/>
        <v/>
      </c>
      <c r="CD99" s="90" t="str">
        <f t="shared" ca="1" si="14"/>
        <v/>
      </c>
      <c r="CF99" s="90" t="str">
        <f ca="1">IF($CD99="","",IF(OFFSET(AV$55,'Intermediate Data'!$CD99,0)=-98,"Unknown",IF(OFFSET(AV$55,'Intermediate Data'!$CD99,0)=-99,"N/A",OFFSET(AV$55,'Intermediate Data'!$CD99,0))))</f>
        <v/>
      </c>
      <c r="CG99" s="90" t="str">
        <f ca="1">IF($CD99="","",IF(OFFSET(AW$55,'Intermediate Data'!$CD99,0)=-98,"",IF(OFFSET(AW$55,'Intermediate Data'!$CD99,0)=-99,"N/A",OFFSET(AW$55,'Intermediate Data'!$CD99,0))))</f>
        <v/>
      </c>
      <c r="CH99" s="90" t="str">
        <f ca="1">IF($CD99="","",IF(OFFSET(AX$55,'Intermediate Data'!$CD99,0)=-98,"Unknown",IF(OFFSET(AX$55,'Intermediate Data'!$CD99,0)=-99,"N/A",OFFSET(AX$55,'Intermediate Data'!$CD99,0))))</f>
        <v/>
      </c>
      <c r="CI99" s="125" t="str">
        <f ca="1">IF($CD99="","",IF(OFFSET(AY$55,'Intermediate Data'!$CD99,0)=-98,"Unknown",IF(OFFSET(AY$55,'Intermediate Data'!$CD99,0)=-99,"No spec",OFFSET(AY$55,'Intermediate Data'!$CD99,0))))</f>
        <v/>
      </c>
      <c r="CJ99" s="125" t="str">
        <f ca="1">IF($CD99="","",IF(OFFSET(AZ$55,'Intermediate Data'!$CD99,0)=-98,"Unknown",IF(OFFSET(AZ$55,'Intermediate Data'!$CD99,0)=-99,"N/A",OFFSET(AZ$55,'Intermediate Data'!$CD99,0))))</f>
        <v/>
      </c>
      <c r="CK99" s="90" t="str">
        <f ca="1">IF($CD99="","",IF(OFFSET(BA$55,'Intermediate Data'!$CD99,0)=-98,"Unknown",IF(OFFSET(BA$55,'Intermediate Data'!$CD99,0)=-99,"N/A",OFFSET(BA$55,'Intermediate Data'!$CD99,0))))</f>
        <v/>
      </c>
      <c r="CL99" s="90" t="str">
        <f ca="1">IF($CD99="","",IF(OFFSET(BB$55,'Intermediate Data'!$CD99,$AX$50)=-98,"Unknown",IF(OFFSET(BB$55,'Intermediate Data'!$CD99,$AX$50)="N/A","",OFFSET(BB$55,'Intermediate Data'!$CD99,$AX$50))))</f>
        <v/>
      </c>
      <c r="CM99" s="90" t="str">
        <f ca="1">IF($CD99="","",IF(OFFSET(BG$55,'Intermediate Data'!$CD99,0)="ET","ET",""))</f>
        <v/>
      </c>
      <c r="CN99" s="90" t="str">
        <f ca="1">IF($CD99="","",IF(OFFSET(BH$55,'Intermediate Data'!$CD99,$AX$50)=-98,"Unknown",IF(OFFSET(BH$55,'Intermediate Data'!$CD99,$AX$50)="N/A","",OFFSET(BH$55,'Intermediate Data'!$CD99,$AX$50))))</f>
        <v/>
      </c>
      <c r="CO99" s="90" t="str">
        <f ca="1">IF($CD99="","",IF(OFFSET(BM$55,'Intermediate Data'!$CD99,0)=-98,"Not published",IF(OFFSET(BM$55,'Intermediate Data'!$CD99,0)=-99,"No spec",OFFSET(BM$55,'Intermediate Data'!$CD99,0))))</f>
        <v/>
      </c>
      <c r="CP99" s="114" t="str">
        <f ca="1">IF($CD99="","",IF(OFFSET(BN$55,'Intermediate Data'!$CD99,0)=-98,"Unknown",IF(OFFSET(BN$55,'Intermediate Data'!$CD99,0)=-99,"N/A",OFFSET(BN$55,'Intermediate Data'!$CD99,0))))</f>
        <v/>
      </c>
      <c r="CQ99" s="114" t="str">
        <f ca="1">IF($CD99="","",IF(OFFSET(BO$55,'Intermediate Data'!$CD99,0)=-98,"Unknown",IF(OFFSET(BO$55,'Intermediate Data'!$CD99,0)=-99,"N/A",OFFSET(BO$55,'Intermediate Data'!$CD99,0))))</f>
        <v/>
      </c>
      <c r="CR99" s="114" t="str">
        <f ca="1">IF($CD99="","",IF(OFFSET(BP$55,'Intermediate Data'!$CD99,0)=-98,"Unknown",IF(OFFSET(BP$55,'Intermediate Data'!$CD99,0)=-99,"N/A",OFFSET(BP$55,'Intermediate Data'!$CD99,0))))</f>
        <v/>
      </c>
      <c r="CS99" s="114" t="str">
        <f ca="1">IF($CD99="","",IF(OFFSET(BQ$55,'Intermediate Data'!$CD99,0)=-98,"Unknown",IF(OFFSET(BQ$55,'Intermediate Data'!$CD99,0)=-99,"N/A",OFFSET(BQ$55,'Intermediate Data'!$CD99,0))))</f>
        <v/>
      </c>
      <c r="CT99" s="114" t="str">
        <f ca="1">IF($CD99="","",IF(OFFSET(BR$55,'Intermediate Data'!$CD99,0)=-98,"Unknown",IF(OFFSET(BR$55,'Intermediate Data'!$CD99,0)=-99,"N/A",OFFSET(BR$55,'Intermediate Data'!$CD99,0))))</f>
        <v/>
      </c>
      <c r="CU99" s="114" t="str">
        <f ca="1">IF($CD99="","",IF(OFFSET(BS$55,'Intermediate Data'!$CD99,0)=-98,"Unknown",IF(OFFSET(BS$55,'Intermediate Data'!$CD99,0)=-99,"N/A",OFFSET(BS$55,'Intermediate Data'!$CD99,0))))</f>
        <v/>
      </c>
      <c r="CV99" s="114" t="str">
        <f ca="1">IF($CD99="","",IF(OFFSET(BT$55,'Intermediate Data'!$CD99,0)=-98,"Unknown",IF(OFFSET(BT$55,'Intermediate Data'!$CD99,0)=-99,"N/A",OFFSET(BT$55,'Intermediate Data'!$CD99,0))))</f>
        <v/>
      </c>
      <c r="CW99" s="114" t="str">
        <f ca="1">IF($CD99="","",IF(OFFSET(BU$55,'Intermediate Data'!$CD99,0)=-98,"Unknown",IF(OFFSET(BU$55,'Intermediate Data'!$CD99,0)=-99,"N/A",OFFSET(BU$55,'Intermediate Data'!$CD99,0))))</f>
        <v/>
      </c>
      <c r="CX99" s="114" t="str">
        <f ca="1">IF($CD99="","",IF(OFFSET(BV$55,'Intermediate Data'!$CD99,0)=-98,"Unknown",IF(OFFSET(BV$55,'Intermediate Data'!$CD99,0)=-99,"N/A",OFFSET(BV$55,'Intermediate Data'!$CD99,0))))</f>
        <v/>
      </c>
      <c r="CY99" s="682" t="str">
        <f ca="1">IF($CD99="","",IF(OFFSET(BW$55,'Intermediate Data'!$CD99,0)=-98,"Unknown",IF(OFFSET(BW$55,'Intermediate Data'!$CD99,0)="N/A","",OFFSET(BW$55,'Intermediate Data'!$CD99,0))))</f>
        <v/>
      </c>
      <c r="CZ99" s="682" t="str">
        <f ca="1">IF($CD99="","",IF(OFFSET(BX$55,'Intermediate Data'!$CD99,0)=-98,"Unknown",IF(OFFSET(BX$55,'Intermediate Data'!$CD99,0)="N/A","",OFFSET(BX$55,'Intermediate Data'!$CD99,0))))</f>
        <v/>
      </c>
      <c r="DA99" s="682" t="str">
        <f ca="1">IF($CD99="","",IF(OFFSET(BY$55,'Intermediate Data'!$CD99,0)=-98,"Unknown",IF(OFFSET(BY$55,'Intermediate Data'!$CD99,0)="N/A","",OFFSET(BY$55,'Intermediate Data'!$CD99,0))))</f>
        <v/>
      </c>
      <c r="DB99" s="682" t="str">
        <f ca="1">IF($CD99="","",IF(OFFSET(BZ$55,'Intermediate Data'!$CD99,0)=-98,"Unknown",IF(OFFSET(BZ$55,'Intermediate Data'!$CD99,0)="N/A","",OFFSET(BZ$55,'Intermediate Data'!$CD99,0))))</f>
        <v/>
      </c>
    </row>
    <row r="100" spans="1:106" x14ac:dyDescent="0.2">
      <c r="A100" s="90">
        <f ca="1">IF(OFFSET(DATA!F49,0,$D$48)='Intermediate Data'!$E$48,IF(OR($E$49=$C$27,$E$48=$B$4),DATA!A49,IF($G$49=DATA!D49,DATA!A49,"")),"")</f>
        <v>45</v>
      </c>
      <c r="B100" s="90">
        <f ca="1">IF($A100="","",DATA!EH49)</f>
        <v>19</v>
      </c>
      <c r="C100" s="90" t="str">
        <f ca="1">IF($A100="","",DATA!B49)</f>
        <v>Toaster/Toaster oven</v>
      </c>
      <c r="D100" s="90">
        <f ca="1">IF($A100="","",OFFSET(DATA!$H49,0,($D$50*5)))</f>
        <v>-99</v>
      </c>
      <c r="E100" s="90">
        <f ca="1">IF($A100="","",OFFSET(DATA!$H49,0,($D$50*5)+1))</f>
        <v>-99</v>
      </c>
      <c r="F100" s="90">
        <f ca="1">IF($A100="","",OFFSET(DATA!$H49,0,($D$50*5)+2))</f>
        <v>-99</v>
      </c>
      <c r="G100" s="90">
        <f ca="1">IF($A100="","",OFFSET(DATA!$H49,0,($D$50*5)+3))</f>
        <v>-99</v>
      </c>
      <c r="H100" s="90">
        <f ca="1">IF($A100="","",OFFSET(DATA!$H49,0,($D$50*5)+4))</f>
        <v>-99</v>
      </c>
      <c r="I100" s="90">
        <f t="shared" ca="1" si="2"/>
        <v>-99</v>
      </c>
      <c r="J100" s="90" t="str">
        <f t="shared" ca="1" si="3"/>
        <v/>
      </c>
      <c r="K100" s="90">
        <f ca="1">IF($A100="","",OFFSET(DATA!$AG49,0,($D$50*5)))</f>
        <v>-99</v>
      </c>
      <c r="L100" s="90">
        <f ca="1">IF($A100="","",OFFSET(DATA!$AG49,0,($D$50*5)+1))</f>
        <v>-99</v>
      </c>
      <c r="M100" s="90">
        <f ca="1">IF($A100="","",OFFSET(DATA!$AG49,0,($D$50*5)+2))</f>
        <v>-99</v>
      </c>
      <c r="N100" s="90">
        <f ca="1">IF($A100="","",OFFSET(DATA!$AG49,0,($D$50*5)+3))</f>
        <v>-99</v>
      </c>
      <c r="O100" s="90">
        <f ca="1">IF($A100="","",OFFSET(DATA!$AG49,0,($D$50*5)+4))</f>
        <v>-99</v>
      </c>
      <c r="P100" s="90">
        <f t="shared" ca="1" si="4"/>
        <v>-99</v>
      </c>
      <c r="Q100" s="90" t="str">
        <f t="shared" ca="1" si="5"/>
        <v/>
      </c>
      <c r="R100" s="699">
        <f ca="1">IF($A100="","",IF(DATA!BF49="",-99,DATA!BF49))</f>
        <v>-99</v>
      </c>
      <c r="S100" s="90">
        <f ca="1">IF($A100="","",IF(DATA!BG49="",-99,DATA!BF49-DATA!BG49))</f>
        <v>-99</v>
      </c>
      <c r="T100" s="90">
        <f ca="1">IF($A100="","",DATA!BH49)</f>
        <v>-99</v>
      </c>
      <c r="U100" s="90">
        <f ca="1">IF($A100="","",OFFSET(DATA!BM49,0,$D$48))</f>
        <v>-99</v>
      </c>
      <c r="V100" s="90">
        <f t="shared" ca="1" si="15"/>
        <v>19</v>
      </c>
      <c r="W100" s="99">
        <f t="shared" ca="1" si="7"/>
        <v>18.999881201000001</v>
      </c>
      <c r="X100" s="112">
        <f t="shared" ca="1" si="8"/>
        <v>88.999881200930005</v>
      </c>
      <c r="Y100" s="90">
        <f t="shared" ca="1" si="9"/>
        <v>38</v>
      </c>
      <c r="AA100" s="90" t="str">
        <f ca="1">IF($Y100="","",IF(OFFSET(C$55,'Intermediate Data'!$Y100,0)=-98,"Unknown",IF(OFFSET(C$55,'Intermediate Data'!$Y100,0)=-99,"N/A",OFFSET(C$55,'Intermediate Data'!$Y100,0))))</f>
        <v>Food processing</v>
      </c>
      <c r="AB100" s="90" t="str">
        <f ca="1">IF($Y100="","",IF(OFFSET(D$55,'Intermediate Data'!$Y100,0)=-98,"N/A",IF(OFFSET(D$55,'Intermediate Data'!$Y100,0)=-99,"N/A",OFFSET(D$55,'Intermediate Data'!$Y100,0))))</f>
        <v>N/A</v>
      </c>
      <c r="AC100" s="90" t="str">
        <f ca="1">IF($Y100="","",IF(OFFSET(E$55,'Intermediate Data'!$Y100,0)=-98,"N/A",IF(OFFSET(E$55,'Intermediate Data'!$Y100,0)=-99,"N/A",OFFSET(E$55,'Intermediate Data'!$Y100,0))))</f>
        <v>N/A</v>
      </c>
      <c r="AD100" s="90" t="str">
        <f ca="1">IF($Y100="","",IF(OFFSET(F$55,'Intermediate Data'!$Y100,0)=-98,"N/A",IF(OFFSET(F$55,'Intermediate Data'!$Y100,0)=-99,"N/A",OFFSET(F$55,'Intermediate Data'!$Y100,0))))</f>
        <v>N/A</v>
      </c>
      <c r="AE100" s="90" t="str">
        <f ca="1">IF($Y100="","",IF(OFFSET(G$55,'Intermediate Data'!$Y100,0)=-98,"N/A",IF(OFFSET(G$55,'Intermediate Data'!$Y100,0)=-99,"N/A",OFFSET(G$55,'Intermediate Data'!$Y100,0))))</f>
        <v>N/A</v>
      </c>
      <c r="AF100" s="90" t="str">
        <f ca="1">IF($Y100="","",IF(OFFSET(H$55,'Intermediate Data'!$Y100,0)=-98,"N/A",IF(OFFSET(H$55,'Intermediate Data'!$Y100,0)=-99,"N/A",OFFSET(H$55,'Intermediate Data'!$Y100,0))))</f>
        <v>N/A</v>
      </c>
      <c r="AG100" s="90" t="str">
        <f ca="1">IF($Y100="","",IF(OFFSET(I$55,'Intermediate Data'!$Y100,0)=-98,"N/A",IF(OFFSET(I$55,'Intermediate Data'!$Y100,0)=-99,"N/A",OFFSET(I$55,'Intermediate Data'!$Y100,0))))</f>
        <v>N/A</v>
      </c>
      <c r="AH100" s="90" t="str">
        <f ca="1">IF($Y100="","",IF(OFFSET(J$55,'Intermediate Data'!$Y100,0)=-98,"N/A",IF(OFFSET(J$55,'Intermediate Data'!$Y100,0)=-99,"N/A",OFFSET(J$55,'Intermediate Data'!$Y100,0))))</f>
        <v/>
      </c>
      <c r="AI100" s="90" t="str">
        <f ca="1">IF($Y100="","",IF(OFFSET(K$55,'Intermediate Data'!$Y100,0)=-98,"N/A",IF(OFFSET(K$55,'Intermediate Data'!$Y100,0)=-99,"N/A",OFFSET(K$55,'Intermediate Data'!$Y100,0))))</f>
        <v>N/A</v>
      </c>
      <c r="AJ100" s="90" t="str">
        <f ca="1">IF($Y100="","",IF(OFFSET(L$55,'Intermediate Data'!$Y100,0)=-98,"N/A",IF(OFFSET(L$55,'Intermediate Data'!$Y100,0)=-99,"N/A",OFFSET(L$55,'Intermediate Data'!$Y100,0))))</f>
        <v>N/A</v>
      </c>
      <c r="AK100" s="90" t="str">
        <f ca="1">IF($Y100="","",IF(OFFSET(M$55,'Intermediate Data'!$Y100,0)=-98,"N/A",IF(OFFSET(M$55,'Intermediate Data'!$Y100,0)=-99,"N/A",OFFSET(M$55,'Intermediate Data'!$Y100,0))))</f>
        <v>N/A</v>
      </c>
      <c r="AL100" s="90" t="str">
        <f ca="1">IF($Y100="","",IF(OFFSET(N$55,'Intermediate Data'!$Y100,0)=-98,"N/A",IF(OFFSET(N$55,'Intermediate Data'!$Y100,0)=-99,"N/A",OFFSET(N$55,'Intermediate Data'!$Y100,0))))</f>
        <v>N/A</v>
      </c>
      <c r="AM100" s="90" t="str">
        <f ca="1">IF($Y100="","",IF(OFFSET(O$55,'Intermediate Data'!$Y100,0)=-98,"N/A",IF(OFFSET(O$55,'Intermediate Data'!$Y100,0)=-99,"N/A",OFFSET(O$55,'Intermediate Data'!$Y100,0))))</f>
        <v>N/A</v>
      </c>
      <c r="AN100" s="90" t="str">
        <f ca="1">IF($Y100="","",IF(OFFSET(P$55,'Intermediate Data'!$Y100,0)=-98,"N/A",IF(OFFSET(P$55,'Intermediate Data'!$Y100,0)=-99,"N/A",OFFSET(P$55,'Intermediate Data'!$Y100,0))))</f>
        <v>N/A</v>
      </c>
      <c r="AO100" s="90" t="str">
        <f ca="1">IF($Y100="","",IF(OFFSET(Q$55,'Intermediate Data'!$Y100,0)=-98,"N/A",IF(OFFSET(Q$55,'Intermediate Data'!$Y100,0)=-99,"N/A",OFFSET(Q$55,'Intermediate Data'!$Y100,0))))</f>
        <v/>
      </c>
      <c r="AP100" s="697" t="str">
        <f ca="1">IF($Y100="","",IF(OFFSET(S$55,'Intermediate Data'!$Y100,0)=-98,"",IF(OFFSET(S$55,'Intermediate Data'!$Y100,0)=-99,"",OFFSET(S$55,'Intermediate Data'!$Y100,0))))</f>
        <v/>
      </c>
      <c r="AQ100" s="90" t="str">
        <f ca="1">IF($Y100="","",IF(OFFSET(T$55,'Intermediate Data'!$Y100,0)=-98,"Not published",IF(OFFSET(T$55,'Intermediate Data'!$Y100,0)=-99,"",OFFSET(T$55,'Intermediate Data'!$Y100,0))))</f>
        <v/>
      </c>
      <c r="AR100" s="90" t="str">
        <f ca="1">IF($Y100="","",IF(OFFSET(U$55,'Intermediate Data'!$Y100,0)=-98,"Unknown",IF(OFFSET(U$55,'Intermediate Data'!$Y100,0)=-99,"",OFFSET(U$55,'Intermediate Data'!$Y100,0))))</f>
        <v/>
      </c>
      <c r="AU100" s="112" t="str">
        <f ca="1">IF(AND(OFFSET(DATA!$F49,0,$AX$48)='Intermediate Data'!$AY$48,DATA!$E49="Tier 1"),IF(OR($AX$49=0,$AX$48=1),DATA!A49,IF(AND($AX$49=1,INDEX('Intermediate Data'!$AY$25:$AY$44,MATCH(DATA!$B49,'Intermediate Data'!$AX$25:$AX$44,0))=TRUE),DATA!A49,"")),"")</f>
        <v/>
      </c>
      <c r="AV100" s="112" t="str">
        <f ca="1">IF($AU100="","",DATA!B49)</f>
        <v/>
      </c>
      <c r="AW100" s="112" t="str">
        <f ca="1">IF(OR($AU100="",DATA!BI49=""),"",DATA!BI49)</f>
        <v/>
      </c>
      <c r="AX100" s="112" t="str">
        <f ca="1">IF(OR($AU100="",OFFSET(DATA!BK49,0,$AX$48)=""),"",OFFSET(DATA!BK49,0,$AX$48))</f>
        <v/>
      </c>
      <c r="AY100" s="112" t="str">
        <f ca="1">IF(OR($AU100="",OFFSET(DATA!BM49,0,$AX$48)=""),"",OFFSET(DATA!BM49,0,$AX$48))</f>
        <v/>
      </c>
      <c r="AZ100" s="112" t="str">
        <f ca="1">IF(OR($AU100="",OFFSET(DATA!BO49,0,'Intermediate Data'!$AX$48)=""),"",OFFSET(DATA!BO49,0,$AX$48))</f>
        <v/>
      </c>
      <c r="BA100" s="112" t="str">
        <f ca="1">IF(OR($AU100="",DATA!BQ49=""),"",DATA!BQ49)</f>
        <v/>
      </c>
      <c r="BB100" s="112" t="str">
        <f ca="1">IF($AU100="","",OFFSET(DATA!BS49,0,$AX$48))</f>
        <v/>
      </c>
      <c r="BC100" s="112" t="str">
        <f ca="1">IF($AU100="","",OFFSET(DATA!BU49,0,$AX$48))</f>
        <v/>
      </c>
      <c r="BD100" s="112" t="str">
        <f ca="1">IF($AU100="","",OFFSET(DATA!BW49,0,$AX$48))</f>
        <v/>
      </c>
      <c r="BE100" s="112" t="str">
        <f ca="1">IF($AU100="","",OFFSET(DATA!BY49,0,$AX$48))</f>
        <v/>
      </c>
      <c r="BF100" s="112" t="str">
        <f ca="1">IF($AU100="","",OFFSET(DATA!CA49,0,$AX$48))</f>
        <v/>
      </c>
      <c r="BG100" s="112" t="str">
        <f ca="1">IF($AU100="","",DATA!CC49)</f>
        <v/>
      </c>
      <c r="BH100" s="112" t="str">
        <f ca="1">IF($AU100="","",OFFSET(DATA!CE49,0,$AX$48))</f>
        <v/>
      </c>
      <c r="BI100" s="112" t="str">
        <f ca="1">IF($AU100="","",OFFSET(DATA!CG49,0,$AX$48))</f>
        <v/>
      </c>
      <c r="BJ100" s="112" t="str">
        <f ca="1">IF($AU100="","",OFFSET(DATA!CI49,0,$AX$48))</f>
        <v/>
      </c>
      <c r="BK100" s="112" t="str">
        <f ca="1">IF($AU100="","",OFFSET(DATA!CK49,0,$AX$48))</f>
        <v/>
      </c>
      <c r="BL100" s="112" t="str">
        <f ca="1">IF($AU100="","",OFFSET(DATA!CM49,0,$AX$48))</f>
        <v/>
      </c>
      <c r="BM100" s="112" t="str">
        <f ca="1">IF($AU100="","",DATA!BH49)</f>
        <v/>
      </c>
      <c r="BN100" s="112" t="str">
        <f ca="1">IF($AU100="","",DATA!DS49)</f>
        <v/>
      </c>
      <c r="BO100" s="112" t="str">
        <f ca="1">IF($AU100="","",DATA!DU49)</f>
        <v/>
      </c>
      <c r="BP100" s="112" t="str">
        <f ca="1">IF($AU100="","",DATA!DV49)</f>
        <v/>
      </c>
      <c r="BQ100" s="112" t="str">
        <f ca="1">IF($AU100="","",DATA!DX49)</f>
        <v/>
      </c>
      <c r="BR100" s="112" t="str">
        <f ca="1">IF($AU100="","",DATA!DZ49)</f>
        <v/>
      </c>
      <c r="BS100" s="171" t="str">
        <f ca="1">IF($AU100="","",DATA!EA49)</f>
        <v/>
      </c>
      <c r="BT100" s="171" t="str">
        <f ca="1">IF($AU100="","",DATA!EC49)</f>
        <v/>
      </c>
      <c r="BU100" s="171" t="str">
        <f ca="1">IF($AU100="","",DATA!EF49)</f>
        <v/>
      </c>
      <c r="BV100" s="113" t="str">
        <f t="shared" ca="1" si="10"/>
        <v/>
      </c>
      <c r="BW100" s="680" t="str">
        <f ca="1">IF(AU100="","",OFFSET(DATA!DC49,0,'Intermediate Data'!$AX$48))</f>
        <v/>
      </c>
      <c r="BX100" s="681" t="str">
        <f ca="1">IF($AU100="","",DATA!DG49)</f>
        <v/>
      </c>
      <c r="BY100" s="680" t="str">
        <f ca="1">IF($AU100="","",OFFSET(DATA!DE49,0,'Intermediate Data'!$AX$48))</f>
        <v/>
      </c>
      <c r="BZ100" s="681" t="str">
        <f ca="1">IF($AU100="","",DATA!DH49)</f>
        <v/>
      </c>
      <c r="CA100" s="90" t="str">
        <f t="shared" ca="1" si="11"/>
        <v/>
      </c>
      <c r="CB100" s="99" t="str">
        <f t="shared" ca="1" si="12"/>
        <v/>
      </c>
      <c r="CC100" s="90" t="str">
        <f t="shared" ca="1" si="13"/>
        <v/>
      </c>
      <c r="CD100" s="90" t="str">
        <f t="shared" ca="1" si="14"/>
        <v/>
      </c>
      <c r="CF100" s="90" t="str">
        <f ca="1">IF($CD100="","",IF(OFFSET(AV$55,'Intermediate Data'!$CD100,0)=-98,"Unknown",IF(OFFSET(AV$55,'Intermediate Data'!$CD100,0)=-99,"N/A",OFFSET(AV$55,'Intermediate Data'!$CD100,0))))</f>
        <v/>
      </c>
      <c r="CG100" s="90" t="str">
        <f ca="1">IF($CD100="","",IF(OFFSET(AW$55,'Intermediate Data'!$CD100,0)=-98,"",IF(OFFSET(AW$55,'Intermediate Data'!$CD100,0)=-99,"N/A",OFFSET(AW$55,'Intermediate Data'!$CD100,0))))</f>
        <v/>
      </c>
      <c r="CH100" s="90" t="str">
        <f ca="1">IF($CD100="","",IF(OFFSET(AX$55,'Intermediate Data'!$CD100,0)=-98,"Unknown",IF(OFFSET(AX$55,'Intermediate Data'!$CD100,0)=-99,"N/A",OFFSET(AX$55,'Intermediate Data'!$CD100,0))))</f>
        <v/>
      </c>
      <c r="CI100" s="125" t="str">
        <f ca="1">IF($CD100="","",IF(OFFSET(AY$55,'Intermediate Data'!$CD100,0)=-98,"Unknown",IF(OFFSET(AY$55,'Intermediate Data'!$CD100,0)=-99,"No spec",OFFSET(AY$55,'Intermediate Data'!$CD100,0))))</f>
        <v/>
      </c>
      <c r="CJ100" s="125" t="str">
        <f ca="1">IF($CD100="","",IF(OFFSET(AZ$55,'Intermediate Data'!$CD100,0)=-98,"Unknown",IF(OFFSET(AZ$55,'Intermediate Data'!$CD100,0)=-99,"N/A",OFFSET(AZ$55,'Intermediate Data'!$CD100,0))))</f>
        <v/>
      </c>
      <c r="CK100" s="90" t="str">
        <f ca="1">IF($CD100="","",IF(OFFSET(BA$55,'Intermediate Data'!$CD100,0)=-98,"Unknown",IF(OFFSET(BA$55,'Intermediate Data'!$CD100,0)=-99,"N/A",OFFSET(BA$55,'Intermediate Data'!$CD100,0))))</f>
        <v/>
      </c>
      <c r="CL100" s="90" t="str">
        <f ca="1">IF($CD100="","",IF(OFFSET(BB$55,'Intermediate Data'!$CD100,$AX$50)=-98,"Unknown",IF(OFFSET(BB$55,'Intermediate Data'!$CD100,$AX$50)="N/A","",OFFSET(BB$55,'Intermediate Data'!$CD100,$AX$50))))</f>
        <v/>
      </c>
      <c r="CM100" s="90" t="str">
        <f ca="1">IF($CD100="","",IF(OFFSET(BG$55,'Intermediate Data'!$CD100,0)="ET","ET",""))</f>
        <v/>
      </c>
      <c r="CN100" s="90" t="str">
        <f ca="1">IF($CD100="","",IF(OFFSET(BH$55,'Intermediate Data'!$CD100,$AX$50)=-98,"Unknown",IF(OFFSET(BH$55,'Intermediate Data'!$CD100,$AX$50)="N/A","",OFFSET(BH$55,'Intermediate Data'!$CD100,$AX$50))))</f>
        <v/>
      </c>
      <c r="CO100" s="90" t="str">
        <f ca="1">IF($CD100="","",IF(OFFSET(BM$55,'Intermediate Data'!$CD100,0)=-98,"Not published",IF(OFFSET(BM$55,'Intermediate Data'!$CD100,0)=-99,"No spec",OFFSET(BM$55,'Intermediate Data'!$CD100,0))))</f>
        <v/>
      </c>
      <c r="CP100" s="114" t="str">
        <f ca="1">IF($CD100="","",IF(OFFSET(BN$55,'Intermediate Data'!$CD100,0)=-98,"Unknown",IF(OFFSET(BN$55,'Intermediate Data'!$CD100,0)=-99,"N/A",OFFSET(BN$55,'Intermediate Data'!$CD100,0))))</f>
        <v/>
      </c>
      <c r="CQ100" s="114" t="str">
        <f ca="1">IF($CD100="","",IF(OFFSET(BO$55,'Intermediate Data'!$CD100,0)=-98,"Unknown",IF(OFFSET(BO$55,'Intermediate Data'!$CD100,0)=-99,"N/A",OFFSET(BO$55,'Intermediate Data'!$CD100,0))))</f>
        <v/>
      </c>
      <c r="CR100" s="114" t="str">
        <f ca="1">IF($CD100="","",IF(OFFSET(BP$55,'Intermediate Data'!$CD100,0)=-98,"Unknown",IF(OFFSET(BP$55,'Intermediate Data'!$CD100,0)=-99,"N/A",OFFSET(BP$55,'Intermediate Data'!$CD100,0))))</f>
        <v/>
      </c>
      <c r="CS100" s="114" t="str">
        <f ca="1">IF($CD100="","",IF(OFFSET(BQ$55,'Intermediate Data'!$CD100,0)=-98,"Unknown",IF(OFFSET(BQ$55,'Intermediate Data'!$CD100,0)=-99,"N/A",OFFSET(BQ$55,'Intermediate Data'!$CD100,0))))</f>
        <v/>
      </c>
      <c r="CT100" s="114" t="str">
        <f ca="1">IF($CD100="","",IF(OFFSET(BR$55,'Intermediate Data'!$CD100,0)=-98,"Unknown",IF(OFFSET(BR$55,'Intermediate Data'!$CD100,0)=-99,"N/A",OFFSET(BR$55,'Intermediate Data'!$CD100,0))))</f>
        <v/>
      </c>
      <c r="CU100" s="114" t="str">
        <f ca="1">IF($CD100="","",IF(OFFSET(BS$55,'Intermediate Data'!$CD100,0)=-98,"Unknown",IF(OFFSET(BS$55,'Intermediate Data'!$CD100,0)=-99,"N/A",OFFSET(BS$55,'Intermediate Data'!$CD100,0))))</f>
        <v/>
      </c>
      <c r="CV100" s="114" t="str">
        <f ca="1">IF($CD100="","",IF(OFFSET(BT$55,'Intermediate Data'!$CD100,0)=-98,"Unknown",IF(OFFSET(BT$55,'Intermediate Data'!$CD100,0)=-99,"N/A",OFFSET(BT$55,'Intermediate Data'!$CD100,0))))</f>
        <v/>
      </c>
      <c r="CW100" s="114" t="str">
        <f ca="1">IF($CD100="","",IF(OFFSET(BU$55,'Intermediate Data'!$CD100,0)=-98,"Unknown",IF(OFFSET(BU$55,'Intermediate Data'!$CD100,0)=-99,"N/A",OFFSET(BU$55,'Intermediate Data'!$CD100,0))))</f>
        <v/>
      </c>
      <c r="CX100" s="114" t="str">
        <f ca="1">IF($CD100="","",IF(OFFSET(BV$55,'Intermediate Data'!$CD100,0)=-98,"Unknown",IF(OFFSET(BV$55,'Intermediate Data'!$CD100,0)=-99,"N/A",OFFSET(BV$55,'Intermediate Data'!$CD100,0))))</f>
        <v/>
      </c>
      <c r="CY100" s="682" t="str">
        <f ca="1">IF($CD100="","",IF(OFFSET(BW$55,'Intermediate Data'!$CD100,0)=-98,"Unknown",IF(OFFSET(BW$55,'Intermediate Data'!$CD100,0)="N/A","",OFFSET(BW$55,'Intermediate Data'!$CD100,0))))</f>
        <v/>
      </c>
      <c r="CZ100" s="682" t="str">
        <f ca="1">IF($CD100="","",IF(OFFSET(BX$55,'Intermediate Data'!$CD100,0)=-98,"Unknown",IF(OFFSET(BX$55,'Intermediate Data'!$CD100,0)="N/A","",OFFSET(BX$55,'Intermediate Data'!$CD100,0))))</f>
        <v/>
      </c>
      <c r="DA100" s="682" t="str">
        <f ca="1">IF($CD100="","",IF(OFFSET(BY$55,'Intermediate Data'!$CD100,0)=-98,"Unknown",IF(OFFSET(BY$55,'Intermediate Data'!$CD100,0)="N/A","",OFFSET(BY$55,'Intermediate Data'!$CD100,0))))</f>
        <v/>
      </c>
      <c r="DB100" s="682" t="str">
        <f ca="1">IF($CD100="","",IF(OFFSET(BZ$55,'Intermediate Data'!$CD100,0)=-98,"Unknown",IF(OFFSET(BZ$55,'Intermediate Data'!$CD100,0)="N/A","",OFFSET(BZ$55,'Intermediate Data'!$CD100,0))))</f>
        <v/>
      </c>
    </row>
    <row r="101" spans="1:106" x14ac:dyDescent="0.2">
      <c r="A101" s="90">
        <f ca="1">IF(OFFSET(DATA!F50,0,$D$48)='Intermediate Data'!$E$48,IF(OR($E$49=$C$27,$E$48=$B$4),DATA!A50,IF($G$49=DATA!D50,DATA!A50,"")),"")</f>
        <v>46</v>
      </c>
      <c r="B101" s="90">
        <f ca="1">IF($A101="","",DATA!EH50)</f>
        <v>10</v>
      </c>
      <c r="C101" s="90" t="str">
        <f ca="1">IF($A101="","",DATA!B50)</f>
        <v>Waffle maker</v>
      </c>
      <c r="D101" s="90">
        <f ca="1">IF($A101="","",OFFSET(DATA!$H50,0,($D$50*5)))</f>
        <v>-99</v>
      </c>
      <c r="E101" s="90">
        <f ca="1">IF($A101="","",OFFSET(DATA!$H50,0,($D$50*5)+1))</f>
        <v>-99</v>
      </c>
      <c r="F101" s="90">
        <f ca="1">IF($A101="","",OFFSET(DATA!$H50,0,($D$50*5)+2))</f>
        <v>-99</v>
      </c>
      <c r="G101" s="90">
        <f ca="1">IF($A101="","",OFFSET(DATA!$H50,0,($D$50*5)+3))</f>
        <v>-99</v>
      </c>
      <c r="H101" s="90">
        <f ca="1">IF($A101="","",OFFSET(DATA!$H50,0,($D$50*5)+4))</f>
        <v>-99</v>
      </c>
      <c r="I101" s="90">
        <f t="shared" ca="1" si="2"/>
        <v>-99</v>
      </c>
      <c r="J101" s="90" t="str">
        <f t="shared" ca="1" si="3"/>
        <v/>
      </c>
      <c r="K101" s="90">
        <f ca="1">IF($A101="","",OFFSET(DATA!$AG50,0,($D$50*5)))</f>
        <v>-99</v>
      </c>
      <c r="L101" s="90">
        <f ca="1">IF($A101="","",OFFSET(DATA!$AG50,0,($D$50*5)+1))</f>
        <v>-99</v>
      </c>
      <c r="M101" s="90">
        <f ca="1">IF($A101="","",OFFSET(DATA!$AG50,0,($D$50*5)+2))</f>
        <v>-99</v>
      </c>
      <c r="N101" s="90">
        <f ca="1">IF($A101="","",OFFSET(DATA!$AG50,0,($D$50*5)+3))</f>
        <v>-99</v>
      </c>
      <c r="O101" s="90">
        <f ca="1">IF($A101="","",OFFSET(DATA!$AG50,0,($D$50*5)+4))</f>
        <v>-99</v>
      </c>
      <c r="P101" s="90">
        <f t="shared" ca="1" si="4"/>
        <v>-99</v>
      </c>
      <c r="Q101" s="90" t="str">
        <f t="shared" ca="1" si="5"/>
        <v/>
      </c>
      <c r="R101" s="699">
        <f ca="1">IF($A101="","",IF(DATA!BF50="",-99,DATA!BF50))</f>
        <v>-99</v>
      </c>
      <c r="S101" s="90">
        <f ca="1">IF($A101="","",IF(DATA!BG50="",-99,DATA!BF50-DATA!BG50))</f>
        <v>-99</v>
      </c>
      <c r="T101" s="90">
        <f ca="1">IF($A101="","",DATA!BH50)</f>
        <v>-99</v>
      </c>
      <c r="U101" s="90">
        <f ca="1">IF($A101="","",OFFSET(DATA!BM50,0,$D$48))</f>
        <v>-99</v>
      </c>
      <c r="V101" s="90">
        <f t="shared" ca="1" si="15"/>
        <v>10</v>
      </c>
      <c r="W101" s="99">
        <f t="shared" ca="1" si="7"/>
        <v>9.99988120101</v>
      </c>
      <c r="X101" s="112">
        <f t="shared" ca="1" si="8"/>
        <v>87.999946551850698</v>
      </c>
      <c r="Y101" s="90">
        <f t="shared" ca="1" si="9"/>
        <v>17</v>
      </c>
      <c r="AA101" s="90" t="str">
        <f ca="1">IF($Y101="","",IF(OFFSET(C$55,'Intermediate Data'!$Y101,0)=-98,"Unknown",IF(OFFSET(C$55,'Intermediate Data'!$Y101,0)=-99,"N/A",OFFSET(C$55,'Intermediate Data'!$Y101,0))))</f>
        <v>Furnace - Fan</v>
      </c>
      <c r="AB101" s="90">
        <f ca="1">IF($Y101="","",IF(OFFSET(D$55,'Intermediate Data'!$Y101,0)=-98,"N/A",IF(OFFSET(D$55,'Intermediate Data'!$Y101,0)=-99,"N/A",OFFSET(D$55,'Intermediate Data'!$Y101,0))))</f>
        <v>0.58269199999999999</v>
      </c>
      <c r="AC101" s="90">
        <f ca="1">IF($Y101="","",IF(OFFSET(E$55,'Intermediate Data'!$Y101,0)=-98,"N/A",IF(OFFSET(E$55,'Intermediate Data'!$Y101,0)=-99,"N/A",OFFSET(E$55,'Intermediate Data'!$Y101,0))))</f>
        <v>0.67590187079030495</v>
      </c>
      <c r="AD101" s="90">
        <f ca="1">IF($Y101="","",IF(OFFSET(F$55,'Intermediate Data'!$Y101,0)=-98,"N/A",IF(OFFSET(F$55,'Intermediate Data'!$Y101,0)=-99,"N/A",OFFSET(F$55,'Intermediate Data'!$Y101,0))))</f>
        <v>0.69460800000000011</v>
      </c>
      <c r="AE101" s="90">
        <f ca="1">IF($Y101="","",IF(OFFSET(G$55,'Intermediate Data'!$Y101,0)=-98,"N/A",IF(OFFSET(G$55,'Intermediate Data'!$Y101,0)=-99,"N/A",OFFSET(G$55,'Intermediate Data'!$Y101,0))))</f>
        <v>0.76206924418829702</v>
      </c>
      <c r="AF101" s="90">
        <f ca="1">IF($Y101="","",IF(OFFSET(H$55,'Intermediate Data'!$Y101,0)=-98,"N/A",IF(OFFSET(H$55,'Intermediate Data'!$Y101,0)=-99,"N/A",OFFSET(H$55,'Intermediate Data'!$Y101,0))))</f>
        <v>0.68936399999999998</v>
      </c>
      <c r="AG101" s="90">
        <f ca="1">IF($Y101="","",IF(OFFSET(I$55,'Intermediate Data'!$Y101,0)=-98,"N/A",IF(OFFSET(I$55,'Intermediate Data'!$Y101,0)=-99,"N/A",OFFSET(I$55,'Intermediate Data'!$Y101,0))))</f>
        <v>0.68936399999999998</v>
      </c>
      <c r="AH101" s="90" t="str">
        <f ca="1">IF($Y101="","",IF(OFFSET(J$55,'Intermediate Data'!$Y101,0)=-98,"N/A",IF(OFFSET(J$55,'Intermediate Data'!$Y101,0)=-99,"N/A",OFFSET(J$55,'Intermediate Data'!$Y101,0))))</f>
        <v>CLASS</v>
      </c>
      <c r="AI101" s="90" t="str">
        <f ca="1">IF($Y101="","",IF(OFFSET(K$55,'Intermediate Data'!$Y101,0)=-98,"N/A",IF(OFFSET(K$55,'Intermediate Data'!$Y101,0)=-99,"N/A",OFFSET(K$55,'Intermediate Data'!$Y101,0))))</f>
        <v>N/A</v>
      </c>
      <c r="AJ101" s="90" t="str">
        <f ca="1">IF($Y101="","",IF(OFFSET(L$55,'Intermediate Data'!$Y101,0)=-98,"N/A",IF(OFFSET(L$55,'Intermediate Data'!$Y101,0)=-99,"N/A",OFFSET(L$55,'Intermediate Data'!$Y101,0))))</f>
        <v>N/A</v>
      </c>
      <c r="AK101" s="90" t="str">
        <f ca="1">IF($Y101="","",IF(OFFSET(M$55,'Intermediate Data'!$Y101,0)=-98,"N/A",IF(OFFSET(M$55,'Intermediate Data'!$Y101,0)=-99,"N/A",OFFSET(M$55,'Intermediate Data'!$Y101,0))))</f>
        <v>N/A</v>
      </c>
      <c r="AL101" s="90" t="str">
        <f ca="1">IF($Y101="","",IF(OFFSET(N$55,'Intermediate Data'!$Y101,0)=-98,"N/A",IF(OFFSET(N$55,'Intermediate Data'!$Y101,0)=-99,"N/A",OFFSET(N$55,'Intermediate Data'!$Y101,0))))</f>
        <v>N/A</v>
      </c>
      <c r="AM101" s="90" t="str">
        <f ca="1">IF($Y101="","",IF(OFFSET(O$55,'Intermediate Data'!$Y101,0)=-98,"N/A",IF(OFFSET(O$55,'Intermediate Data'!$Y101,0)=-99,"N/A",OFFSET(O$55,'Intermediate Data'!$Y101,0))))</f>
        <v>N/A</v>
      </c>
      <c r="AN101" s="90" t="str">
        <f ca="1">IF($Y101="","",IF(OFFSET(P$55,'Intermediate Data'!$Y101,0)=-98,"N/A",IF(OFFSET(P$55,'Intermediate Data'!$Y101,0)=-99,"N/A",OFFSET(P$55,'Intermediate Data'!$Y101,0))))</f>
        <v>N/A</v>
      </c>
      <c r="AO101" s="90" t="str">
        <f ca="1">IF($Y101="","",IF(OFFSET(Q$55,'Intermediate Data'!$Y101,0)=-98,"N/A",IF(OFFSET(Q$55,'Intermediate Data'!$Y101,0)=-99,"N/A",OFFSET(Q$55,'Intermediate Data'!$Y101,0))))</f>
        <v/>
      </c>
      <c r="AP101" s="697" t="str">
        <f ca="1">IF($Y101="","",IF(OFFSET(S$55,'Intermediate Data'!$Y101,0)=-98,"",IF(OFFSET(S$55,'Intermediate Data'!$Y101,0)=-99,"",OFFSET(S$55,'Intermediate Data'!$Y101,0))))</f>
        <v/>
      </c>
      <c r="AQ101" s="90" t="str">
        <f ca="1">IF($Y101="","",IF(OFFSET(T$55,'Intermediate Data'!$Y101,0)=-98,"Not published",IF(OFFSET(T$55,'Intermediate Data'!$Y101,0)=-99,"",OFFSET(T$55,'Intermediate Data'!$Y101,0))))</f>
        <v>Not published</v>
      </c>
      <c r="AR101" s="90">
        <f ca="1">IF($Y101="","",IF(OFFSET(U$55,'Intermediate Data'!$Y101,0)=-98,"Unknown",IF(OFFSET(U$55,'Intermediate Data'!$Y101,0)=-99,"",OFFSET(U$55,'Intermediate Data'!$Y101,0))))</f>
        <v>55</v>
      </c>
      <c r="AU101" s="112" t="str">
        <f ca="1">IF(AND(OFFSET(DATA!$F50,0,$AX$48)='Intermediate Data'!$AY$48,DATA!$E50="Tier 1"),IF(OR($AX$49=0,$AX$48=1),DATA!A50,IF(AND($AX$49=1,INDEX('Intermediate Data'!$AY$25:$AY$44,MATCH(DATA!$B50,'Intermediate Data'!$AX$25:$AX$44,0))=TRUE),DATA!A50,"")),"")</f>
        <v/>
      </c>
      <c r="AV101" s="112" t="str">
        <f ca="1">IF($AU101="","",DATA!B50)</f>
        <v/>
      </c>
      <c r="AW101" s="112" t="str">
        <f ca="1">IF(OR($AU101="",DATA!BI50=""),"",DATA!BI50)</f>
        <v/>
      </c>
      <c r="AX101" s="112" t="str">
        <f ca="1">IF(OR($AU101="",OFFSET(DATA!BK50,0,$AX$48)=""),"",OFFSET(DATA!BK50,0,$AX$48))</f>
        <v/>
      </c>
      <c r="AY101" s="112" t="str">
        <f ca="1">IF(OR($AU101="",OFFSET(DATA!BM50,0,$AX$48)=""),"",OFFSET(DATA!BM50,0,$AX$48))</f>
        <v/>
      </c>
      <c r="AZ101" s="112" t="str">
        <f ca="1">IF(OR($AU101="",OFFSET(DATA!BO50,0,'Intermediate Data'!$AX$48)=""),"",OFFSET(DATA!BO50,0,$AX$48))</f>
        <v/>
      </c>
      <c r="BA101" s="112" t="str">
        <f ca="1">IF(OR($AU101="",DATA!BQ50=""),"",DATA!BQ50)</f>
        <v/>
      </c>
      <c r="BB101" s="112" t="str">
        <f ca="1">IF($AU101="","",OFFSET(DATA!BS50,0,$AX$48))</f>
        <v/>
      </c>
      <c r="BC101" s="112" t="str">
        <f ca="1">IF($AU101="","",OFFSET(DATA!BU50,0,$AX$48))</f>
        <v/>
      </c>
      <c r="BD101" s="112" t="str">
        <f ca="1">IF($AU101="","",OFFSET(DATA!BW50,0,$AX$48))</f>
        <v/>
      </c>
      <c r="BE101" s="112" t="str">
        <f ca="1">IF($AU101="","",OFFSET(DATA!BY50,0,$AX$48))</f>
        <v/>
      </c>
      <c r="BF101" s="112" t="str">
        <f ca="1">IF($AU101="","",OFFSET(DATA!CA50,0,$AX$48))</f>
        <v/>
      </c>
      <c r="BG101" s="112" t="str">
        <f ca="1">IF($AU101="","",DATA!CC50)</f>
        <v/>
      </c>
      <c r="BH101" s="112" t="str">
        <f ca="1">IF($AU101="","",OFFSET(DATA!CE50,0,$AX$48))</f>
        <v/>
      </c>
      <c r="BI101" s="112" t="str">
        <f ca="1">IF($AU101="","",OFFSET(DATA!CG50,0,$AX$48))</f>
        <v/>
      </c>
      <c r="BJ101" s="112" t="str">
        <f ca="1">IF($AU101="","",OFFSET(DATA!CI50,0,$AX$48))</f>
        <v/>
      </c>
      <c r="BK101" s="112" t="str">
        <f ca="1">IF($AU101="","",OFFSET(DATA!CK50,0,$AX$48))</f>
        <v/>
      </c>
      <c r="BL101" s="112" t="str">
        <f ca="1">IF($AU101="","",OFFSET(DATA!CM50,0,$AX$48))</f>
        <v/>
      </c>
      <c r="BM101" s="112" t="str">
        <f ca="1">IF($AU101="","",DATA!BH50)</f>
        <v/>
      </c>
      <c r="BN101" s="112" t="str">
        <f ca="1">IF($AU101="","",DATA!DS50)</f>
        <v/>
      </c>
      <c r="BO101" s="112" t="str">
        <f ca="1">IF($AU101="","",DATA!DU50)</f>
        <v/>
      </c>
      <c r="BP101" s="112" t="str">
        <f ca="1">IF($AU101="","",DATA!DV50)</f>
        <v/>
      </c>
      <c r="BQ101" s="112" t="str">
        <f ca="1">IF($AU101="","",DATA!DX50)</f>
        <v/>
      </c>
      <c r="BR101" s="112" t="str">
        <f ca="1">IF($AU101="","",DATA!DZ50)</f>
        <v/>
      </c>
      <c r="BS101" s="171" t="str">
        <f ca="1">IF($AU101="","",DATA!EA50)</f>
        <v/>
      </c>
      <c r="BT101" s="171" t="str">
        <f ca="1">IF($AU101="","",DATA!EC50)</f>
        <v/>
      </c>
      <c r="BU101" s="171" t="str">
        <f ca="1">IF($AU101="","",DATA!EF50)</f>
        <v/>
      </c>
      <c r="BV101" s="113" t="str">
        <f t="shared" ca="1" si="10"/>
        <v/>
      </c>
      <c r="BW101" s="680" t="str">
        <f ca="1">IF(AU101="","",OFFSET(DATA!DC50,0,'Intermediate Data'!$AX$48))</f>
        <v/>
      </c>
      <c r="BX101" s="681" t="str">
        <f ca="1">IF($AU101="","",DATA!DG50)</f>
        <v/>
      </c>
      <c r="BY101" s="680" t="str">
        <f ca="1">IF($AU101="","",OFFSET(DATA!DE50,0,'Intermediate Data'!$AX$48))</f>
        <v/>
      </c>
      <c r="BZ101" s="681" t="str">
        <f ca="1">IF($AU101="","",DATA!DH50)</f>
        <v/>
      </c>
      <c r="CA101" s="90" t="str">
        <f t="shared" ca="1" si="11"/>
        <v/>
      </c>
      <c r="CB101" s="99" t="str">
        <f t="shared" ca="1" si="12"/>
        <v/>
      </c>
      <c r="CC101" s="90" t="str">
        <f t="shared" ca="1" si="13"/>
        <v/>
      </c>
      <c r="CD101" s="90" t="str">
        <f t="shared" ca="1" si="14"/>
        <v/>
      </c>
      <c r="CF101" s="90" t="str">
        <f ca="1">IF($CD101="","",IF(OFFSET(AV$55,'Intermediate Data'!$CD101,0)=-98,"Unknown",IF(OFFSET(AV$55,'Intermediate Data'!$CD101,0)=-99,"N/A",OFFSET(AV$55,'Intermediate Data'!$CD101,0))))</f>
        <v/>
      </c>
      <c r="CG101" s="90" t="str">
        <f ca="1">IF($CD101="","",IF(OFFSET(AW$55,'Intermediate Data'!$CD101,0)=-98,"",IF(OFFSET(AW$55,'Intermediate Data'!$CD101,0)=-99,"N/A",OFFSET(AW$55,'Intermediate Data'!$CD101,0))))</f>
        <v/>
      </c>
      <c r="CH101" s="90" t="str">
        <f ca="1">IF($CD101="","",IF(OFFSET(AX$55,'Intermediate Data'!$CD101,0)=-98,"Unknown",IF(OFFSET(AX$55,'Intermediate Data'!$CD101,0)=-99,"N/A",OFFSET(AX$55,'Intermediate Data'!$CD101,0))))</f>
        <v/>
      </c>
      <c r="CI101" s="125" t="str">
        <f ca="1">IF($CD101="","",IF(OFFSET(AY$55,'Intermediate Data'!$CD101,0)=-98,"Unknown",IF(OFFSET(AY$55,'Intermediate Data'!$CD101,0)=-99,"No spec",OFFSET(AY$55,'Intermediate Data'!$CD101,0))))</f>
        <v/>
      </c>
      <c r="CJ101" s="125" t="str">
        <f ca="1">IF($CD101="","",IF(OFFSET(AZ$55,'Intermediate Data'!$CD101,0)=-98,"Unknown",IF(OFFSET(AZ$55,'Intermediate Data'!$CD101,0)=-99,"N/A",OFFSET(AZ$55,'Intermediate Data'!$CD101,0))))</f>
        <v/>
      </c>
      <c r="CK101" s="90" t="str">
        <f ca="1">IF($CD101="","",IF(OFFSET(BA$55,'Intermediate Data'!$CD101,0)=-98,"Unknown",IF(OFFSET(BA$55,'Intermediate Data'!$CD101,0)=-99,"N/A",OFFSET(BA$55,'Intermediate Data'!$CD101,0))))</f>
        <v/>
      </c>
      <c r="CL101" s="90" t="str">
        <f ca="1">IF($CD101="","",IF(OFFSET(BB$55,'Intermediate Data'!$CD101,$AX$50)=-98,"Unknown",IF(OFFSET(BB$55,'Intermediate Data'!$CD101,$AX$50)="N/A","",OFFSET(BB$55,'Intermediate Data'!$CD101,$AX$50))))</f>
        <v/>
      </c>
      <c r="CM101" s="90" t="str">
        <f ca="1">IF($CD101="","",IF(OFFSET(BG$55,'Intermediate Data'!$CD101,0)="ET","ET",""))</f>
        <v/>
      </c>
      <c r="CN101" s="90" t="str">
        <f ca="1">IF($CD101="","",IF(OFFSET(BH$55,'Intermediate Data'!$CD101,$AX$50)=-98,"Unknown",IF(OFFSET(BH$55,'Intermediate Data'!$CD101,$AX$50)="N/A","",OFFSET(BH$55,'Intermediate Data'!$CD101,$AX$50))))</f>
        <v/>
      </c>
      <c r="CO101" s="90" t="str">
        <f ca="1">IF($CD101="","",IF(OFFSET(BM$55,'Intermediate Data'!$CD101,0)=-98,"Not published",IF(OFFSET(BM$55,'Intermediate Data'!$CD101,0)=-99,"No spec",OFFSET(BM$55,'Intermediate Data'!$CD101,0))))</f>
        <v/>
      </c>
      <c r="CP101" s="114" t="str">
        <f ca="1">IF($CD101="","",IF(OFFSET(BN$55,'Intermediate Data'!$CD101,0)=-98,"Unknown",IF(OFFSET(BN$55,'Intermediate Data'!$CD101,0)=-99,"N/A",OFFSET(BN$55,'Intermediate Data'!$CD101,0))))</f>
        <v/>
      </c>
      <c r="CQ101" s="114" t="str">
        <f ca="1">IF($CD101="","",IF(OFFSET(BO$55,'Intermediate Data'!$CD101,0)=-98,"Unknown",IF(OFFSET(BO$55,'Intermediate Data'!$CD101,0)=-99,"N/A",OFFSET(BO$55,'Intermediate Data'!$CD101,0))))</f>
        <v/>
      </c>
      <c r="CR101" s="114" t="str">
        <f ca="1">IF($CD101="","",IF(OFFSET(BP$55,'Intermediate Data'!$CD101,0)=-98,"Unknown",IF(OFFSET(BP$55,'Intermediate Data'!$CD101,0)=-99,"N/A",OFFSET(BP$55,'Intermediate Data'!$CD101,0))))</f>
        <v/>
      </c>
      <c r="CS101" s="114" t="str">
        <f ca="1">IF($CD101="","",IF(OFFSET(BQ$55,'Intermediate Data'!$CD101,0)=-98,"Unknown",IF(OFFSET(BQ$55,'Intermediate Data'!$CD101,0)=-99,"N/A",OFFSET(BQ$55,'Intermediate Data'!$CD101,0))))</f>
        <v/>
      </c>
      <c r="CT101" s="114" t="str">
        <f ca="1">IF($CD101="","",IF(OFFSET(BR$55,'Intermediate Data'!$CD101,0)=-98,"Unknown",IF(OFFSET(BR$55,'Intermediate Data'!$CD101,0)=-99,"N/A",OFFSET(BR$55,'Intermediate Data'!$CD101,0))))</f>
        <v/>
      </c>
      <c r="CU101" s="114" t="str">
        <f ca="1">IF($CD101="","",IF(OFFSET(BS$55,'Intermediate Data'!$CD101,0)=-98,"Unknown",IF(OFFSET(BS$55,'Intermediate Data'!$CD101,0)=-99,"N/A",OFFSET(BS$55,'Intermediate Data'!$CD101,0))))</f>
        <v/>
      </c>
      <c r="CV101" s="114" t="str">
        <f ca="1">IF($CD101="","",IF(OFFSET(BT$55,'Intermediate Data'!$CD101,0)=-98,"Unknown",IF(OFFSET(BT$55,'Intermediate Data'!$CD101,0)=-99,"N/A",OFFSET(BT$55,'Intermediate Data'!$CD101,0))))</f>
        <v/>
      </c>
      <c r="CW101" s="114" t="str">
        <f ca="1">IF($CD101="","",IF(OFFSET(BU$55,'Intermediate Data'!$CD101,0)=-98,"Unknown",IF(OFFSET(BU$55,'Intermediate Data'!$CD101,0)=-99,"N/A",OFFSET(BU$55,'Intermediate Data'!$CD101,0))))</f>
        <v/>
      </c>
      <c r="CX101" s="114" t="str">
        <f ca="1">IF($CD101="","",IF(OFFSET(BV$55,'Intermediate Data'!$CD101,0)=-98,"Unknown",IF(OFFSET(BV$55,'Intermediate Data'!$CD101,0)=-99,"N/A",OFFSET(BV$55,'Intermediate Data'!$CD101,0))))</f>
        <v/>
      </c>
      <c r="CY101" s="682" t="str">
        <f ca="1">IF($CD101="","",IF(OFFSET(BW$55,'Intermediate Data'!$CD101,0)=-98,"Unknown",IF(OFFSET(BW$55,'Intermediate Data'!$CD101,0)="N/A","",OFFSET(BW$55,'Intermediate Data'!$CD101,0))))</f>
        <v/>
      </c>
      <c r="CZ101" s="682" t="str">
        <f ca="1">IF($CD101="","",IF(OFFSET(BX$55,'Intermediate Data'!$CD101,0)=-98,"Unknown",IF(OFFSET(BX$55,'Intermediate Data'!$CD101,0)="N/A","",OFFSET(BX$55,'Intermediate Data'!$CD101,0))))</f>
        <v/>
      </c>
      <c r="DA101" s="682" t="str">
        <f ca="1">IF($CD101="","",IF(OFFSET(BY$55,'Intermediate Data'!$CD101,0)=-98,"Unknown",IF(OFFSET(BY$55,'Intermediate Data'!$CD101,0)="N/A","",OFFSET(BY$55,'Intermediate Data'!$CD101,0))))</f>
        <v/>
      </c>
      <c r="DB101" s="682" t="str">
        <f ca="1">IF($CD101="","",IF(OFFSET(BZ$55,'Intermediate Data'!$CD101,0)=-98,"Unknown",IF(OFFSET(BZ$55,'Intermediate Data'!$CD101,0)="N/A","",OFFSET(BZ$55,'Intermediate Data'!$CD101,0))))</f>
        <v/>
      </c>
    </row>
    <row r="102" spans="1:106" x14ac:dyDescent="0.2">
      <c r="A102" s="90">
        <f ca="1">IF(OFFSET(DATA!F51,0,$D$48)='Intermediate Data'!$E$48,IF(OR($E$49=$C$27,$E$48=$B$4),DATA!A51,IF($G$49=DATA!D51,DATA!A51,"")),"")</f>
        <v>47</v>
      </c>
      <c r="B102" s="90">
        <f ca="1">IF($A102="","",DATA!EH51)</f>
        <v>9</v>
      </c>
      <c r="C102" s="90" t="str">
        <f ca="1">IF($A102="","",DATA!B51)</f>
        <v>Warmer - Baby bottle/Food</v>
      </c>
      <c r="D102" s="90">
        <f ca="1">IF($A102="","",OFFSET(DATA!$H51,0,($D$50*5)))</f>
        <v>-99</v>
      </c>
      <c r="E102" s="90">
        <f ca="1">IF($A102="","",OFFSET(DATA!$H51,0,($D$50*5)+1))</f>
        <v>-99</v>
      </c>
      <c r="F102" s="90">
        <f ca="1">IF($A102="","",OFFSET(DATA!$H51,0,($D$50*5)+2))</f>
        <v>-99</v>
      </c>
      <c r="G102" s="90">
        <f ca="1">IF($A102="","",OFFSET(DATA!$H51,0,($D$50*5)+3))</f>
        <v>-99</v>
      </c>
      <c r="H102" s="90">
        <f ca="1">IF($A102="","",OFFSET(DATA!$H51,0,($D$50*5)+4))</f>
        <v>-99</v>
      </c>
      <c r="I102" s="90">
        <f t="shared" ca="1" si="2"/>
        <v>-99</v>
      </c>
      <c r="J102" s="90" t="str">
        <f t="shared" ca="1" si="3"/>
        <v/>
      </c>
      <c r="K102" s="90">
        <f ca="1">IF($A102="","",OFFSET(DATA!$AG51,0,($D$50*5)))</f>
        <v>-99</v>
      </c>
      <c r="L102" s="90">
        <f ca="1">IF($A102="","",OFFSET(DATA!$AG51,0,($D$50*5)+1))</f>
        <v>-99</v>
      </c>
      <c r="M102" s="90">
        <f ca="1">IF($A102="","",OFFSET(DATA!$AG51,0,($D$50*5)+2))</f>
        <v>-99</v>
      </c>
      <c r="N102" s="90">
        <f ca="1">IF($A102="","",OFFSET(DATA!$AG51,0,($D$50*5)+3))</f>
        <v>-99</v>
      </c>
      <c r="O102" s="90">
        <f ca="1">IF($A102="","",OFFSET(DATA!$AG51,0,($D$50*5)+4))</f>
        <v>-99</v>
      </c>
      <c r="P102" s="90">
        <f t="shared" ca="1" si="4"/>
        <v>-99</v>
      </c>
      <c r="Q102" s="90" t="str">
        <f t="shared" ca="1" si="5"/>
        <v/>
      </c>
      <c r="R102" s="699">
        <f ca="1">IF($A102="","",IF(DATA!BF51="",-99,DATA!BF51))</f>
        <v>-99</v>
      </c>
      <c r="S102" s="90">
        <f ca="1">IF($A102="","",IF(DATA!BG51="",-99,DATA!BF51-DATA!BG51))</f>
        <v>-99</v>
      </c>
      <c r="T102" s="90">
        <f ca="1">IF($A102="","",DATA!BH51)</f>
        <v>-99</v>
      </c>
      <c r="U102" s="90">
        <f ca="1">IF($A102="","",OFFSET(DATA!BM51,0,$D$48))</f>
        <v>-99</v>
      </c>
      <c r="V102" s="90">
        <f t="shared" ca="1" si="15"/>
        <v>9</v>
      </c>
      <c r="W102" s="99">
        <f t="shared" ca="1" si="7"/>
        <v>8.9998812010200009</v>
      </c>
      <c r="X102" s="112">
        <f t="shared" ca="1" si="8"/>
        <v>86.999920952720814</v>
      </c>
      <c r="Y102" s="90">
        <f t="shared" ca="1" si="9"/>
        <v>51</v>
      </c>
      <c r="AA102" s="90" t="str">
        <f ca="1">IF($Y102="","",IF(OFFSET(C$55,'Intermediate Data'!$Y102,0)=-98,"Unknown",IF(OFFSET(C$55,'Intermediate Data'!$Y102,0)=-99,"N/A",OFFSET(C$55,'Intermediate Data'!$Y102,0))))</f>
        <v>Game console</v>
      </c>
      <c r="AB102" s="90" t="str">
        <f ca="1">IF($Y102="","",IF(OFFSET(D$55,'Intermediate Data'!$Y102,0)=-98,"N/A",IF(OFFSET(D$55,'Intermediate Data'!$Y102,0)=-99,"N/A",OFFSET(D$55,'Intermediate Data'!$Y102,0))))</f>
        <v>N/A</v>
      </c>
      <c r="AC102" s="90" t="str">
        <f ca="1">IF($Y102="","",IF(OFFSET(E$55,'Intermediate Data'!$Y102,0)=-98,"N/A",IF(OFFSET(E$55,'Intermediate Data'!$Y102,0)=-99,"N/A",OFFSET(E$55,'Intermediate Data'!$Y102,0))))</f>
        <v>N/A</v>
      </c>
      <c r="AD102" s="90" t="str">
        <f ca="1">IF($Y102="","",IF(OFFSET(F$55,'Intermediate Data'!$Y102,0)=-98,"N/A",IF(OFFSET(F$55,'Intermediate Data'!$Y102,0)=-99,"N/A",OFFSET(F$55,'Intermediate Data'!$Y102,0))))</f>
        <v>N/A</v>
      </c>
      <c r="AE102" s="90">
        <f ca="1">IF($Y102="","",IF(OFFSET(G$55,'Intermediate Data'!$Y102,0)=-98,"N/A",IF(OFFSET(G$55,'Intermediate Data'!$Y102,0)=-99,"N/A",OFFSET(G$55,'Intermediate Data'!$Y102,0))))</f>
        <v>0.29154011697021659</v>
      </c>
      <c r="AF102" s="90">
        <f ca="1">IF($Y102="","",IF(OFFSET(H$55,'Intermediate Data'!$Y102,0)=-98,"N/A",IF(OFFSET(H$55,'Intermediate Data'!$Y102,0)=-99,"N/A",OFFSET(H$55,'Intermediate Data'!$Y102,0))))</f>
        <v>0.37703399999999998</v>
      </c>
      <c r="AG102" s="90">
        <f ca="1">IF($Y102="","",IF(OFFSET(I$55,'Intermediate Data'!$Y102,0)=-98,"N/A",IF(OFFSET(I$55,'Intermediate Data'!$Y102,0)=-99,"N/A",OFFSET(I$55,'Intermediate Data'!$Y102,0))))</f>
        <v>0.37703399999999998</v>
      </c>
      <c r="AH102" s="90" t="str">
        <f ca="1">IF($Y102="","",IF(OFFSET(J$55,'Intermediate Data'!$Y102,0)=-98,"N/A",IF(OFFSET(J$55,'Intermediate Data'!$Y102,0)=-99,"N/A",OFFSET(J$55,'Intermediate Data'!$Y102,0))))</f>
        <v>CLASS</v>
      </c>
      <c r="AI102" s="90" t="str">
        <f ca="1">IF($Y102="","",IF(OFFSET(K$55,'Intermediate Data'!$Y102,0)=-98,"N/A",IF(OFFSET(K$55,'Intermediate Data'!$Y102,0)=-99,"N/A",OFFSET(K$55,'Intermediate Data'!$Y102,0))))</f>
        <v>N/A</v>
      </c>
      <c r="AJ102" s="90" t="str">
        <f ca="1">IF($Y102="","",IF(OFFSET(L$55,'Intermediate Data'!$Y102,0)=-98,"N/A",IF(OFFSET(L$55,'Intermediate Data'!$Y102,0)=-99,"N/A",OFFSET(L$55,'Intermediate Data'!$Y102,0))))</f>
        <v>N/A</v>
      </c>
      <c r="AK102" s="90" t="str">
        <f ca="1">IF($Y102="","",IF(OFFSET(M$55,'Intermediate Data'!$Y102,0)=-98,"N/A",IF(OFFSET(M$55,'Intermediate Data'!$Y102,0)=-99,"N/A",OFFSET(M$55,'Intermediate Data'!$Y102,0))))</f>
        <v>N/A</v>
      </c>
      <c r="AL102" s="90" t="str">
        <f ca="1">IF($Y102="","",IF(OFFSET(N$55,'Intermediate Data'!$Y102,0)=-98,"N/A",IF(OFFSET(N$55,'Intermediate Data'!$Y102,0)=-99,"N/A",OFFSET(N$55,'Intermediate Data'!$Y102,0))))</f>
        <v>N/A</v>
      </c>
      <c r="AM102" s="90">
        <f ca="1">IF($Y102="","",IF(OFFSET(O$55,'Intermediate Data'!$Y102,0)=-98,"N/A",IF(OFFSET(O$55,'Intermediate Data'!$Y102,0)=-99,"N/A",OFFSET(O$55,'Intermediate Data'!$Y102,0))))</f>
        <v>0.47099999999999997</v>
      </c>
      <c r="AN102" s="90">
        <f ca="1">IF($Y102="","",IF(OFFSET(P$55,'Intermediate Data'!$Y102,0)=-98,"N/A",IF(OFFSET(P$55,'Intermediate Data'!$Y102,0)=-99,"N/A",OFFSET(P$55,'Intermediate Data'!$Y102,0))))</f>
        <v>0.47099999999999997</v>
      </c>
      <c r="AO102" s="90" t="str">
        <f ca="1">IF($Y102="","",IF(OFFSET(Q$55,'Intermediate Data'!$Y102,0)=-98,"N/A",IF(OFFSET(Q$55,'Intermediate Data'!$Y102,0)=-99,"N/A",OFFSET(Q$55,'Intermediate Data'!$Y102,0))))</f>
        <v>CLASS</v>
      </c>
      <c r="AP102" s="697" t="str">
        <f ca="1">IF($Y102="","",IF(OFFSET(S$55,'Intermediate Data'!$Y102,0)=-98,"",IF(OFFSET(S$55,'Intermediate Data'!$Y102,0)=-99,"",OFFSET(S$55,'Intermediate Data'!$Y102,0))))</f>
        <v/>
      </c>
      <c r="AQ102" s="90" t="str">
        <f ca="1">IF($Y102="","",IF(OFFSET(T$55,'Intermediate Data'!$Y102,0)=-98,"Not published",IF(OFFSET(T$55,'Intermediate Data'!$Y102,0)=-99,"",OFFSET(T$55,'Intermediate Data'!$Y102,0))))</f>
        <v/>
      </c>
      <c r="AR102" s="90" t="str">
        <f ca="1">IF($Y102="","",IF(OFFSET(U$55,'Intermediate Data'!$Y102,0)=-98,"Unknown",IF(OFFSET(U$55,'Intermediate Data'!$Y102,0)=-99,"",OFFSET(U$55,'Intermediate Data'!$Y102,0))))</f>
        <v/>
      </c>
      <c r="AU102" s="112" t="str">
        <f ca="1">IF(AND(OFFSET(DATA!$F51,0,$AX$48)='Intermediate Data'!$AY$48,DATA!$E51="Tier 1"),IF(OR($AX$49=0,$AX$48=1),DATA!A51,IF(AND($AX$49=1,INDEX('Intermediate Data'!$AY$25:$AY$44,MATCH(DATA!$B51,'Intermediate Data'!$AX$25:$AX$44,0))=TRUE),DATA!A51,"")),"")</f>
        <v/>
      </c>
      <c r="AV102" s="112" t="str">
        <f ca="1">IF($AU102="","",DATA!B51)</f>
        <v/>
      </c>
      <c r="AW102" s="112" t="str">
        <f ca="1">IF(OR($AU102="",DATA!BI51=""),"",DATA!BI51)</f>
        <v/>
      </c>
      <c r="AX102" s="112" t="str">
        <f ca="1">IF(OR($AU102="",OFFSET(DATA!BK51,0,$AX$48)=""),"",OFFSET(DATA!BK51,0,$AX$48))</f>
        <v/>
      </c>
      <c r="AY102" s="112" t="str">
        <f ca="1">IF(OR($AU102="",OFFSET(DATA!BM51,0,$AX$48)=""),"",OFFSET(DATA!BM51,0,$AX$48))</f>
        <v/>
      </c>
      <c r="AZ102" s="112" t="str">
        <f ca="1">IF(OR($AU102="",OFFSET(DATA!BO51,0,'Intermediate Data'!$AX$48)=""),"",OFFSET(DATA!BO51,0,$AX$48))</f>
        <v/>
      </c>
      <c r="BA102" s="112" t="str">
        <f ca="1">IF(OR($AU102="",DATA!BQ51=""),"",DATA!BQ51)</f>
        <v/>
      </c>
      <c r="BB102" s="112" t="str">
        <f ca="1">IF($AU102="","",OFFSET(DATA!BS51,0,$AX$48))</f>
        <v/>
      </c>
      <c r="BC102" s="112" t="str">
        <f ca="1">IF($AU102="","",OFFSET(DATA!BU51,0,$AX$48))</f>
        <v/>
      </c>
      <c r="BD102" s="112" t="str">
        <f ca="1">IF($AU102="","",OFFSET(DATA!BW51,0,$AX$48))</f>
        <v/>
      </c>
      <c r="BE102" s="112" t="str">
        <f ca="1">IF($AU102="","",OFFSET(DATA!BY51,0,$AX$48))</f>
        <v/>
      </c>
      <c r="BF102" s="112" t="str">
        <f ca="1">IF($AU102="","",OFFSET(DATA!CA51,0,$AX$48))</f>
        <v/>
      </c>
      <c r="BG102" s="112" t="str">
        <f ca="1">IF($AU102="","",DATA!CC51)</f>
        <v/>
      </c>
      <c r="BH102" s="112" t="str">
        <f ca="1">IF($AU102="","",OFFSET(DATA!CE51,0,$AX$48))</f>
        <v/>
      </c>
      <c r="BI102" s="112" t="str">
        <f ca="1">IF($AU102="","",OFFSET(DATA!CG51,0,$AX$48))</f>
        <v/>
      </c>
      <c r="BJ102" s="112" t="str">
        <f ca="1">IF($AU102="","",OFFSET(DATA!CI51,0,$AX$48))</f>
        <v/>
      </c>
      <c r="BK102" s="112" t="str">
        <f ca="1">IF($AU102="","",OFFSET(DATA!CK51,0,$AX$48))</f>
        <v/>
      </c>
      <c r="BL102" s="112" t="str">
        <f ca="1">IF($AU102="","",OFFSET(DATA!CM51,0,$AX$48))</f>
        <v/>
      </c>
      <c r="BM102" s="112" t="str">
        <f ca="1">IF($AU102="","",DATA!BH51)</f>
        <v/>
      </c>
      <c r="BN102" s="112" t="str">
        <f ca="1">IF($AU102="","",DATA!DS51)</f>
        <v/>
      </c>
      <c r="BO102" s="112" t="str">
        <f ca="1">IF($AU102="","",DATA!DU51)</f>
        <v/>
      </c>
      <c r="BP102" s="112" t="str">
        <f ca="1">IF($AU102="","",DATA!DV51)</f>
        <v/>
      </c>
      <c r="BQ102" s="112" t="str">
        <f ca="1">IF($AU102="","",DATA!DX51)</f>
        <v/>
      </c>
      <c r="BR102" s="112" t="str">
        <f ca="1">IF($AU102="","",DATA!DZ51)</f>
        <v/>
      </c>
      <c r="BS102" s="171" t="str">
        <f ca="1">IF($AU102="","",DATA!EA51)</f>
        <v/>
      </c>
      <c r="BT102" s="171" t="str">
        <f ca="1">IF($AU102="","",DATA!EC51)</f>
        <v/>
      </c>
      <c r="BU102" s="171" t="str">
        <f ca="1">IF($AU102="","",DATA!EF51)</f>
        <v/>
      </c>
      <c r="BV102" s="113" t="str">
        <f t="shared" ca="1" si="10"/>
        <v/>
      </c>
      <c r="BW102" s="680" t="str">
        <f ca="1">IF(AU102="","",OFFSET(DATA!DC51,0,'Intermediate Data'!$AX$48))</f>
        <v/>
      </c>
      <c r="BX102" s="681" t="str">
        <f ca="1">IF($AU102="","",DATA!DG51)</f>
        <v/>
      </c>
      <c r="BY102" s="680" t="str">
        <f ca="1">IF($AU102="","",OFFSET(DATA!DE51,0,'Intermediate Data'!$AX$48))</f>
        <v/>
      </c>
      <c r="BZ102" s="681" t="str">
        <f ca="1">IF($AU102="","",DATA!DH51)</f>
        <v/>
      </c>
      <c r="CA102" s="90" t="str">
        <f t="shared" ca="1" si="11"/>
        <v/>
      </c>
      <c r="CB102" s="99" t="str">
        <f t="shared" ca="1" si="12"/>
        <v/>
      </c>
      <c r="CC102" s="90" t="str">
        <f t="shared" ca="1" si="13"/>
        <v/>
      </c>
      <c r="CD102" s="90" t="str">
        <f t="shared" ca="1" si="14"/>
        <v/>
      </c>
      <c r="CF102" s="90" t="str">
        <f ca="1">IF($CD102="","",IF(OFFSET(AV$55,'Intermediate Data'!$CD102,0)=-98,"Unknown",IF(OFFSET(AV$55,'Intermediate Data'!$CD102,0)=-99,"N/A",OFFSET(AV$55,'Intermediate Data'!$CD102,0))))</f>
        <v/>
      </c>
      <c r="CG102" s="90" t="str">
        <f ca="1">IF($CD102="","",IF(OFFSET(AW$55,'Intermediate Data'!$CD102,0)=-98,"",IF(OFFSET(AW$55,'Intermediate Data'!$CD102,0)=-99,"N/A",OFFSET(AW$55,'Intermediate Data'!$CD102,0))))</f>
        <v/>
      </c>
      <c r="CH102" s="90" t="str">
        <f ca="1">IF($CD102="","",IF(OFFSET(AX$55,'Intermediate Data'!$CD102,0)=-98,"Unknown",IF(OFFSET(AX$55,'Intermediate Data'!$CD102,0)=-99,"N/A",OFFSET(AX$55,'Intermediate Data'!$CD102,0))))</f>
        <v/>
      </c>
      <c r="CI102" s="125" t="str">
        <f ca="1">IF($CD102="","",IF(OFFSET(AY$55,'Intermediate Data'!$CD102,0)=-98,"Unknown",IF(OFFSET(AY$55,'Intermediate Data'!$CD102,0)=-99,"No spec",OFFSET(AY$55,'Intermediate Data'!$CD102,0))))</f>
        <v/>
      </c>
      <c r="CJ102" s="125" t="str">
        <f ca="1">IF($CD102="","",IF(OFFSET(AZ$55,'Intermediate Data'!$CD102,0)=-98,"Unknown",IF(OFFSET(AZ$55,'Intermediate Data'!$CD102,0)=-99,"N/A",OFFSET(AZ$55,'Intermediate Data'!$CD102,0))))</f>
        <v/>
      </c>
      <c r="CK102" s="90" t="str">
        <f ca="1">IF($CD102="","",IF(OFFSET(BA$55,'Intermediate Data'!$CD102,0)=-98,"Unknown",IF(OFFSET(BA$55,'Intermediate Data'!$CD102,0)=-99,"N/A",OFFSET(BA$55,'Intermediate Data'!$CD102,0))))</f>
        <v/>
      </c>
      <c r="CL102" s="90" t="str">
        <f ca="1">IF($CD102="","",IF(OFFSET(BB$55,'Intermediate Data'!$CD102,$AX$50)=-98,"Unknown",IF(OFFSET(BB$55,'Intermediate Data'!$CD102,$AX$50)="N/A","",OFFSET(BB$55,'Intermediate Data'!$CD102,$AX$50))))</f>
        <v/>
      </c>
      <c r="CM102" s="90" t="str">
        <f ca="1">IF($CD102="","",IF(OFFSET(BG$55,'Intermediate Data'!$CD102,0)="ET","ET",""))</f>
        <v/>
      </c>
      <c r="CN102" s="90" t="str">
        <f ca="1">IF($CD102="","",IF(OFFSET(BH$55,'Intermediate Data'!$CD102,$AX$50)=-98,"Unknown",IF(OFFSET(BH$55,'Intermediate Data'!$CD102,$AX$50)="N/A","",OFFSET(BH$55,'Intermediate Data'!$CD102,$AX$50))))</f>
        <v/>
      </c>
      <c r="CO102" s="90" t="str">
        <f ca="1">IF($CD102="","",IF(OFFSET(BM$55,'Intermediate Data'!$CD102,0)=-98,"Not published",IF(OFFSET(BM$55,'Intermediate Data'!$CD102,0)=-99,"No spec",OFFSET(BM$55,'Intermediate Data'!$CD102,0))))</f>
        <v/>
      </c>
      <c r="CP102" s="114" t="str">
        <f ca="1">IF($CD102="","",IF(OFFSET(BN$55,'Intermediate Data'!$CD102,0)=-98,"Unknown",IF(OFFSET(BN$55,'Intermediate Data'!$CD102,0)=-99,"N/A",OFFSET(BN$55,'Intermediate Data'!$CD102,0))))</f>
        <v/>
      </c>
      <c r="CQ102" s="114" t="str">
        <f ca="1">IF($CD102="","",IF(OFFSET(BO$55,'Intermediate Data'!$CD102,0)=-98,"Unknown",IF(OFFSET(BO$55,'Intermediate Data'!$CD102,0)=-99,"N/A",OFFSET(BO$55,'Intermediate Data'!$CD102,0))))</f>
        <v/>
      </c>
      <c r="CR102" s="114" t="str">
        <f ca="1">IF($CD102="","",IF(OFFSET(BP$55,'Intermediate Data'!$CD102,0)=-98,"Unknown",IF(OFFSET(BP$55,'Intermediate Data'!$CD102,0)=-99,"N/A",OFFSET(BP$55,'Intermediate Data'!$CD102,0))))</f>
        <v/>
      </c>
      <c r="CS102" s="114" t="str">
        <f ca="1">IF($CD102="","",IF(OFFSET(BQ$55,'Intermediate Data'!$CD102,0)=-98,"Unknown",IF(OFFSET(BQ$55,'Intermediate Data'!$CD102,0)=-99,"N/A",OFFSET(BQ$55,'Intermediate Data'!$CD102,0))))</f>
        <v/>
      </c>
      <c r="CT102" s="114" t="str">
        <f ca="1">IF($CD102="","",IF(OFFSET(BR$55,'Intermediate Data'!$CD102,0)=-98,"Unknown",IF(OFFSET(BR$55,'Intermediate Data'!$CD102,0)=-99,"N/A",OFFSET(BR$55,'Intermediate Data'!$CD102,0))))</f>
        <v/>
      </c>
      <c r="CU102" s="114" t="str">
        <f ca="1">IF($CD102="","",IF(OFFSET(BS$55,'Intermediate Data'!$CD102,0)=-98,"Unknown",IF(OFFSET(BS$55,'Intermediate Data'!$CD102,0)=-99,"N/A",OFFSET(BS$55,'Intermediate Data'!$CD102,0))))</f>
        <v/>
      </c>
      <c r="CV102" s="114" t="str">
        <f ca="1">IF($CD102="","",IF(OFFSET(BT$55,'Intermediate Data'!$CD102,0)=-98,"Unknown",IF(OFFSET(BT$55,'Intermediate Data'!$CD102,0)=-99,"N/A",OFFSET(BT$55,'Intermediate Data'!$CD102,0))))</f>
        <v/>
      </c>
      <c r="CW102" s="114" t="str">
        <f ca="1">IF($CD102="","",IF(OFFSET(BU$55,'Intermediate Data'!$CD102,0)=-98,"Unknown",IF(OFFSET(BU$55,'Intermediate Data'!$CD102,0)=-99,"N/A",OFFSET(BU$55,'Intermediate Data'!$CD102,0))))</f>
        <v/>
      </c>
      <c r="CX102" s="114" t="str">
        <f ca="1">IF($CD102="","",IF(OFFSET(BV$55,'Intermediate Data'!$CD102,0)=-98,"Unknown",IF(OFFSET(BV$55,'Intermediate Data'!$CD102,0)=-99,"N/A",OFFSET(BV$55,'Intermediate Data'!$CD102,0))))</f>
        <v/>
      </c>
      <c r="CY102" s="682" t="str">
        <f ca="1">IF($CD102="","",IF(OFFSET(BW$55,'Intermediate Data'!$CD102,0)=-98,"Unknown",IF(OFFSET(BW$55,'Intermediate Data'!$CD102,0)="N/A","",OFFSET(BW$55,'Intermediate Data'!$CD102,0))))</f>
        <v/>
      </c>
      <c r="CZ102" s="682" t="str">
        <f ca="1">IF($CD102="","",IF(OFFSET(BX$55,'Intermediate Data'!$CD102,0)=-98,"Unknown",IF(OFFSET(BX$55,'Intermediate Data'!$CD102,0)="N/A","",OFFSET(BX$55,'Intermediate Data'!$CD102,0))))</f>
        <v/>
      </c>
      <c r="DA102" s="682" t="str">
        <f ca="1">IF($CD102="","",IF(OFFSET(BY$55,'Intermediate Data'!$CD102,0)=-98,"Unknown",IF(OFFSET(BY$55,'Intermediate Data'!$CD102,0)="N/A","",OFFSET(BY$55,'Intermediate Data'!$CD102,0))))</f>
        <v/>
      </c>
      <c r="DB102" s="682" t="str">
        <f ca="1">IF($CD102="","",IF(OFFSET(BZ$55,'Intermediate Data'!$CD102,0)=-98,"Unknown",IF(OFFSET(BZ$55,'Intermediate Data'!$CD102,0)="N/A","",OFFSET(BZ$55,'Intermediate Data'!$CD102,0))))</f>
        <v/>
      </c>
    </row>
    <row r="103" spans="1:106" x14ac:dyDescent="0.2">
      <c r="A103" s="90">
        <f ca="1">IF(OFFSET(DATA!F52,0,$D$48)='Intermediate Data'!$E$48,IF(OR($E$49=$C$27,$E$48=$B$4),DATA!A52,IF($G$49=DATA!D52,DATA!A52,"")),"")</f>
        <v>48</v>
      </c>
      <c r="B103" s="90">
        <f ca="1">IF($A103="","",DATA!EH52)</f>
        <v>60</v>
      </c>
      <c r="C103" s="90" t="str">
        <f ca="1">IF($A103="","",DATA!B52)</f>
        <v>Occupancy sensor</v>
      </c>
      <c r="D103" s="90">
        <f ca="1">IF($A103="","",OFFSET(DATA!$H52,0,($D$50*5)))</f>
        <v>-99</v>
      </c>
      <c r="E103" s="90">
        <f ca="1">IF($A103="","",OFFSET(DATA!$H52,0,($D$50*5)+1))</f>
        <v>-99</v>
      </c>
      <c r="F103" s="90">
        <f ca="1">IF($A103="","",OFFSET(DATA!$H52,0,($D$50*5)+2))</f>
        <v>-99</v>
      </c>
      <c r="G103" s="90">
        <f ca="1">IF($A103="","",OFFSET(DATA!$H52,0,($D$50*5)+3))</f>
        <v>-99</v>
      </c>
      <c r="H103" s="90">
        <f ca="1">IF($A103="","",OFFSET(DATA!$H52,0,($D$50*5)+4))</f>
        <v>-99</v>
      </c>
      <c r="I103" s="90">
        <f t="shared" ca="1" si="2"/>
        <v>-99</v>
      </c>
      <c r="J103" s="90" t="str">
        <f t="shared" ca="1" si="3"/>
        <v/>
      </c>
      <c r="K103" s="90">
        <f ca="1">IF($A103="","",OFFSET(DATA!$AG52,0,($D$50*5)))</f>
        <v>-99</v>
      </c>
      <c r="L103" s="90">
        <f ca="1">IF($A103="","",OFFSET(DATA!$AG52,0,($D$50*5)+1))</f>
        <v>-99</v>
      </c>
      <c r="M103" s="90">
        <f ca="1">IF($A103="","",OFFSET(DATA!$AG52,0,($D$50*5)+2))</f>
        <v>-99</v>
      </c>
      <c r="N103" s="90">
        <f ca="1">IF($A103="","",OFFSET(DATA!$AG52,0,($D$50*5)+3))</f>
        <v>-99</v>
      </c>
      <c r="O103" s="90">
        <f ca="1">IF($A103="","",OFFSET(DATA!$AG52,0,($D$50*5)+4))</f>
        <v>-99</v>
      </c>
      <c r="P103" s="90">
        <f t="shared" ca="1" si="4"/>
        <v>-99</v>
      </c>
      <c r="Q103" s="90" t="str">
        <f t="shared" ca="1" si="5"/>
        <v/>
      </c>
      <c r="R103" s="699">
        <f ca="1">IF($A103="","",IF(DATA!BF52="",-99,DATA!BF52))</f>
        <v>-99</v>
      </c>
      <c r="S103" s="90">
        <f ca="1">IF($A103="","",IF(DATA!BG52="",-99,DATA!BF52-DATA!BG52))</f>
        <v>-99</v>
      </c>
      <c r="T103" s="90">
        <f ca="1">IF($A103="","",DATA!BH52)</f>
        <v>-99</v>
      </c>
      <c r="U103" s="90">
        <f ca="1">IF($A103="","",OFFSET(DATA!BM52,0,$D$48))</f>
        <v>-99</v>
      </c>
      <c r="V103" s="90">
        <f t="shared" ca="1" si="15"/>
        <v>60</v>
      </c>
      <c r="W103" s="99">
        <f t="shared" ca="1" si="7"/>
        <v>59.99988120103</v>
      </c>
      <c r="X103" s="112">
        <f t="shared" ca="1" si="8"/>
        <v>85.999930941530423</v>
      </c>
      <c r="Y103" s="90">
        <f t="shared" ca="1" si="9"/>
        <v>125</v>
      </c>
      <c r="AA103" s="90" t="str">
        <f ca="1">IF($Y103="","",IF(OFFSET(C$55,'Intermediate Data'!$Y103,0)=-98,"Unknown",IF(OFFSET(C$55,'Intermediate Data'!$Y103,0)=-99,"N/A",OFFSET(C$55,'Intermediate Data'!$Y103,0))))</f>
        <v>Garage door opener</v>
      </c>
      <c r="AB103" s="90" t="str">
        <f ca="1">IF($Y103="","",IF(OFFSET(D$55,'Intermediate Data'!$Y103,0)=-98,"N/A",IF(OFFSET(D$55,'Intermediate Data'!$Y103,0)=-99,"N/A",OFFSET(D$55,'Intermediate Data'!$Y103,0))))</f>
        <v>N/A</v>
      </c>
      <c r="AC103" s="90">
        <f ca="1">IF($Y103="","",IF(OFFSET(E$55,'Intermediate Data'!$Y103,0)=-98,"N/A",IF(OFFSET(E$55,'Intermediate Data'!$Y103,0)=-99,"N/A",OFFSET(E$55,'Intermediate Data'!$Y103,0))))</f>
        <v>0.408969211023756</v>
      </c>
      <c r="AD103" s="90" t="str">
        <f ca="1">IF($Y103="","",IF(OFFSET(F$55,'Intermediate Data'!$Y103,0)=-98,"N/A",IF(OFFSET(F$55,'Intermediate Data'!$Y103,0)=-99,"N/A",OFFSET(F$55,'Intermediate Data'!$Y103,0))))</f>
        <v>N/A</v>
      </c>
      <c r="AE103" s="90">
        <f ca="1">IF($Y103="","",IF(OFFSET(G$55,'Intermediate Data'!$Y103,0)=-98,"N/A",IF(OFFSET(G$55,'Intermediate Data'!$Y103,0)=-99,"N/A",OFFSET(G$55,'Intermediate Data'!$Y103,0))))</f>
        <v>0.48344731109113542</v>
      </c>
      <c r="AF103" s="90" t="str">
        <f ca="1">IF($Y103="","",IF(OFFSET(H$55,'Intermediate Data'!$Y103,0)=-98,"N/A",IF(OFFSET(H$55,'Intermediate Data'!$Y103,0)=-99,"N/A",OFFSET(H$55,'Intermediate Data'!$Y103,0))))</f>
        <v>N/A</v>
      </c>
      <c r="AG103" s="90">
        <f ca="1">IF($Y103="","",IF(OFFSET(I$55,'Intermediate Data'!$Y103,0)=-98,"N/A",IF(OFFSET(I$55,'Intermediate Data'!$Y103,0)=-99,"N/A",OFFSET(I$55,'Intermediate Data'!$Y103,0))))</f>
        <v>0.48344731109113542</v>
      </c>
      <c r="AH103" s="90" t="str">
        <f ca="1">IF($Y103="","",IF(OFFSET(J$55,'Intermediate Data'!$Y103,0)=-98,"N/A",IF(OFFSET(J$55,'Intermediate Data'!$Y103,0)=-99,"N/A",OFFSET(J$55,'Intermediate Data'!$Y103,0))))</f>
        <v>RASS</v>
      </c>
      <c r="AI103" s="90" t="str">
        <f ca="1">IF($Y103="","",IF(OFFSET(K$55,'Intermediate Data'!$Y103,0)=-98,"N/A",IF(OFFSET(K$55,'Intermediate Data'!$Y103,0)=-99,"N/A",OFFSET(K$55,'Intermediate Data'!$Y103,0))))</f>
        <v>N/A</v>
      </c>
      <c r="AJ103" s="90">
        <f ca="1">IF($Y103="","",IF(OFFSET(L$55,'Intermediate Data'!$Y103,0)=-98,"N/A",IF(OFFSET(L$55,'Intermediate Data'!$Y103,0)=-99,"N/A",OFFSET(L$55,'Intermediate Data'!$Y103,0))))</f>
        <v>0.46079323750365508</v>
      </c>
      <c r="AK103" s="90" t="str">
        <f ca="1">IF($Y103="","",IF(OFFSET(M$55,'Intermediate Data'!$Y103,0)=-98,"N/A",IF(OFFSET(M$55,'Intermediate Data'!$Y103,0)=-99,"N/A",OFFSET(M$55,'Intermediate Data'!$Y103,0))))</f>
        <v>N/A</v>
      </c>
      <c r="AL103" s="90">
        <f ca="1">IF($Y103="","",IF(OFFSET(N$55,'Intermediate Data'!$Y103,0)=-98,"N/A",IF(OFFSET(N$55,'Intermediate Data'!$Y103,0)=-99,"N/A",OFFSET(N$55,'Intermediate Data'!$Y103,0))))</f>
        <v>0.56064717755939975</v>
      </c>
      <c r="AM103" s="90" t="str">
        <f ca="1">IF($Y103="","",IF(OFFSET(O$55,'Intermediate Data'!$Y103,0)=-98,"N/A",IF(OFFSET(O$55,'Intermediate Data'!$Y103,0)=-99,"N/A",OFFSET(O$55,'Intermediate Data'!$Y103,0))))</f>
        <v>N/A</v>
      </c>
      <c r="AN103" s="90">
        <f ca="1">IF($Y103="","",IF(OFFSET(P$55,'Intermediate Data'!$Y103,0)=-98,"N/A",IF(OFFSET(P$55,'Intermediate Data'!$Y103,0)=-99,"N/A",OFFSET(P$55,'Intermediate Data'!$Y103,0))))</f>
        <v>0.56064717755939975</v>
      </c>
      <c r="AO103" s="90" t="str">
        <f ca="1">IF($Y103="","",IF(OFFSET(Q$55,'Intermediate Data'!$Y103,0)=-98,"N/A",IF(OFFSET(Q$55,'Intermediate Data'!$Y103,0)=-99,"N/A",OFFSET(Q$55,'Intermediate Data'!$Y103,0))))</f>
        <v>RASS</v>
      </c>
      <c r="AP103" s="697" t="str">
        <f ca="1">IF($Y103="","",IF(OFFSET(S$55,'Intermediate Data'!$Y103,0)=-98,"",IF(OFFSET(S$55,'Intermediate Data'!$Y103,0)=-99,"",OFFSET(S$55,'Intermediate Data'!$Y103,0))))</f>
        <v/>
      </c>
      <c r="AQ103" s="90" t="str">
        <f ca="1">IF($Y103="","",IF(OFFSET(T$55,'Intermediate Data'!$Y103,0)=-98,"Not published",IF(OFFSET(T$55,'Intermediate Data'!$Y103,0)=-99,"",OFFSET(T$55,'Intermediate Data'!$Y103,0))))</f>
        <v/>
      </c>
      <c r="AR103" s="90" t="str">
        <f ca="1">IF($Y103="","",IF(OFFSET(U$55,'Intermediate Data'!$Y103,0)=-98,"Unknown",IF(OFFSET(U$55,'Intermediate Data'!$Y103,0)=-99,"",OFFSET(U$55,'Intermediate Data'!$Y103,0))))</f>
        <v/>
      </c>
      <c r="AU103" s="112" t="str">
        <f ca="1">IF(AND(OFFSET(DATA!$F52,0,$AX$48)='Intermediate Data'!$AY$48,DATA!$E52="Tier 1"),IF(OR($AX$49=0,$AX$48=1),DATA!A52,IF(AND($AX$49=1,INDEX('Intermediate Data'!$AY$25:$AY$44,MATCH(DATA!$B52,'Intermediate Data'!$AX$25:$AX$44,0))=TRUE),DATA!A52,"")),"")</f>
        <v/>
      </c>
      <c r="AV103" s="112" t="str">
        <f ca="1">IF($AU103="","",DATA!B52)</f>
        <v/>
      </c>
      <c r="AW103" s="112" t="str">
        <f ca="1">IF(OR($AU103="",DATA!BI52=""),"",DATA!BI52)</f>
        <v/>
      </c>
      <c r="AX103" s="112" t="str">
        <f ca="1">IF(OR($AU103="",OFFSET(DATA!BK52,0,$AX$48)=""),"",OFFSET(DATA!BK52,0,$AX$48))</f>
        <v/>
      </c>
      <c r="AY103" s="112" t="str">
        <f ca="1">IF(OR($AU103="",OFFSET(DATA!BM52,0,$AX$48)=""),"",OFFSET(DATA!BM52,0,$AX$48))</f>
        <v/>
      </c>
      <c r="AZ103" s="112" t="str">
        <f ca="1">IF(OR($AU103="",OFFSET(DATA!BO52,0,'Intermediate Data'!$AX$48)=""),"",OFFSET(DATA!BO52,0,$AX$48))</f>
        <v/>
      </c>
      <c r="BA103" s="112" t="str">
        <f ca="1">IF(OR($AU103="",DATA!BQ52=""),"",DATA!BQ52)</f>
        <v/>
      </c>
      <c r="BB103" s="112" t="str">
        <f ca="1">IF($AU103="","",OFFSET(DATA!BS52,0,$AX$48))</f>
        <v/>
      </c>
      <c r="BC103" s="112" t="str">
        <f ca="1">IF($AU103="","",OFFSET(DATA!BU52,0,$AX$48))</f>
        <v/>
      </c>
      <c r="BD103" s="112" t="str">
        <f ca="1">IF($AU103="","",OFFSET(DATA!BW52,0,$AX$48))</f>
        <v/>
      </c>
      <c r="BE103" s="112" t="str">
        <f ca="1">IF($AU103="","",OFFSET(DATA!BY52,0,$AX$48))</f>
        <v/>
      </c>
      <c r="BF103" s="112" t="str">
        <f ca="1">IF($AU103="","",OFFSET(DATA!CA52,0,$AX$48))</f>
        <v/>
      </c>
      <c r="BG103" s="112" t="str">
        <f ca="1">IF($AU103="","",DATA!CC52)</f>
        <v/>
      </c>
      <c r="BH103" s="112" t="str">
        <f ca="1">IF($AU103="","",OFFSET(DATA!CE52,0,$AX$48))</f>
        <v/>
      </c>
      <c r="BI103" s="112" t="str">
        <f ca="1">IF($AU103="","",OFFSET(DATA!CG52,0,$AX$48))</f>
        <v/>
      </c>
      <c r="BJ103" s="112" t="str">
        <f ca="1">IF($AU103="","",OFFSET(DATA!CI52,0,$AX$48))</f>
        <v/>
      </c>
      <c r="BK103" s="112" t="str">
        <f ca="1">IF($AU103="","",OFFSET(DATA!CK52,0,$AX$48))</f>
        <v/>
      </c>
      <c r="BL103" s="112" t="str">
        <f ca="1">IF($AU103="","",OFFSET(DATA!CM52,0,$AX$48))</f>
        <v/>
      </c>
      <c r="BM103" s="112" t="str">
        <f ca="1">IF($AU103="","",DATA!BH52)</f>
        <v/>
      </c>
      <c r="BN103" s="112" t="str">
        <f ca="1">IF($AU103="","",DATA!DS52)</f>
        <v/>
      </c>
      <c r="BO103" s="112" t="str">
        <f ca="1">IF($AU103="","",DATA!DU52)</f>
        <v/>
      </c>
      <c r="BP103" s="112" t="str">
        <f ca="1">IF($AU103="","",DATA!DV52)</f>
        <v/>
      </c>
      <c r="BQ103" s="112" t="str">
        <f ca="1">IF($AU103="","",DATA!DX52)</f>
        <v/>
      </c>
      <c r="BR103" s="112" t="str">
        <f ca="1">IF($AU103="","",DATA!DZ52)</f>
        <v/>
      </c>
      <c r="BS103" s="171" t="str">
        <f ca="1">IF($AU103="","",DATA!EA52)</f>
        <v/>
      </c>
      <c r="BT103" s="171" t="str">
        <f ca="1">IF($AU103="","",DATA!EC52)</f>
        <v/>
      </c>
      <c r="BU103" s="171" t="str">
        <f ca="1">IF($AU103="","",DATA!EF52)</f>
        <v/>
      </c>
      <c r="BV103" s="113" t="str">
        <f t="shared" ca="1" si="10"/>
        <v/>
      </c>
      <c r="BW103" s="680" t="str">
        <f ca="1">IF(AU103="","",OFFSET(DATA!DC52,0,'Intermediate Data'!$AX$48))</f>
        <v/>
      </c>
      <c r="BX103" s="681" t="str">
        <f ca="1">IF($AU103="","",DATA!DG52)</f>
        <v/>
      </c>
      <c r="BY103" s="680" t="str">
        <f ca="1">IF($AU103="","",OFFSET(DATA!DE52,0,'Intermediate Data'!$AX$48))</f>
        <v/>
      </c>
      <c r="BZ103" s="681" t="str">
        <f ca="1">IF($AU103="","",DATA!DH52)</f>
        <v/>
      </c>
      <c r="CA103" s="90" t="str">
        <f t="shared" ca="1" si="11"/>
        <v/>
      </c>
      <c r="CB103" s="99" t="str">
        <f t="shared" ca="1" si="12"/>
        <v/>
      </c>
      <c r="CC103" s="90" t="str">
        <f t="shared" ca="1" si="13"/>
        <v/>
      </c>
      <c r="CD103" s="90" t="str">
        <f t="shared" ca="1" si="14"/>
        <v/>
      </c>
      <c r="CF103" s="90" t="str">
        <f ca="1">IF($CD103="","",IF(OFFSET(AV$55,'Intermediate Data'!$CD103,0)=-98,"Unknown",IF(OFFSET(AV$55,'Intermediate Data'!$CD103,0)=-99,"N/A",OFFSET(AV$55,'Intermediate Data'!$CD103,0))))</f>
        <v/>
      </c>
      <c r="CG103" s="90" t="str">
        <f ca="1">IF($CD103="","",IF(OFFSET(AW$55,'Intermediate Data'!$CD103,0)=-98,"",IF(OFFSET(AW$55,'Intermediate Data'!$CD103,0)=-99,"N/A",OFFSET(AW$55,'Intermediate Data'!$CD103,0))))</f>
        <v/>
      </c>
      <c r="CH103" s="90" t="str">
        <f ca="1">IF($CD103="","",IF(OFFSET(AX$55,'Intermediate Data'!$CD103,0)=-98,"Unknown",IF(OFFSET(AX$55,'Intermediate Data'!$CD103,0)=-99,"N/A",OFFSET(AX$55,'Intermediate Data'!$CD103,0))))</f>
        <v/>
      </c>
      <c r="CI103" s="125" t="str">
        <f ca="1">IF($CD103="","",IF(OFFSET(AY$55,'Intermediate Data'!$CD103,0)=-98,"Unknown",IF(OFFSET(AY$55,'Intermediate Data'!$CD103,0)=-99,"No spec",OFFSET(AY$55,'Intermediate Data'!$CD103,0))))</f>
        <v/>
      </c>
      <c r="CJ103" s="125" t="str">
        <f ca="1">IF($CD103="","",IF(OFFSET(AZ$55,'Intermediate Data'!$CD103,0)=-98,"Unknown",IF(OFFSET(AZ$55,'Intermediate Data'!$CD103,0)=-99,"N/A",OFFSET(AZ$55,'Intermediate Data'!$CD103,0))))</f>
        <v/>
      </c>
      <c r="CK103" s="90" t="str">
        <f ca="1">IF($CD103="","",IF(OFFSET(BA$55,'Intermediate Data'!$CD103,0)=-98,"Unknown",IF(OFFSET(BA$55,'Intermediate Data'!$CD103,0)=-99,"N/A",OFFSET(BA$55,'Intermediate Data'!$CD103,0))))</f>
        <v/>
      </c>
      <c r="CL103" s="90" t="str">
        <f ca="1">IF($CD103="","",IF(OFFSET(BB$55,'Intermediate Data'!$CD103,$AX$50)=-98,"Unknown",IF(OFFSET(BB$55,'Intermediate Data'!$CD103,$AX$50)="N/A","",OFFSET(BB$55,'Intermediate Data'!$CD103,$AX$50))))</f>
        <v/>
      </c>
      <c r="CM103" s="90" t="str">
        <f ca="1">IF($CD103="","",IF(OFFSET(BG$55,'Intermediate Data'!$CD103,0)="ET","ET",""))</f>
        <v/>
      </c>
      <c r="CN103" s="90" t="str">
        <f ca="1">IF($CD103="","",IF(OFFSET(BH$55,'Intermediate Data'!$CD103,$AX$50)=-98,"Unknown",IF(OFFSET(BH$55,'Intermediate Data'!$CD103,$AX$50)="N/A","",OFFSET(BH$55,'Intermediate Data'!$CD103,$AX$50))))</f>
        <v/>
      </c>
      <c r="CO103" s="90" t="str">
        <f ca="1">IF($CD103="","",IF(OFFSET(BM$55,'Intermediate Data'!$CD103,0)=-98,"Not published",IF(OFFSET(BM$55,'Intermediate Data'!$CD103,0)=-99,"No spec",OFFSET(BM$55,'Intermediate Data'!$CD103,0))))</f>
        <v/>
      </c>
      <c r="CP103" s="114" t="str">
        <f ca="1">IF($CD103="","",IF(OFFSET(BN$55,'Intermediate Data'!$CD103,0)=-98,"Unknown",IF(OFFSET(BN$55,'Intermediate Data'!$CD103,0)=-99,"N/A",OFFSET(BN$55,'Intermediate Data'!$CD103,0))))</f>
        <v/>
      </c>
      <c r="CQ103" s="114" t="str">
        <f ca="1">IF($CD103="","",IF(OFFSET(BO$55,'Intermediate Data'!$CD103,0)=-98,"Unknown",IF(OFFSET(BO$55,'Intermediate Data'!$CD103,0)=-99,"N/A",OFFSET(BO$55,'Intermediate Data'!$CD103,0))))</f>
        <v/>
      </c>
      <c r="CR103" s="114" t="str">
        <f ca="1">IF($CD103="","",IF(OFFSET(BP$55,'Intermediate Data'!$CD103,0)=-98,"Unknown",IF(OFFSET(BP$55,'Intermediate Data'!$CD103,0)=-99,"N/A",OFFSET(BP$55,'Intermediate Data'!$CD103,0))))</f>
        <v/>
      </c>
      <c r="CS103" s="114" t="str">
        <f ca="1">IF($CD103="","",IF(OFFSET(BQ$55,'Intermediate Data'!$CD103,0)=-98,"Unknown",IF(OFFSET(BQ$55,'Intermediate Data'!$CD103,0)=-99,"N/A",OFFSET(BQ$55,'Intermediate Data'!$CD103,0))))</f>
        <v/>
      </c>
      <c r="CT103" s="114" t="str">
        <f ca="1">IF($CD103="","",IF(OFFSET(BR$55,'Intermediate Data'!$CD103,0)=-98,"Unknown",IF(OFFSET(BR$55,'Intermediate Data'!$CD103,0)=-99,"N/A",OFFSET(BR$55,'Intermediate Data'!$CD103,0))))</f>
        <v/>
      </c>
      <c r="CU103" s="114" t="str">
        <f ca="1">IF($CD103="","",IF(OFFSET(BS$55,'Intermediate Data'!$CD103,0)=-98,"Unknown",IF(OFFSET(BS$55,'Intermediate Data'!$CD103,0)=-99,"N/A",OFFSET(BS$55,'Intermediate Data'!$CD103,0))))</f>
        <v/>
      </c>
      <c r="CV103" s="114" t="str">
        <f ca="1">IF($CD103="","",IF(OFFSET(BT$55,'Intermediate Data'!$CD103,0)=-98,"Unknown",IF(OFFSET(BT$55,'Intermediate Data'!$CD103,0)=-99,"N/A",OFFSET(BT$55,'Intermediate Data'!$CD103,0))))</f>
        <v/>
      </c>
      <c r="CW103" s="114" t="str">
        <f ca="1">IF($CD103="","",IF(OFFSET(BU$55,'Intermediate Data'!$CD103,0)=-98,"Unknown",IF(OFFSET(BU$55,'Intermediate Data'!$CD103,0)=-99,"N/A",OFFSET(BU$55,'Intermediate Data'!$CD103,0))))</f>
        <v/>
      </c>
      <c r="CX103" s="114" t="str">
        <f ca="1">IF($CD103="","",IF(OFFSET(BV$55,'Intermediate Data'!$CD103,0)=-98,"Unknown",IF(OFFSET(BV$55,'Intermediate Data'!$CD103,0)=-99,"N/A",OFFSET(BV$55,'Intermediate Data'!$CD103,0))))</f>
        <v/>
      </c>
      <c r="CY103" s="682" t="str">
        <f ca="1">IF($CD103="","",IF(OFFSET(BW$55,'Intermediate Data'!$CD103,0)=-98,"Unknown",IF(OFFSET(BW$55,'Intermediate Data'!$CD103,0)="N/A","",OFFSET(BW$55,'Intermediate Data'!$CD103,0))))</f>
        <v/>
      </c>
      <c r="CZ103" s="682" t="str">
        <f ca="1">IF($CD103="","",IF(OFFSET(BX$55,'Intermediate Data'!$CD103,0)=-98,"Unknown",IF(OFFSET(BX$55,'Intermediate Data'!$CD103,0)="N/A","",OFFSET(BX$55,'Intermediate Data'!$CD103,0))))</f>
        <v/>
      </c>
      <c r="DA103" s="682" t="str">
        <f ca="1">IF($CD103="","",IF(OFFSET(BY$55,'Intermediate Data'!$CD103,0)=-98,"Unknown",IF(OFFSET(BY$55,'Intermediate Data'!$CD103,0)="N/A","",OFFSET(BY$55,'Intermediate Data'!$CD103,0))))</f>
        <v/>
      </c>
      <c r="DB103" s="682" t="str">
        <f ca="1">IF($CD103="","",IF(OFFSET(BZ$55,'Intermediate Data'!$CD103,0)=-98,"Unknown",IF(OFFSET(BZ$55,'Intermediate Data'!$CD103,0)="N/A","",OFFSET(BZ$55,'Intermediate Data'!$CD103,0))))</f>
        <v/>
      </c>
    </row>
    <row r="104" spans="1:106" x14ac:dyDescent="0.2">
      <c r="A104" s="90">
        <f ca="1">IF(OFFSET(DATA!F53,0,$D$48)='Intermediate Data'!$E$48,IF(OR($E$49=$C$27,$E$48=$B$4),DATA!A53,IF($G$49=DATA!D53,DATA!A53,"")),"")</f>
        <v>49</v>
      </c>
      <c r="B104" s="90">
        <f ca="1">IF($A104="","",DATA!EH53)</f>
        <v>31</v>
      </c>
      <c r="C104" s="90" t="str">
        <f ca="1">IF($A104="","",DATA!B53)</f>
        <v>Smart power strip</v>
      </c>
      <c r="D104" s="90">
        <f ca="1">IF($A104="","",OFFSET(DATA!$H53,0,($D$50*5)))</f>
        <v>-99</v>
      </c>
      <c r="E104" s="90">
        <f ca="1">IF($A104="","",OFFSET(DATA!$H53,0,($D$50*5)+1))</f>
        <v>-99</v>
      </c>
      <c r="F104" s="90">
        <f ca="1">IF($A104="","",OFFSET(DATA!$H53,0,($D$50*5)+2))</f>
        <v>-99</v>
      </c>
      <c r="G104" s="90">
        <f ca="1">IF($A104="","",OFFSET(DATA!$H53,0,($D$50*5)+3))</f>
        <v>-99</v>
      </c>
      <c r="H104" s="90">
        <f ca="1">IF($A104="","",OFFSET(DATA!$H53,0,($D$50*5)+4))</f>
        <v>-99</v>
      </c>
      <c r="I104" s="90">
        <f t="shared" ca="1" si="2"/>
        <v>-99</v>
      </c>
      <c r="J104" s="90" t="str">
        <f t="shared" ca="1" si="3"/>
        <v/>
      </c>
      <c r="K104" s="90">
        <f ca="1">IF($A104="","",OFFSET(DATA!$AG53,0,($D$50*5)))</f>
        <v>-99</v>
      </c>
      <c r="L104" s="90">
        <f ca="1">IF($A104="","",OFFSET(DATA!$AG53,0,($D$50*5)+1))</f>
        <v>-99</v>
      </c>
      <c r="M104" s="90">
        <f ca="1">IF($A104="","",OFFSET(DATA!$AG53,0,($D$50*5)+2))</f>
        <v>-99</v>
      </c>
      <c r="N104" s="90">
        <f ca="1">IF($A104="","",OFFSET(DATA!$AG53,0,($D$50*5)+3))</f>
        <v>-99</v>
      </c>
      <c r="O104" s="90">
        <f ca="1">IF($A104="","",OFFSET(DATA!$AG53,0,($D$50*5)+4))</f>
        <v>-99</v>
      </c>
      <c r="P104" s="90">
        <f t="shared" ca="1" si="4"/>
        <v>-99</v>
      </c>
      <c r="Q104" s="90" t="str">
        <f t="shared" ca="1" si="5"/>
        <v/>
      </c>
      <c r="R104" s="699">
        <f ca="1">IF($A104="","",IF(DATA!BF53="",-99,DATA!BF53))</f>
        <v>-99</v>
      </c>
      <c r="S104" s="90">
        <f ca="1">IF($A104="","",IF(DATA!BG53="",-99,DATA!BF53-DATA!BG53))</f>
        <v>-99</v>
      </c>
      <c r="T104" s="90">
        <f ca="1">IF($A104="","",DATA!BH53)</f>
        <v>-99</v>
      </c>
      <c r="U104" s="90">
        <f ca="1">IF($A104="","",OFFSET(DATA!BM53,0,$D$48))</f>
        <v>-99</v>
      </c>
      <c r="V104" s="90">
        <f t="shared" ca="1" si="15"/>
        <v>31</v>
      </c>
      <c r="W104" s="99">
        <f t="shared" ca="1" si="7"/>
        <v>30.999881201040001</v>
      </c>
      <c r="X104" s="112">
        <f t="shared" ca="1" si="8"/>
        <v>83.999881201410005</v>
      </c>
      <c r="Y104" s="90">
        <f t="shared" ca="1" si="9"/>
        <v>86</v>
      </c>
      <c r="AA104" s="90" t="str">
        <f ca="1">IF($Y104="","",IF(OFFSET(C$55,'Intermediate Data'!$Y104,0)=-98,"Unknown",IF(OFFSET(C$55,'Intermediate Data'!$Y104,0)=-99,"N/A",OFFSET(C$55,'Intermediate Data'!$Y104,0))))</f>
        <v>Grow lights</v>
      </c>
      <c r="AB104" s="90" t="str">
        <f ca="1">IF($Y104="","",IF(OFFSET(D$55,'Intermediate Data'!$Y104,0)=-98,"N/A",IF(OFFSET(D$55,'Intermediate Data'!$Y104,0)=-99,"N/A",OFFSET(D$55,'Intermediate Data'!$Y104,0))))</f>
        <v>N/A</v>
      </c>
      <c r="AC104" s="90" t="str">
        <f ca="1">IF($Y104="","",IF(OFFSET(E$55,'Intermediate Data'!$Y104,0)=-98,"N/A",IF(OFFSET(E$55,'Intermediate Data'!$Y104,0)=-99,"N/A",OFFSET(E$55,'Intermediate Data'!$Y104,0))))</f>
        <v>N/A</v>
      </c>
      <c r="AD104" s="90" t="str">
        <f ca="1">IF($Y104="","",IF(OFFSET(F$55,'Intermediate Data'!$Y104,0)=-98,"N/A",IF(OFFSET(F$55,'Intermediate Data'!$Y104,0)=-99,"N/A",OFFSET(F$55,'Intermediate Data'!$Y104,0))))</f>
        <v>N/A</v>
      </c>
      <c r="AE104" s="90" t="str">
        <f ca="1">IF($Y104="","",IF(OFFSET(G$55,'Intermediate Data'!$Y104,0)=-98,"N/A",IF(OFFSET(G$55,'Intermediate Data'!$Y104,0)=-99,"N/A",OFFSET(G$55,'Intermediate Data'!$Y104,0))))</f>
        <v>N/A</v>
      </c>
      <c r="AF104" s="90" t="str">
        <f ca="1">IF($Y104="","",IF(OFFSET(H$55,'Intermediate Data'!$Y104,0)=-98,"N/A",IF(OFFSET(H$55,'Intermediate Data'!$Y104,0)=-99,"N/A",OFFSET(H$55,'Intermediate Data'!$Y104,0))))</f>
        <v>N/A</v>
      </c>
      <c r="AG104" s="90" t="str">
        <f ca="1">IF($Y104="","",IF(OFFSET(I$55,'Intermediate Data'!$Y104,0)=-98,"N/A",IF(OFFSET(I$55,'Intermediate Data'!$Y104,0)=-99,"N/A",OFFSET(I$55,'Intermediate Data'!$Y104,0))))</f>
        <v>N/A</v>
      </c>
      <c r="AH104" s="90" t="str">
        <f ca="1">IF($Y104="","",IF(OFFSET(J$55,'Intermediate Data'!$Y104,0)=-98,"N/A",IF(OFFSET(J$55,'Intermediate Data'!$Y104,0)=-99,"N/A",OFFSET(J$55,'Intermediate Data'!$Y104,0))))</f>
        <v/>
      </c>
      <c r="AI104" s="90" t="str">
        <f ca="1">IF($Y104="","",IF(OFFSET(K$55,'Intermediate Data'!$Y104,0)=-98,"N/A",IF(OFFSET(K$55,'Intermediate Data'!$Y104,0)=-99,"N/A",OFFSET(K$55,'Intermediate Data'!$Y104,0))))</f>
        <v>N/A</v>
      </c>
      <c r="AJ104" s="90" t="str">
        <f ca="1">IF($Y104="","",IF(OFFSET(L$55,'Intermediate Data'!$Y104,0)=-98,"N/A",IF(OFFSET(L$55,'Intermediate Data'!$Y104,0)=-99,"N/A",OFFSET(L$55,'Intermediate Data'!$Y104,0))))</f>
        <v>N/A</v>
      </c>
      <c r="AK104" s="90" t="str">
        <f ca="1">IF($Y104="","",IF(OFFSET(M$55,'Intermediate Data'!$Y104,0)=-98,"N/A",IF(OFFSET(M$55,'Intermediate Data'!$Y104,0)=-99,"N/A",OFFSET(M$55,'Intermediate Data'!$Y104,0))))</f>
        <v>N/A</v>
      </c>
      <c r="AL104" s="90" t="str">
        <f ca="1">IF($Y104="","",IF(OFFSET(N$55,'Intermediate Data'!$Y104,0)=-98,"N/A",IF(OFFSET(N$55,'Intermediate Data'!$Y104,0)=-99,"N/A",OFFSET(N$55,'Intermediate Data'!$Y104,0))))</f>
        <v>N/A</v>
      </c>
      <c r="AM104" s="90" t="str">
        <f ca="1">IF($Y104="","",IF(OFFSET(O$55,'Intermediate Data'!$Y104,0)=-98,"N/A",IF(OFFSET(O$55,'Intermediate Data'!$Y104,0)=-99,"N/A",OFFSET(O$55,'Intermediate Data'!$Y104,0))))</f>
        <v>N/A</v>
      </c>
      <c r="AN104" s="90" t="str">
        <f ca="1">IF($Y104="","",IF(OFFSET(P$55,'Intermediate Data'!$Y104,0)=-98,"N/A",IF(OFFSET(P$55,'Intermediate Data'!$Y104,0)=-99,"N/A",OFFSET(P$55,'Intermediate Data'!$Y104,0))))</f>
        <v>N/A</v>
      </c>
      <c r="AO104" s="90" t="str">
        <f ca="1">IF($Y104="","",IF(OFFSET(Q$55,'Intermediate Data'!$Y104,0)=-98,"N/A",IF(OFFSET(Q$55,'Intermediate Data'!$Y104,0)=-99,"N/A",OFFSET(Q$55,'Intermediate Data'!$Y104,0))))</f>
        <v/>
      </c>
      <c r="AP104" s="697" t="str">
        <f ca="1">IF($Y104="","",IF(OFFSET(S$55,'Intermediate Data'!$Y104,0)=-98,"",IF(OFFSET(S$55,'Intermediate Data'!$Y104,0)=-99,"",OFFSET(S$55,'Intermediate Data'!$Y104,0))))</f>
        <v/>
      </c>
      <c r="AQ104" s="90" t="str">
        <f ca="1">IF($Y104="","",IF(OFFSET(T$55,'Intermediate Data'!$Y104,0)=-98,"Not published",IF(OFFSET(T$55,'Intermediate Data'!$Y104,0)=-99,"",OFFSET(T$55,'Intermediate Data'!$Y104,0))))</f>
        <v/>
      </c>
      <c r="AR104" s="90" t="str">
        <f ca="1">IF($Y104="","",IF(OFFSET(U$55,'Intermediate Data'!$Y104,0)=-98,"Unknown",IF(OFFSET(U$55,'Intermediate Data'!$Y104,0)=-99,"",OFFSET(U$55,'Intermediate Data'!$Y104,0))))</f>
        <v/>
      </c>
      <c r="AU104" s="112" t="str">
        <f ca="1">IF(AND(OFFSET(DATA!$F53,0,$AX$48)='Intermediate Data'!$AY$48,DATA!$E53="Tier 1"),IF(OR($AX$49=0,$AX$48=1),DATA!A53,IF(AND($AX$49=1,INDEX('Intermediate Data'!$AY$25:$AY$44,MATCH(DATA!$B53,'Intermediate Data'!$AX$25:$AX$44,0))=TRUE),DATA!A53,"")),"")</f>
        <v/>
      </c>
      <c r="AV104" s="112" t="str">
        <f ca="1">IF($AU104="","",DATA!B53)</f>
        <v/>
      </c>
      <c r="AW104" s="112" t="str">
        <f ca="1">IF(OR($AU104="",DATA!BI53=""),"",DATA!BI53)</f>
        <v/>
      </c>
      <c r="AX104" s="112" t="str">
        <f ca="1">IF(OR($AU104="",OFFSET(DATA!BK53,0,$AX$48)=""),"",OFFSET(DATA!BK53,0,$AX$48))</f>
        <v/>
      </c>
      <c r="AY104" s="112" t="str">
        <f ca="1">IF(OR($AU104="",OFFSET(DATA!BM53,0,$AX$48)=""),"",OFFSET(DATA!BM53,0,$AX$48))</f>
        <v/>
      </c>
      <c r="AZ104" s="112" t="str">
        <f ca="1">IF(OR($AU104="",OFFSET(DATA!BO53,0,'Intermediate Data'!$AX$48)=""),"",OFFSET(DATA!BO53,0,$AX$48))</f>
        <v/>
      </c>
      <c r="BA104" s="112" t="str">
        <f ca="1">IF(OR($AU104="",DATA!BQ53=""),"",DATA!BQ53)</f>
        <v/>
      </c>
      <c r="BB104" s="112" t="str">
        <f ca="1">IF($AU104="","",OFFSET(DATA!BS53,0,$AX$48))</f>
        <v/>
      </c>
      <c r="BC104" s="112" t="str">
        <f ca="1">IF($AU104="","",OFFSET(DATA!BU53,0,$AX$48))</f>
        <v/>
      </c>
      <c r="BD104" s="112" t="str">
        <f ca="1">IF($AU104="","",OFFSET(DATA!BW53,0,$AX$48))</f>
        <v/>
      </c>
      <c r="BE104" s="112" t="str">
        <f ca="1">IF($AU104="","",OFFSET(DATA!BY53,0,$AX$48))</f>
        <v/>
      </c>
      <c r="BF104" s="112" t="str">
        <f ca="1">IF($AU104="","",OFFSET(DATA!CA53,0,$AX$48))</f>
        <v/>
      </c>
      <c r="BG104" s="112" t="str">
        <f ca="1">IF($AU104="","",DATA!CC53)</f>
        <v/>
      </c>
      <c r="BH104" s="112" t="str">
        <f ca="1">IF($AU104="","",OFFSET(DATA!CE53,0,$AX$48))</f>
        <v/>
      </c>
      <c r="BI104" s="112" t="str">
        <f ca="1">IF($AU104="","",OFFSET(DATA!CG53,0,$AX$48))</f>
        <v/>
      </c>
      <c r="BJ104" s="112" t="str">
        <f ca="1">IF($AU104="","",OFFSET(DATA!CI53,0,$AX$48))</f>
        <v/>
      </c>
      <c r="BK104" s="112" t="str">
        <f ca="1">IF($AU104="","",OFFSET(DATA!CK53,0,$AX$48))</f>
        <v/>
      </c>
      <c r="BL104" s="112" t="str">
        <f ca="1">IF($AU104="","",OFFSET(DATA!CM53,0,$AX$48))</f>
        <v/>
      </c>
      <c r="BM104" s="112" t="str">
        <f ca="1">IF($AU104="","",DATA!BH53)</f>
        <v/>
      </c>
      <c r="BN104" s="112" t="str">
        <f ca="1">IF($AU104="","",DATA!DS53)</f>
        <v/>
      </c>
      <c r="BO104" s="112" t="str">
        <f ca="1">IF($AU104="","",DATA!DU53)</f>
        <v/>
      </c>
      <c r="BP104" s="112" t="str">
        <f ca="1">IF($AU104="","",DATA!DV53)</f>
        <v/>
      </c>
      <c r="BQ104" s="112" t="str">
        <f ca="1">IF($AU104="","",DATA!DX53)</f>
        <v/>
      </c>
      <c r="BR104" s="112" t="str">
        <f ca="1">IF($AU104="","",DATA!DZ53)</f>
        <v/>
      </c>
      <c r="BS104" s="171" t="str">
        <f ca="1">IF($AU104="","",DATA!EA53)</f>
        <v/>
      </c>
      <c r="BT104" s="171" t="str">
        <f ca="1">IF($AU104="","",DATA!EC53)</f>
        <v/>
      </c>
      <c r="BU104" s="171" t="str">
        <f ca="1">IF($AU104="","",DATA!EF53)</f>
        <v/>
      </c>
      <c r="BV104" s="113" t="str">
        <f t="shared" ca="1" si="10"/>
        <v/>
      </c>
      <c r="BW104" s="680" t="str">
        <f ca="1">IF(AU104="","",OFFSET(DATA!DC53,0,'Intermediate Data'!$AX$48))</f>
        <v/>
      </c>
      <c r="BX104" s="681" t="str">
        <f ca="1">IF($AU104="","",DATA!DG53)</f>
        <v/>
      </c>
      <c r="BY104" s="680" t="str">
        <f ca="1">IF($AU104="","",OFFSET(DATA!DE53,0,'Intermediate Data'!$AX$48))</f>
        <v/>
      </c>
      <c r="BZ104" s="681" t="str">
        <f ca="1">IF($AU104="","",DATA!DH53)</f>
        <v/>
      </c>
      <c r="CA104" s="90" t="str">
        <f t="shared" ca="1" si="11"/>
        <v/>
      </c>
      <c r="CB104" s="99" t="str">
        <f t="shared" ca="1" si="12"/>
        <v/>
      </c>
      <c r="CC104" s="90" t="str">
        <f t="shared" ca="1" si="13"/>
        <v/>
      </c>
      <c r="CD104" s="90" t="str">
        <f t="shared" ca="1" si="14"/>
        <v/>
      </c>
      <c r="CF104" s="90" t="str">
        <f ca="1">IF($CD104="","",IF(OFFSET(AV$55,'Intermediate Data'!$CD104,0)=-98,"Unknown",IF(OFFSET(AV$55,'Intermediate Data'!$CD104,0)=-99,"N/A",OFFSET(AV$55,'Intermediate Data'!$CD104,0))))</f>
        <v/>
      </c>
      <c r="CG104" s="90" t="str">
        <f ca="1">IF($CD104="","",IF(OFFSET(AW$55,'Intermediate Data'!$CD104,0)=-98,"",IF(OFFSET(AW$55,'Intermediate Data'!$CD104,0)=-99,"N/A",OFFSET(AW$55,'Intermediate Data'!$CD104,0))))</f>
        <v/>
      </c>
      <c r="CH104" s="90" t="str">
        <f ca="1">IF($CD104="","",IF(OFFSET(AX$55,'Intermediate Data'!$CD104,0)=-98,"Unknown",IF(OFFSET(AX$55,'Intermediate Data'!$CD104,0)=-99,"N/A",OFFSET(AX$55,'Intermediate Data'!$CD104,0))))</f>
        <v/>
      </c>
      <c r="CI104" s="125" t="str">
        <f ca="1">IF($CD104="","",IF(OFFSET(AY$55,'Intermediate Data'!$CD104,0)=-98,"Unknown",IF(OFFSET(AY$55,'Intermediate Data'!$CD104,0)=-99,"No spec",OFFSET(AY$55,'Intermediate Data'!$CD104,0))))</f>
        <v/>
      </c>
      <c r="CJ104" s="125" t="str">
        <f ca="1">IF($CD104="","",IF(OFFSET(AZ$55,'Intermediate Data'!$CD104,0)=-98,"Unknown",IF(OFFSET(AZ$55,'Intermediate Data'!$CD104,0)=-99,"N/A",OFFSET(AZ$55,'Intermediate Data'!$CD104,0))))</f>
        <v/>
      </c>
      <c r="CK104" s="90" t="str">
        <f ca="1">IF($CD104="","",IF(OFFSET(BA$55,'Intermediate Data'!$CD104,0)=-98,"Unknown",IF(OFFSET(BA$55,'Intermediate Data'!$CD104,0)=-99,"N/A",OFFSET(BA$55,'Intermediate Data'!$CD104,0))))</f>
        <v/>
      </c>
      <c r="CL104" s="90" t="str">
        <f ca="1">IF($CD104="","",IF(OFFSET(BB$55,'Intermediate Data'!$CD104,$AX$50)=-98,"Unknown",IF(OFFSET(BB$55,'Intermediate Data'!$CD104,$AX$50)="N/A","",OFFSET(BB$55,'Intermediate Data'!$CD104,$AX$50))))</f>
        <v/>
      </c>
      <c r="CM104" s="90" t="str">
        <f ca="1">IF($CD104="","",IF(OFFSET(BG$55,'Intermediate Data'!$CD104,0)="ET","ET",""))</f>
        <v/>
      </c>
      <c r="CN104" s="90" t="str">
        <f ca="1">IF($CD104="","",IF(OFFSET(BH$55,'Intermediate Data'!$CD104,$AX$50)=-98,"Unknown",IF(OFFSET(BH$55,'Intermediate Data'!$CD104,$AX$50)="N/A","",OFFSET(BH$55,'Intermediate Data'!$CD104,$AX$50))))</f>
        <v/>
      </c>
      <c r="CO104" s="90" t="str">
        <f ca="1">IF($CD104="","",IF(OFFSET(BM$55,'Intermediate Data'!$CD104,0)=-98,"Not published",IF(OFFSET(BM$55,'Intermediate Data'!$CD104,0)=-99,"No spec",OFFSET(BM$55,'Intermediate Data'!$CD104,0))))</f>
        <v/>
      </c>
      <c r="CP104" s="114" t="str">
        <f ca="1">IF($CD104="","",IF(OFFSET(BN$55,'Intermediate Data'!$CD104,0)=-98,"Unknown",IF(OFFSET(BN$55,'Intermediate Data'!$CD104,0)=-99,"N/A",OFFSET(BN$55,'Intermediate Data'!$CD104,0))))</f>
        <v/>
      </c>
      <c r="CQ104" s="114" t="str">
        <f ca="1">IF($CD104="","",IF(OFFSET(BO$55,'Intermediate Data'!$CD104,0)=-98,"Unknown",IF(OFFSET(BO$55,'Intermediate Data'!$CD104,0)=-99,"N/A",OFFSET(BO$55,'Intermediate Data'!$CD104,0))))</f>
        <v/>
      </c>
      <c r="CR104" s="114" t="str">
        <f ca="1">IF($CD104="","",IF(OFFSET(BP$55,'Intermediate Data'!$CD104,0)=-98,"Unknown",IF(OFFSET(BP$55,'Intermediate Data'!$CD104,0)=-99,"N/A",OFFSET(BP$55,'Intermediate Data'!$CD104,0))))</f>
        <v/>
      </c>
      <c r="CS104" s="114" t="str">
        <f ca="1">IF($CD104="","",IF(OFFSET(BQ$55,'Intermediate Data'!$CD104,0)=-98,"Unknown",IF(OFFSET(BQ$55,'Intermediate Data'!$CD104,0)=-99,"N/A",OFFSET(BQ$55,'Intermediate Data'!$CD104,0))))</f>
        <v/>
      </c>
      <c r="CT104" s="114" t="str">
        <f ca="1">IF($CD104="","",IF(OFFSET(BR$55,'Intermediate Data'!$CD104,0)=-98,"Unknown",IF(OFFSET(BR$55,'Intermediate Data'!$CD104,0)=-99,"N/A",OFFSET(BR$55,'Intermediate Data'!$CD104,0))))</f>
        <v/>
      </c>
      <c r="CU104" s="114" t="str">
        <f ca="1">IF($CD104="","",IF(OFFSET(BS$55,'Intermediate Data'!$CD104,0)=-98,"Unknown",IF(OFFSET(BS$55,'Intermediate Data'!$CD104,0)=-99,"N/A",OFFSET(BS$55,'Intermediate Data'!$CD104,0))))</f>
        <v/>
      </c>
      <c r="CV104" s="114" t="str">
        <f ca="1">IF($CD104="","",IF(OFFSET(BT$55,'Intermediate Data'!$CD104,0)=-98,"Unknown",IF(OFFSET(BT$55,'Intermediate Data'!$CD104,0)=-99,"N/A",OFFSET(BT$55,'Intermediate Data'!$CD104,0))))</f>
        <v/>
      </c>
      <c r="CW104" s="114" t="str">
        <f ca="1">IF($CD104="","",IF(OFFSET(BU$55,'Intermediate Data'!$CD104,0)=-98,"Unknown",IF(OFFSET(BU$55,'Intermediate Data'!$CD104,0)=-99,"N/A",OFFSET(BU$55,'Intermediate Data'!$CD104,0))))</f>
        <v/>
      </c>
      <c r="CX104" s="114" t="str">
        <f ca="1">IF($CD104="","",IF(OFFSET(BV$55,'Intermediate Data'!$CD104,0)=-98,"Unknown",IF(OFFSET(BV$55,'Intermediate Data'!$CD104,0)=-99,"N/A",OFFSET(BV$55,'Intermediate Data'!$CD104,0))))</f>
        <v/>
      </c>
      <c r="CY104" s="682" t="str">
        <f ca="1">IF($CD104="","",IF(OFFSET(BW$55,'Intermediate Data'!$CD104,0)=-98,"Unknown",IF(OFFSET(BW$55,'Intermediate Data'!$CD104,0)="N/A","",OFFSET(BW$55,'Intermediate Data'!$CD104,0))))</f>
        <v/>
      </c>
      <c r="CZ104" s="682" t="str">
        <f ca="1">IF($CD104="","",IF(OFFSET(BX$55,'Intermediate Data'!$CD104,0)=-98,"Unknown",IF(OFFSET(BX$55,'Intermediate Data'!$CD104,0)="N/A","",OFFSET(BX$55,'Intermediate Data'!$CD104,0))))</f>
        <v/>
      </c>
      <c r="DA104" s="682" t="str">
        <f ca="1">IF($CD104="","",IF(OFFSET(BY$55,'Intermediate Data'!$CD104,0)=-98,"Unknown",IF(OFFSET(BY$55,'Intermediate Data'!$CD104,0)="N/A","",OFFSET(BY$55,'Intermediate Data'!$CD104,0))))</f>
        <v/>
      </c>
      <c r="DB104" s="682" t="str">
        <f ca="1">IF($CD104="","",IF(OFFSET(BZ$55,'Intermediate Data'!$CD104,0)=-98,"Unknown",IF(OFFSET(BZ$55,'Intermediate Data'!$CD104,0)="N/A","",OFFSET(BZ$55,'Intermediate Data'!$CD104,0))))</f>
        <v/>
      </c>
    </row>
    <row r="105" spans="1:106" x14ac:dyDescent="0.2">
      <c r="A105" s="90">
        <f ca="1">IF(OFFSET(DATA!F54,0,$D$48)='Intermediate Data'!$E$48,IF(OR($E$49=$C$27,$E$48=$B$4),DATA!A54,IF($G$49=DATA!D54,DATA!A54,"")),"")</f>
        <v>50</v>
      </c>
      <c r="B105" s="90">
        <f ca="1">IF($A105="","",DATA!EH54)</f>
        <v>20</v>
      </c>
      <c r="C105" s="90" t="str">
        <f ca="1">IF($A105="","",DATA!B54)</f>
        <v>Timer for devices, lights, etc</v>
      </c>
      <c r="D105" s="90">
        <f ca="1">IF($A105="","",OFFSET(DATA!$H54,0,($D$50*5)))</f>
        <v>-99</v>
      </c>
      <c r="E105" s="90">
        <f ca="1">IF($A105="","",OFFSET(DATA!$H54,0,($D$50*5)+1))</f>
        <v>-99</v>
      </c>
      <c r="F105" s="90">
        <f ca="1">IF($A105="","",OFFSET(DATA!$H54,0,($D$50*5)+2))</f>
        <v>-99</v>
      </c>
      <c r="G105" s="90">
        <f ca="1">IF($A105="","",OFFSET(DATA!$H54,0,($D$50*5)+3))</f>
        <v>-99</v>
      </c>
      <c r="H105" s="90">
        <f ca="1">IF($A105="","",OFFSET(DATA!$H54,0,($D$50*5)+4))</f>
        <v>-99</v>
      </c>
      <c r="I105" s="90">
        <f t="shared" ca="1" si="2"/>
        <v>-99</v>
      </c>
      <c r="J105" s="90" t="str">
        <f t="shared" ca="1" si="3"/>
        <v/>
      </c>
      <c r="K105" s="90">
        <f ca="1">IF($A105="","",OFFSET(DATA!$AG54,0,($D$50*5)))</f>
        <v>-99</v>
      </c>
      <c r="L105" s="90">
        <f ca="1">IF($A105="","",OFFSET(DATA!$AG54,0,($D$50*5)+1))</f>
        <v>-99</v>
      </c>
      <c r="M105" s="90">
        <f ca="1">IF($A105="","",OFFSET(DATA!$AG54,0,($D$50*5)+2))</f>
        <v>-99</v>
      </c>
      <c r="N105" s="90">
        <f ca="1">IF($A105="","",OFFSET(DATA!$AG54,0,($D$50*5)+3))</f>
        <v>-99</v>
      </c>
      <c r="O105" s="90">
        <f ca="1">IF($A105="","",OFFSET(DATA!$AG54,0,($D$50*5)+4))</f>
        <v>-99</v>
      </c>
      <c r="P105" s="90">
        <f t="shared" ca="1" si="4"/>
        <v>-99</v>
      </c>
      <c r="Q105" s="90" t="str">
        <f t="shared" ca="1" si="5"/>
        <v/>
      </c>
      <c r="R105" s="699">
        <f ca="1">IF($A105="","",IF(DATA!BF54="",-99,DATA!BF54))</f>
        <v>-99</v>
      </c>
      <c r="S105" s="90">
        <f ca="1">IF($A105="","",IF(DATA!BG54="",-99,DATA!BF54-DATA!BG54))</f>
        <v>-99</v>
      </c>
      <c r="T105" s="90">
        <f ca="1">IF($A105="","",DATA!BH54)</f>
        <v>-99</v>
      </c>
      <c r="U105" s="90">
        <f ca="1">IF($A105="","",OFFSET(DATA!BM54,0,$D$48))</f>
        <v>-99</v>
      </c>
      <c r="V105" s="90">
        <f t="shared" ca="1" si="15"/>
        <v>20</v>
      </c>
      <c r="W105" s="99">
        <f t="shared" ca="1" si="7"/>
        <v>19.999881201050002</v>
      </c>
      <c r="X105" s="112">
        <f t="shared" ca="1" si="8"/>
        <v>82.999881201679997</v>
      </c>
      <c r="Y105" s="90">
        <f t="shared" ca="1" si="9"/>
        <v>113</v>
      </c>
      <c r="AA105" s="90" t="str">
        <f ca="1">IF($Y105="","",IF(OFFSET(C$55,'Intermediate Data'!$Y105,0)=-98,"Unknown",IF(OFFSET(C$55,'Intermediate Data'!$Y105,0)=-99,"N/A",OFFSET(C$55,'Intermediate Data'!$Y105,0))))</f>
        <v>Hair dryer - Blow dryer</v>
      </c>
      <c r="AB105" s="90" t="str">
        <f ca="1">IF($Y105="","",IF(OFFSET(D$55,'Intermediate Data'!$Y105,0)=-98,"N/A",IF(OFFSET(D$55,'Intermediate Data'!$Y105,0)=-99,"N/A",OFFSET(D$55,'Intermediate Data'!$Y105,0))))</f>
        <v>N/A</v>
      </c>
      <c r="AC105" s="90" t="str">
        <f ca="1">IF($Y105="","",IF(OFFSET(E$55,'Intermediate Data'!$Y105,0)=-98,"N/A",IF(OFFSET(E$55,'Intermediate Data'!$Y105,0)=-99,"N/A",OFFSET(E$55,'Intermediate Data'!$Y105,0))))</f>
        <v>N/A</v>
      </c>
      <c r="AD105" s="90" t="str">
        <f ca="1">IF($Y105="","",IF(OFFSET(F$55,'Intermediate Data'!$Y105,0)=-98,"N/A",IF(OFFSET(F$55,'Intermediate Data'!$Y105,0)=-99,"N/A",OFFSET(F$55,'Intermediate Data'!$Y105,0))))</f>
        <v>N/A</v>
      </c>
      <c r="AE105" s="90" t="str">
        <f ca="1">IF($Y105="","",IF(OFFSET(G$55,'Intermediate Data'!$Y105,0)=-98,"N/A",IF(OFFSET(G$55,'Intermediate Data'!$Y105,0)=-99,"N/A",OFFSET(G$55,'Intermediate Data'!$Y105,0))))</f>
        <v>N/A</v>
      </c>
      <c r="AF105" s="90" t="str">
        <f ca="1">IF($Y105="","",IF(OFFSET(H$55,'Intermediate Data'!$Y105,0)=-98,"N/A",IF(OFFSET(H$55,'Intermediate Data'!$Y105,0)=-99,"N/A",OFFSET(H$55,'Intermediate Data'!$Y105,0))))</f>
        <v>N/A</v>
      </c>
      <c r="AG105" s="90" t="str">
        <f ca="1">IF($Y105="","",IF(OFFSET(I$55,'Intermediate Data'!$Y105,0)=-98,"N/A",IF(OFFSET(I$55,'Intermediate Data'!$Y105,0)=-99,"N/A",OFFSET(I$55,'Intermediate Data'!$Y105,0))))</f>
        <v>N/A</v>
      </c>
      <c r="AH105" s="90" t="str">
        <f ca="1">IF($Y105="","",IF(OFFSET(J$55,'Intermediate Data'!$Y105,0)=-98,"N/A",IF(OFFSET(J$55,'Intermediate Data'!$Y105,0)=-99,"N/A",OFFSET(J$55,'Intermediate Data'!$Y105,0))))</f>
        <v/>
      </c>
      <c r="AI105" s="90" t="str">
        <f ca="1">IF($Y105="","",IF(OFFSET(K$55,'Intermediate Data'!$Y105,0)=-98,"N/A",IF(OFFSET(K$55,'Intermediate Data'!$Y105,0)=-99,"N/A",OFFSET(K$55,'Intermediate Data'!$Y105,0))))</f>
        <v>N/A</v>
      </c>
      <c r="AJ105" s="90" t="str">
        <f ca="1">IF($Y105="","",IF(OFFSET(L$55,'Intermediate Data'!$Y105,0)=-98,"N/A",IF(OFFSET(L$55,'Intermediate Data'!$Y105,0)=-99,"N/A",OFFSET(L$55,'Intermediate Data'!$Y105,0))))</f>
        <v>N/A</v>
      </c>
      <c r="AK105" s="90" t="str">
        <f ca="1">IF($Y105="","",IF(OFFSET(M$55,'Intermediate Data'!$Y105,0)=-98,"N/A",IF(OFFSET(M$55,'Intermediate Data'!$Y105,0)=-99,"N/A",OFFSET(M$55,'Intermediate Data'!$Y105,0))))</f>
        <v>N/A</v>
      </c>
      <c r="AL105" s="90" t="str">
        <f ca="1">IF($Y105="","",IF(OFFSET(N$55,'Intermediate Data'!$Y105,0)=-98,"N/A",IF(OFFSET(N$55,'Intermediate Data'!$Y105,0)=-99,"N/A",OFFSET(N$55,'Intermediate Data'!$Y105,0))))</f>
        <v>N/A</v>
      </c>
      <c r="AM105" s="90" t="str">
        <f ca="1">IF($Y105="","",IF(OFFSET(O$55,'Intermediate Data'!$Y105,0)=-98,"N/A",IF(OFFSET(O$55,'Intermediate Data'!$Y105,0)=-99,"N/A",OFFSET(O$55,'Intermediate Data'!$Y105,0))))</f>
        <v>N/A</v>
      </c>
      <c r="AN105" s="90" t="str">
        <f ca="1">IF($Y105="","",IF(OFFSET(P$55,'Intermediate Data'!$Y105,0)=-98,"N/A",IF(OFFSET(P$55,'Intermediate Data'!$Y105,0)=-99,"N/A",OFFSET(P$55,'Intermediate Data'!$Y105,0))))</f>
        <v>N/A</v>
      </c>
      <c r="AO105" s="90" t="str">
        <f ca="1">IF($Y105="","",IF(OFFSET(Q$55,'Intermediate Data'!$Y105,0)=-98,"N/A",IF(OFFSET(Q$55,'Intermediate Data'!$Y105,0)=-99,"N/A",OFFSET(Q$55,'Intermediate Data'!$Y105,0))))</f>
        <v/>
      </c>
      <c r="AP105" s="697" t="str">
        <f ca="1">IF($Y105="","",IF(OFFSET(S$55,'Intermediate Data'!$Y105,0)=-98,"",IF(OFFSET(S$55,'Intermediate Data'!$Y105,0)=-99,"",OFFSET(S$55,'Intermediate Data'!$Y105,0))))</f>
        <v/>
      </c>
      <c r="AQ105" s="90" t="str">
        <f ca="1">IF($Y105="","",IF(OFFSET(T$55,'Intermediate Data'!$Y105,0)=-98,"Not published",IF(OFFSET(T$55,'Intermediate Data'!$Y105,0)=-99,"",OFFSET(T$55,'Intermediate Data'!$Y105,0))))</f>
        <v/>
      </c>
      <c r="AR105" s="90" t="str">
        <f ca="1">IF($Y105="","",IF(OFFSET(U$55,'Intermediate Data'!$Y105,0)=-98,"Unknown",IF(OFFSET(U$55,'Intermediate Data'!$Y105,0)=-99,"",OFFSET(U$55,'Intermediate Data'!$Y105,0))))</f>
        <v/>
      </c>
      <c r="AU105" s="112" t="str">
        <f ca="1">IF(AND(OFFSET(DATA!$F54,0,$AX$48)='Intermediate Data'!$AY$48,DATA!$E54="Tier 1"),IF(OR($AX$49=0,$AX$48=1),DATA!A54,IF(AND($AX$49=1,INDEX('Intermediate Data'!$AY$25:$AY$44,MATCH(DATA!$B54,'Intermediate Data'!$AX$25:$AX$44,0))=TRUE),DATA!A54,"")),"")</f>
        <v/>
      </c>
      <c r="AV105" s="112" t="str">
        <f ca="1">IF($AU105="","",DATA!B54)</f>
        <v/>
      </c>
      <c r="AW105" s="112" t="str">
        <f ca="1">IF(OR($AU105="",DATA!BI54=""),"",DATA!BI54)</f>
        <v/>
      </c>
      <c r="AX105" s="112" t="str">
        <f ca="1">IF(OR($AU105="",OFFSET(DATA!BK54,0,$AX$48)=""),"",OFFSET(DATA!BK54,0,$AX$48))</f>
        <v/>
      </c>
      <c r="AY105" s="112" t="str">
        <f ca="1">IF(OR($AU105="",OFFSET(DATA!BM54,0,$AX$48)=""),"",OFFSET(DATA!BM54,0,$AX$48))</f>
        <v/>
      </c>
      <c r="AZ105" s="112" t="str">
        <f ca="1">IF(OR($AU105="",OFFSET(DATA!BO54,0,'Intermediate Data'!$AX$48)=""),"",OFFSET(DATA!BO54,0,$AX$48))</f>
        <v/>
      </c>
      <c r="BA105" s="112" t="str">
        <f ca="1">IF(OR($AU105="",DATA!BQ54=""),"",DATA!BQ54)</f>
        <v/>
      </c>
      <c r="BB105" s="112" t="str">
        <f ca="1">IF($AU105="","",OFFSET(DATA!BS54,0,$AX$48))</f>
        <v/>
      </c>
      <c r="BC105" s="112" t="str">
        <f ca="1">IF($AU105="","",OFFSET(DATA!BU54,0,$AX$48))</f>
        <v/>
      </c>
      <c r="BD105" s="112" t="str">
        <f ca="1">IF($AU105="","",OFFSET(DATA!BW54,0,$AX$48))</f>
        <v/>
      </c>
      <c r="BE105" s="112" t="str">
        <f ca="1">IF($AU105="","",OFFSET(DATA!BY54,0,$AX$48))</f>
        <v/>
      </c>
      <c r="BF105" s="112" t="str">
        <f ca="1">IF($AU105="","",OFFSET(DATA!CA54,0,$AX$48))</f>
        <v/>
      </c>
      <c r="BG105" s="112" t="str">
        <f ca="1">IF($AU105="","",DATA!CC54)</f>
        <v/>
      </c>
      <c r="BH105" s="112" t="str">
        <f ca="1">IF($AU105="","",OFFSET(DATA!CE54,0,$AX$48))</f>
        <v/>
      </c>
      <c r="BI105" s="112" t="str">
        <f ca="1">IF($AU105="","",OFFSET(DATA!CG54,0,$AX$48))</f>
        <v/>
      </c>
      <c r="BJ105" s="112" t="str">
        <f ca="1">IF($AU105="","",OFFSET(DATA!CI54,0,$AX$48))</f>
        <v/>
      </c>
      <c r="BK105" s="112" t="str">
        <f ca="1">IF($AU105="","",OFFSET(DATA!CK54,0,$AX$48))</f>
        <v/>
      </c>
      <c r="BL105" s="112" t="str">
        <f ca="1">IF($AU105="","",OFFSET(DATA!CM54,0,$AX$48))</f>
        <v/>
      </c>
      <c r="BM105" s="112" t="str">
        <f ca="1">IF($AU105="","",DATA!BH54)</f>
        <v/>
      </c>
      <c r="BN105" s="112" t="str">
        <f ca="1">IF($AU105="","",DATA!DS54)</f>
        <v/>
      </c>
      <c r="BO105" s="112" t="str">
        <f ca="1">IF($AU105="","",DATA!DU54)</f>
        <v/>
      </c>
      <c r="BP105" s="112" t="str">
        <f ca="1">IF($AU105="","",DATA!DV54)</f>
        <v/>
      </c>
      <c r="BQ105" s="112" t="str">
        <f ca="1">IF($AU105="","",DATA!DX54)</f>
        <v/>
      </c>
      <c r="BR105" s="112" t="str">
        <f ca="1">IF($AU105="","",DATA!DZ54)</f>
        <v/>
      </c>
      <c r="BS105" s="171" t="str">
        <f ca="1">IF($AU105="","",DATA!EA54)</f>
        <v/>
      </c>
      <c r="BT105" s="171" t="str">
        <f ca="1">IF($AU105="","",DATA!EC54)</f>
        <v/>
      </c>
      <c r="BU105" s="171" t="str">
        <f ca="1">IF($AU105="","",DATA!EF54)</f>
        <v/>
      </c>
      <c r="BV105" s="113" t="str">
        <f t="shared" ca="1" si="10"/>
        <v/>
      </c>
      <c r="BW105" s="680" t="str">
        <f ca="1">IF(AU105="","",OFFSET(DATA!DC54,0,'Intermediate Data'!$AX$48))</f>
        <v/>
      </c>
      <c r="BX105" s="681" t="str">
        <f ca="1">IF($AU105="","",DATA!DG54)</f>
        <v/>
      </c>
      <c r="BY105" s="680" t="str">
        <f ca="1">IF($AU105="","",OFFSET(DATA!DE54,0,'Intermediate Data'!$AX$48))</f>
        <v/>
      </c>
      <c r="BZ105" s="681" t="str">
        <f ca="1">IF($AU105="","",DATA!DH54)</f>
        <v/>
      </c>
      <c r="CA105" s="90" t="str">
        <f t="shared" ca="1" si="11"/>
        <v/>
      </c>
      <c r="CB105" s="99" t="str">
        <f t="shared" ca="1" si="12"/>
        <v/>
      </c>
      <c r="CC105" s="90" t="str">
        <f t="shared" ca="1" si="13"/>
        <v/>
      </c>
      <c r="CD105" s="90" t="str">
        <f t="shared" ca="1" si="14"/>
        <v/>
      </c>
      <c r="CF105" s="90" t="str">
        <f ca="1">IF($CD105="","",IF(OFFSET(AV$55,'Intermediate Data'!$CD105,0)=-98,"Unknown",IF(OFFSET(AV$55,'Intermediate Data'!$CD105,0)=-99,"N/A",OFFSET(AV$55,'Intermediate Data'!$CD105,0))))</f>
        <v/>
      </c>
      <c r="CG105" s="90" t="str">
        <f ca="1">IF($CD105="","",IF(OFFSET(AW$55,'Intermediate Data'!$CD105,0)=-98,"",IF(OFFSET(AW$55,'Intermediate Data'!$CD105,0)=-99,"N/A",OFFSET(AW$55,'Intermediate Data'!$CD105,0))))</f>
        <v/>
      </c>
      <c r="CH105" s="90" t="str">
        <f ca="1">IF($CD105="","",IF(OFFSET(AX$55,'Intermediate Data'!$CD105,0)=-98,"Unknown",IF(OFFSET(AX$55,'Intermediate Data'!$CD105,0)=-99,"N/A",OFFSET(AX$55,'Intermediate Data'!$CD105,0))))</f>
        <v/>
      </c>
      <c r="CI105" s="125" t="str">
        <f ca="1">IF($CD105="","",IF(OFFSET(AY$55,'Intermediate Data'!$CD105,0)=-98,"Unknown",IF(OFFSET(AY$55,'Intermediate Data'!$CD105,0)=-99,"No spec",OFFSET(AY$55,'Intermediate Data'!$CD105,0))))</f>
        <v/>
      </c>
      <c r="CJ105" s="125" t="str">
        <f ca="1">IF($CD105="","",IF(OFFSET(AZ$55,'Intermediate Data'!$CD105,0)=-98,"Unknown",IF(OFFSET(AZ$55,'Intermediate Data'!$CD105,0)=-99,"N/A",OFFSET(AZ$55,'Intermediate Data'!$CD105,0))))</f>
        <v/>
      </c>
      <c r="CK105" s="90" t="str">
        <f ca="1">IF($CD105="","",IF(OFFSET(BA$55,'Intermediate Data'!$CD105,0)=-98,"Unknown",IF(OFFSET(BA$55,'Intermediate Data'!$CD105,0)=-99,"N/A",OFFSET(BA$55,'Intermediate Data'!$CD105,0))))</f>
        <v/>
      </c>
      <c r="CL105" s="90" t="str">
        <f ca="1">IF($CD105="","",IF(OFFSET(BB$55,'Intermediate Data'!$CD105,$AX$50)=-98,"Unknown",IF(OFFSET(BB$55,'Intermediate Data'!$CD105,$AX$50)="N/A","",OFFSET(BB$55,'Intermediate Data'!$CD105,$AX$50))))</f>
        <v/>
      </c>
      <c r="CM105" s="90" t="str">
        <f ca="1">IF($CD105="","",IF(OFFSET(BG$55,'Intermediate Data'!$CD105,0)="ET","ET",""))</f>
        <v/>
      </c>
      <c r="CN105" s="90" t="str">
        <f ca="1">IF($CD105="","",IF(OFFSET(BH$55,'Intermediate Data'!$CD105,$AX$50)=-98,"Unknown",IF(OFFSET(BH$55,'Intermediate Data'!$CD105,$AX$50)="N/A","",OFFSET(BH$55,'Intermediate Data'!$CD105,$AX$50))))</f>
        <v/>
      </c>
      <c r="CO105" s="90" t="str">
        <f ca="1">IF($CD105="","",IF(OFFSET(BM$55,'Intermediate Data'!$CD105,0)=-98,"Not published",IF(OFFSET(BM$55,'Intermediate Data'!$CD105,0)=-99,"No spec",OFFSET(BM$55,'Intermediate Data'!$CD105,0))))</f>
        <v/>
      </c>
      <c r="CP105" s="114" t="str">
        <f ca="1">IF($CD105="","",IF(OFFSET(BN$55,'Intermediate Data'!$CD105,0)=-98,"Unknown",IF(OFFSET(BN$55,'Intermediate Data'!$CD105,0)=-99,"N/A",OFFSET(BN$55,'Intermediate Data'!$CD105,0))))</f>
        <v/>
      </c>
      <c r="CQ105" s="114" t="str">
        <f ca="1">IF($CD105="","",IF(OFFSET(BO$55,'Intermediate Data'!$CD105,0)=-98,"Unknown",IF(OFFSET(BO$55,'Intermediate Data'!$CD105,0)=-99,"N/A",OFFSET(BO$55,'Intermediate Data'!$CD105,0))))</f>
        <v/>
      </c>
      <c r="CR105" s="114" t="str">
        <f ca="1">IF($CD105="","",IF(OFFSET(BP$55,'Intermediate Data'!$CD105,0)=-98,"Unknown",IF(OFFSET(BP$55,'Intermediate Data'!$CD105,0)=-99,"N/A",OFFSET(BP$55,'Intermediate Data'!$CD105,0))))</f>
        <v/>
      </c>
      <c r="CS105" s="114" t="str">
        <f ca="1">IF($CD105="","",IF(OFFSET(BQ$55,'Intermediate Data'!$CD105,0)=-98,"Unknown",IF(OFFSET(BQ$55,'Intermediate Data'!$CD105,0)=-99,"N/A",OFFSET(BQ$55,'Intermediate Data'!$CD105,0))))</f>
        <v/>
      </c>
      <c r="CT105" s="114" t="str">
        <f ca="1">IF($CD105="","",IF(OFFSET(BR$55,'Intermediate Data'!$CD105,0)=-98,"Unknown",IF(OFFSET(BR$55,'Intermediate Data'!$CD105,0)=-99,"N/A",OFFSET(BR$55,'Intermediate Data'!$CD105,0))))</f>
        <v/>
      </c>
      <c r="CU105" s="114" t="str">
        <f ca="1">IF($CD105="","",IF(OFFSET(BS$55,'Intermediate Data'!$CD105,0)=-98,"Unknown",IF(OFFSET(BS$55,'Intermediate Data'!$CD105,0)=-99,"N/A",OFFSET(BS$55,'Intermediate Data'!$CD105,0))))</f>
        <v/>
      </c>
      <c r="CV105" s="114" t="str">
        <f ca="1">IF($CD105="","",IF(OFFSET(BT$55,'Intermediate Data'!$CD105,0)=-98,"Unknown",IF(OFFSET(BT$55,'Intermediate Data'!$CD105,0)=-99,"N/A",OFFSET(BT$55,'Intermediate Data'!$CD105,0))))</f>
        <v/>
      </c>
      <c r="CW105" s="114" t="str">
        <f ca="1">IF($CD105="","",IF(OFFSET(BU$55,'Intermediate Data'!$CD105,0)=-98,"Unknown",IF(OFFSET(BU$55,'Intermediate Data'!$CD105,0)=-99,"N/A",OFFSET(BU$55,'Intermediate Data'!$CD105,0))))</f>
        <v/>
      </c>
      <c r="CX105" s="114" t="str">
        <f ca="1">IF($CD105="","",IF(OFFSET(BV$55,'Intermediate Data'!$CD105,0)=-98,"Unknown",IF(OFFSET(BV$55,'Intermediate Data'!$CD105,0)=-99,"N/A",OFFSET(BV$55,'Intermediate Data'!$CD105,0))))</f>
        <v/>
      </c>
      <c r="CY105" s="682" t="str">
        <f ca="1">IF($CD105="","",IF(OFFSET(BW$55,'Intermediate Data'!$CD105,0)=-98,"Unknown",IF(OFFSET(BW$55,'Intermediate Data'!$CD105,0)="N/A","",OFFSET(BW$55,'Intermediate Data'!$CD105,0))))</f>
        <v/>
      </c>
      <c r="CZ105" s="682" t="str">
        <f ca="1">IF($CD105="","",IF(OFFSET(BX$55,'Intermediate Data'!$CD105,0)=-98,"Unknown",IF(OFFSET(BX$55,'Intermediate Data'!$CD105,0)="N/A","",OFFSET(BX$55,'Intermediate Data'!$CD105,0))))</f>
        <v/>
      </c>
      <c r="DA105" s="682" t="str">
        <f ca="1">IF($CD105="","",IF(OFFSET(BY$55,'Intermediate Data'!$CD105,0)=-98,"Unknown",IF(OFFSET(BY$55,'Intermediate Data'!$CD105,0)="N/A","",OFFSET(BY$55,'Intermediate Data'!$CD105,0))))</f>
        <v/>
      </c>
      <c r="DB105" s="682" t="str">
        <f ca="1">IF($CD105="","",IF(OFFSET(BZ$55,'Intermediate Data'!$CD105,0)=-98,"Unknown",IF(OFFSET(BZ$55,'Intermediate Data'!$CD105,0)="N/A","",OFFSET(BZ$55,'Intermediate Data'!$CD105,0))))</f>
        <v/>
      </c>
    </row>
    <row r="106" spans="1:106" x14ac:dyDescent="0.2">
      <c r="A106" s="90">
        <f ca="1">IF(OFFSET(DATA!F55,0,$D$48)='Intermediate Data'!$E$48,IF(OR($E$49=$C$27,$E$48=$B$4),DATA!A55,IF($G$49=DATA!D55,DATA!A55,"")),"")</f>
        <v>51</v>
      </c>
      <c r="B106" s="90">
        <f ca="1">IF($A106="","",DATA!EH55)</f>
        <v>87</v>
      </c>
      <c r="C106" s="90" t="str">
        <f ca="1">IF($A106="","",DATA!B55)</f>
        <v>Game console</v>
      </c>
      <c r="D106" s="90">
        <f ca="1">IF($A106="","",OFFSET(DATA!$H55,0,($D$50*5)))</f>
        <v>-99</v>
      </c>
      <c r="E106" s="90">
        <f ca="1">IF($A106="","",OFFSET(DATA!$H55,0,($D$50*5)+1))</f>
        <v>-99</v>
      </c>
      <c r="F106" s="90">
        <f ca="1">IF($A106="","",OFFSET(DATA!$H55,0,($D$50*5)+2))</f>
        <v>-99</v>
      </c>
      <c r="G106" s="90">
        <f ca="1">IF($A106="","",OFFSET(DATA!$H55,0,($D$50*5)+3))</f>
        <v>0.29154011697021659</v>
      </c>
      <c r="H106" s="90">
        <f ca="1">IF($A106="","",OFFSET(DATA!$H55,0,($D$50*5)+4))</f>
        <v>0.37703399999999998</v>
      </c>
      <c r="I106" s="90">
        <f t="shared" ca="1" si="2"/>
        <v>0.37703399999999998</v>
      </c>
      <c r="J106" s="90" t="str">
        <f t="shared" ca="1" si="3"/>
        <v>CLASS</v>
      </c>
      <c r="K106" s="90">
        <f ca="1">IF($A106="","",OFFSET(DATA!$AG55,0,($D$50*5)))</f>
        <v>-99</v>
      </c>
      <c r="L106" s="90">
        <f ca="1">IF($A106="","",OFFSET(DATA!$AG55,0,($D$50*5)+1))</f>
        <v>-99</v>
      </c>
      <c r="M106" s="90">
        <f ca="1">IF($A106="","",OFFSET(DATA!$AG55,0,($D$50*5)+2))</f>
        <v>-99</v>
      </c>
      <c r="N106" s="90">
        <f ca="1">IF($A106="","",OFFSET(DATA!$AG55,0,($D$50*5)+3))</f>
        <v>-99</v>
      </c>
      <c r="O106" s="90">
        <f ca="1">IF($A106="","",OFFSET(DATA!$AG55,0,($D$50*5)+4))</f>
        <v>0.47099999999999997</v>
      </c>
      <c r="P106" s="90">
        <f t="shared" ca="1" si="4"/>
        <v>0.47099999999999997</v>
      </c>
      <c r="Q106" s="90" t="str">
        <f t="shared" ca="1" si="5"/>
        <v>CLASS</v>
      </c>
      <c r="R106" s="699">
        <f ca="1">IF($A106="","",IF(DATA!BF55="",-99,DATA!BF55))</f>
        <v>-99</v>
      </c>
      <c r="S106" s="90">
        <f ca="1">IF($A106="","",IF(DATA!BG55="",-99,DATA!BF55-DATA!BG55))</f>
        <v>-99</v>
      </c>
      <c r="T106" s="90">
        <f ca="1">IF($A106="","",DATA!BH55)</f>
        <v>-99</v>
      </c>
      <c r="U106" s="90">
        <f ca="1">IF($A106="","",OFFSET(DATA!BM55,0,$D$48))</f>
        <v>-99</v>
      </c>
      <c r="V106" s="90">
        <f t="shared" ca="1" si="15"/>
        <v>87</v>
      </c>
      <c r="W106" s="99">
        <f t="shared" ca="1" si="7"/>
        <v>86.999920952720814</v>
      </c>
      <c r="X106" s="112">
        <f t="shared" ca="1" si="8"/>
        <v>82.000017463053226</v>
      </c>
      <c r="Y106" s="90">
        <f t="shared" ca="1" si="9"/>
        <v>73</v>
      </c>
      <c r="AA106" s="90" t="str">
        <f ca="1">IF($Y106="","",IF(OFFSET(C$55,'Intermediate Data'!$Y106,0)=-98,"Unknown",IF(OFFSET(C$55,'Intermediate Data'!$Y106,0)=-99,"N/A",OFFSET(C$55,'Intermediate Data'!$Y106,0))))</f>
        <v>Heat pump</v>
      </c>
      <c r="AB106" s="90">
        <f ca="1">IF($Y106="","",IF(OFFSET(D$55,'Intermediate Data'!$Y106,0)=-98,"N/A",IF(OFFSET(D$55,'Intermediate Data'!$Y106,0)=-99,"N/A",OFFSET(D$55,'Intermediate Data'!$Y106,0))))</f>
        <v>4.3999999999999997E-2</v>
      </c>
      <c r="AC106" s="90">
        <f ca="1">IF($Y106="","",IF(OFFSET(E$55,'Intermediate Data'!$Y106,0)=-98,"N/A",IF(OFFSET(E$55,'Intermediate Data'!$Y106,0)=-99,"N/A",OFFSET(E$55,'Intermediate Data'!$Y106,0))))</f>
        <v>4.0531049377393852E-2</v>
      </c>
      <c r="AD106" s="90" t="str">
        <f ca="1">IF($Y106="","",IF(OFFSET(F$55,'Intermediate Data'!$Y106,0)=-98,"N/A",IF(OFFSET(F$55,'Intermediate Data'!$Y106,0)=-99,"N/A",OFFSET(F$55,'Intermediate Data'!$Y106,0))))</f>
        <v>N/A</v>
      </c>
      <c r="AE106" s="90">
        <f ca="1">IF($Y106="","",IF(OFFSET(G$55,'Intermediate Data'!$Y106,0)=-98,"N/A",IF(OFFSET(G$55,'Intermediate Data'!$Y106,0)=-99,"N/A",OFFSET(G$55,'Intermediate Data'!$Y106,0))))</f>
        <v>5.6374665779841827E-2</v>
      </c>
      <c r="AF106" s="90">
        <f ca="1">IF($Y106="","",IF(OFFSET(H$55,'Intermediate Data'!$Y106,0)=-98,"N/A",IF(OFFSET(H$55,'Intermediate Data'!$Y106,0)=-99,"N/A",OFFSET(H$55,'Intermediate Data'!$Y106,0))))</f>
        <v>2.2585999999999998E-2</v>
      </c>
      <c r="AG106" s="90">
        <f ca="1">IF($Y106="","",IF(OFFSET(I$55,'Intermediate Data'!$Y106,0)=-98,"N/A",IF(OFFSET(I$55,'Intermediate Data'!$Y106,0)=-99,"N/A",OFFSET(I$55,'Intermediate Data'!$Y106,0))))</f>
        <v>2.2585999999999998E-2</v>
      </c>
      <c r="AH106" s="90" t="str">
        <f ca="1">IF($Y106="","",IF(OFFSET(J$55,'Intermediate Data'!$Y106,0)=-98,"N/A",IF(OFFSET(J$55,'Intermediate Data'!$Y106,0)=-99,"N/A",OFFSET(J$55,'Intermediate Data'!$Y106,0))))</f>
        <v>CLASS</v>
      </c>
      <c r="AI106" s="90" t="str">
        <f ca="1">IF($Y106="","",IF(OFFSET(K$55,'Intermediate Data'!$Y106,0)=-98,"N/A",IF(OFFSET(K$55,'Intermediate Data'!$Y106,0)=-99,"N/A",OFFSET(K$55,'Intermediate Data'!$Y106,0))))</f>
        <v>N/A</v>
      </c>
      <c r="AJ106" s="90">
        <f ca="1">IF($Y106="","",IF(OFFSET(L$55,'Intermediate Data'!$Y106,0)=-98,"N/A",IF(OFFSET(L$55,'Intermediate Data'!$Y106,0)=-99,"N/A",OFFSET(L$55,'Intermediate Data'!$Y106,0))))</f>
        <v>4.4268114450989965E-2</v>
      </c>
      <c r="AK106" s="90" t="str">
        <f ca="1">IF($Y106="","",IF(OFFSET(M$55,'Intermediate Data'!$Y106,0)=-98,"N/A",IF(OFFSET(M$55,'Intermediate Data'!$Y106,0)=-99,"N/A",OFFSET(M$55,'Intermediate Data'!$Y106,0))))</f>
        <v>N/A</v>
      </c>
      <c r="AL106" s="90">
        <f ca="1">IF($Y106="","",IF(OFFSET(N$55,'Intermediate Data'!$Y106,0)=-98,"N/A",IF(OFFSET(N$55,'Intermediate Data'!$Y106,0)=-99,"N/A",OFFSET(N$55,'Intermediate Data'!$Y106,0))))</f>
        <v>6.1386405006444072E-2</v>
      </c>
      <c r="AM106" s="90" t="str">
        <f ca="1">IF($Y106="","",IF(OFFSET(O$55,'Intermediate Data'!$Y106,0)=-98,"N/A",IF(OFFSET(O$55,'Intermediate Data'!$Y106,0)=-99,"N/A",OFFSET(O$55,'Intermediate Data'!$Y106,0))))</f>
        <v>N/A</v>
      </c>
      <c r="AN106" s="90">
        <f ca="1">IF($Y106="","",IF(OFFSET(P$55,'Intermediate Data'!$Y106,0)=-98,"N/A",IF(OFFSET(P$55,'Intermediate Data'!$Y106,0)=-99,"N/A",OFFSET(P$55,'Intermediate Data'!$Y106,0))))</f>
        <v>6.1386405006444072E-2</v>
      </c>
      <c r="AO106" s="90" t="str">
        <f ca="1">IF($Y106="","",IF(OFFSET(Q$55,'Intermediate Data'!$Y106,0)=-98,"N/A",IF(OFFSET(Q$55,'Intermediate Data'!$Y106,0)=-99,"N/A",OFFSET(Q$55,'Intermediate Data'!$Y106,0))))</f>
        <v>RASS</v>
      </c>
      <c r="AP106" s="697" t="str">
        <f ca="1">IF($Y106="","",IF(OFFSET(S$55,'Intermediate Data'!$Y106,0)=-98,"",IF(OFFSET(S$55,'Intermediate Data'!$Y106,0)=-99,"",OFFSET(S$55,'Intermediate Data'!$Y106,0))))</f>
        <v/>
      </c>
      <c r="AQ106" s="90">
        <f ca="1">IF($Y106="","",IF(OFFSET(T$55,'Intermediate Data'!$Y106,0)=-98,"Not published",IF(OFFSET(T$55,'Intermediate Data'!$Y106,0)=-99,"",OFFSET(T$55,'Intermediate Data'!$Y106,0))))</f>
        <v>0.37</v>
      </c>
      <c r="AR106" s="90">
        <f ca="1">IF($Y106="","",IF(OFFSET(U$55,'Intermediate Data'!$Y106,0)=-98,"Unknown",IF(OFFSET(U$55,'Intermediate Data'!$Y106,0)=-99,"",OFFSET(U$55,'Intermediate Data'!$Y106,0))))</f>
        <v>570</v>
      </c>
      <c r="AU106" s="112" t="str">
        <f ca="1">IF(AND(OFFSET(DATA!$F55,0,$AX$48)='Intermediate Data'!$AY$48,DATA!$E55="Tier 1"),IF(OR($AX$49=0,$AX$48=1),DATA!A55,IF(AND($AX$49=1,INDEX('Intermediate Data'!$AY$25:$AY$44,MATCH(DATA!$B55,'Intermediate Data'!$AX$25:$AX$44,0))=TRUE),DATA!A55,"")),"")</f>
        <v/>
      </c>
      <c r="AV106" s="112" t="str">
        <f ca="1">IF($AU106="","",DATA!B55)</f>
        <v/>
      </c>
      <c r="AW106" s="112" t="str">
        <f ca="1">IF(OR($AU106="",DATA!BI55=""),"",DATA!BI55)</f>
        <v/>
      </c>
      <c r="AX106" s="112" t="str">
        <f ca="1">IF(OR($AU106="",OFFSET(DATA!BK55,0,$AX$48)=""),"",OFFSET(DATA!BK55,0,$AX$48))</f>
        <v/>
      </c>
      <c r="AY106" s="112" t="str">
        <f ca="1">IF(OR($AU106="",OFFSET(DATA!BM55,0,$AX$48)=""),"",OFFSET(DATA!BM55,0,$AX$48))</f>
        <v/>
      </c>
      <c r="AZ106" s="112" t="str">
        <f ca="1">IF(OR($AU106="",OFFSET(DATA!BO55,0,'Intermediate Data'!$AX$48)=""),"",OFFSET(DATA!BO55,0,$AX$48))</f>
        <v/>
      </c>
      <c r="BA106" s="112" t="str">
        <f ca="1">IF(OR($AU106="",DATA!BQ55=""),"",DATA!BQ55)</f>
        <v/>
      </c>
      <c r="BB106" s="112" t="str">
        <f ca="1">IF($AU106="","",OFFSET(DATA!BS55,0,$AX$48))</f>
        <v/>
      </c>
      <c r="BC106" s="112" t="str">
        <f ca="1">IF($AU106="","",OFFSET(DATA!BU55,0,$AX$48))</f>
        <v/>
      </c>
      <c r="BD106" s="112" t="str">
        <f ca="1">IF($AU106="","",OFFSET(DATA!BW55,0,$AX$48))</f>
        <v/>
      </c>
      <c r="BE106" s="112" t="str">
        <f ca="1">IF($AU106="","",OFFSET(DATA!BY55,0,$AX$48))</f>
        <v/>
      </c>
      <c r="BF106" s="112" t="str">
        <f ca="1">IF($AU106="","",OFFSET(DATA!CA55,0,$AX$48))</f>
        <v/>
      </c>
      <c r="BG106" s="112" t="str">
        <f ca="1">IF($AU106="","",DATA!CC55)</f>
        <v/>
      </c>
      <c r="BH106" s="112" t="str">
        <f ca="1">IF($AU106="","",OFFSET(DATA!CE55,0,$AX$48))</f>
        <v/>
      </c>
      <c r="BI106" s="112" t="str">
        <f ca="1">IF($AU106="","",OFFSET(DATA!CG55,0,$AX$48))</f>
        <v/>
      </c>
      <c r="BJ106" s="112" t="str">
        <f ca="1">IF($AU106="","",OFFSET(DATA!CI55,0,$AX$48))</f>
        <v/>
      </c>
      <c r="BK106" s="112" t="str">
        <f ca="1">IF($AU106="","",OFFSET(DATA!CK55,0,$AX$48))</f>
        <v/>
      </c>
      <c r="BL106" s="112" t="str">
        <f ca="1">IF($AU106="","",OFFSET(DATA!CM55,0,$AX$48))</f>
        <v/>
      </c>
      <c r="BM106" s="112" t="str">
        <f ca="1">IF($AU106="","",DATA!BH55)</f>
        <v/>
      </c>
      <c r="BN106" s="112" t="str">
        <f ca="1">IF($AU106="","",DATA!DS55)</f>
        <v/>
      </c>
      <c r="BO106" s="112" t="str">
        <f ca="1">IF($AU106="","",DATA!DU55)</f>
        <v/>
      </c>
      <c r="BP106" s="112" t="str">
        <f ca="1">IF($AU106="","",DATA!DV55)</f>
        <v/>
      </c>
      <c r="BQ106" s="112" t="str">
        <f ca="1">IF($AU106="","",DATA!DX55)</f>
        <v/>
      </c>
      <c r="BR106" s="112" t="str">
        <f ca="1">IF($AU106="","",DATA!DZ55)</f>
        <v/>
      </c>
      <c r="BS106" s="171" t="str">
        <f ca="1">IF($AU106="","",DATA!EA55)</f>
        <v/>
      </c>
      <c r="BT106" s="171" t="str">
        <f ca="1">IF($AU106="","",DATA!EC55)</f>
        <v/>
      </c>
      <c r="BU106" s="171" t="str">
        <f ca="1">IF($AU106="","",DATA!EF55)</f>
        <v/>
      </c>
      <c r="BV106" s="113" t="str">
        <f t="shared" ca="1" si="10"/>
        <v/>
      </c>
      <c r="BW106" s="680" t="str">
        <f ca="1">IF(AU106="","",OFFSET(DATA!DC55,0,'Intermediate Data'!$AX$48))</f>
        <v/>
      </c>
      <c r="BX106" s="681" t="str">
        <f ca="1">IF($AU106="","",DATA!DG55)</f>
        <v/>
      </c>
      <c r="BY106" s="680" t="str">
        <f ca="1">IF($AU106="","",OFFSET(DATA!DE55,0,'Intermediate Data'!$AX$48))</f>
        <v/>
      </c>
      <c r="BZ106" s="681" t="str">
        <f ca="1">IF($AU106="","",DATA!DH55)</f>
        <v/>
      </c>
      <c r="CA106" s="90" t="str">
        <f t="shared" ca="1" si="11"/>
        <v/>
      </c>
      <c r="CB106" s="99" t="str">
        <f t="shared" ca="1" si="12"/>
        <v/>
      </c>
      <c r="CC106" s="90" t="str">
        <f t="shared" ca="1" si="13"/>
        <v/>
      </c>
      <c r="CD106" s="90" t="str">
        <f t="shared" ca="1" si="14"/>
        <v/>
      </c>
      <c r="CF106" s="90" t="str">
        <f ca="1">IF($CD106="","",IF(OFFSET(AV$55,'Intermediate Data'!$CD106,0)=-98,"Unknown",IF(OFFSET(AV$55,'Intermediate Data'!$CD106,0)=-99,"N/A",OFFSET(AV$55,'Intermediate Data'!$CD106,0))))</f>
        <v/>
      </c>
      <c r="CG106" s="90" t="str">
        <f ca="1">IF($CD106="","",IF(OFFSET(AW$55,'Intermediate Data'!$CD106,0)=-98,"",IF(OFFSET(AW$55,'Intermediate Data'!$CD106,0)=-99,"N/A",OFFSET(AW$55,'Intermediate Data'!$CD106,0))))</f>
        <v/>
      </c>
      <c r="CH106" s="90" t="str">
        <f ca="1">IF($CD106="","",IF(OFFSET(AX$55,'Intermediate Data'!$CD106,0)=-98,"Unknown",IF(OFFSET(AX$55,'Intermediate Data'!$CD106,0)=-99,"N/A",OFFSET(AX$55,'Intermediate Data'!$CD106,0))))</f>
        <v/>
      </c>
      <c r="CI106" s="125" t="str">
        <f ca="1">IF($CD106="","",IF(OFFSET(AY$55,'Intermediate Data'!$CD106,0)=-98,"Unknown",IF(OFFSET(AY$55,'Intermediate Data'!$CD106,0)=-99,"No spec",OFFSET(AY$55,'Intermediate Data'!$CD106,0))))</f>
        <v/>
      </c>
      <c r="CJ106" s="125" t="str">
        <f ca="1">IF($CD106="","",IF(OFFSET(AZ$55,'Intermediate Data'!$CD106,0)=-98,"Unknown",IF(OFFSET(AZ$55,'Intermediate Data'!$CD106,0)=-99,"N/A",OFFSET(AZ$55,'Intermediate Data'!$CD106,0))))</f>
        <v/>
      </c>
      <c r="CK106" s="90" t="str">
        <f ca="1">IF($CD106="","",IF(OFFSET(BA$55,'Intermediate Data'!$CD106,0)=-98,"Unknown",IF(OFFSET(BA$55,'Intermediate Data'!$CD106,0)=-99,"N/A",OFFSET(BA$55,'Intermediate Data'!$CD106,0))))</f>
        <v/>
      </c>
      <c r="CL106" s="90" t="str">
        <f ca="1">IF($CD106="","",IF(OFFSET(BB$55,'Intermediate Data'!$CD106,$AX$50)=-98,"Unknown",IF(OFFSET(BB$55,'Intermediate Data'!$CD106,$AX$50)="N/A","",OFFSET(BB$55,'Intermediate Data'!$CD106,$AX$50))))</f>
        <v/>
      </c>
      <c r="CM106" s="90" t="str">
        <f ca="1">IF($CD106="","",IF(OFFSET(BG$55,'Intermediate Data'!$CD106,0)="ET","ET",""))</f>
        <v/>
      </c>
      <c r="CN106" s="90" t="str">
        <f ca="1">IF($CD106="","",IF(OFFSET(BH$55,'Intermediate Data'!$CD106,$AX$50)=-98,"Unknown",IF(OFFSET(BH$55,'Intermediate Data'!$CD106,$AX$50)="N/A","",OFFSET(BH$55,'Intermediate Data'!$CD106,$AX$50))))</f>
        <v/>
      </c>
      <c r="CO106" s="90" t="str">
        <f ca="1">IF($CD106="","",IF(OFFSET(BM$55,'Intermediate Data'!$CD106,0)=-98,"Not published",IF(OFFSET(BM$55,'Intermediate Data'!$CD106,0)=-99,"No spec",OFFSET(BM$55,'Intermediate Data'!$CD106,0))))</f>
        <v/>
      </c>
      <c r="CP106" s="114" t="str">
        <f ca="1">IF($CD106="","",IF(OFFSET(BN$55,'Intermediate Data'!$CD106,0)=-98,"Unknown",IF(OFFSET(BN$55,'Intermediate Data'!$CD106,0)=-99,"N/A",OFFSET(BN$55,'Intermediate Data'!$CD106,0))))</f>
        <v/>
      </c>
      <c r="CQ106" s="114" t="str">
        <f ca="1">IF($CD106="","",IF(OFFSET(BO$55,'Intermediate Data'!$CD106,0)=-98,"Unknown",IF(OFFSET(BO$55,'Intermediate Data'!$CD106,0)=-99,"N/A",OFFSET(BO$55,'Intermediate Data'!$CD106,0))))</f>
        <v/>
      </c>
      <c r="CR106" s="114" t="str">
        <f ca="1">IF($CD106="","",IF(OFFSET(BP$55,'Intermediate Data'!$CD106,0)=-98,"Unknown",IF(OFFSET(BP$55,'Intermediate Data'!$CD106,0)=-99,"N/A",OFFSET(BP$55,'Intermediate Data'!$CD106,0))))</f>
        <v/>
      </c>
      <c r="CS106" s="114" t="str">
        <f ca="1">IF($CD106="","",IF(OFFSET(BQ$55,'Intermediate Data'!$CD106,0)=-98,"Unknown",IF(OFFSET(BQ$55,'Intermediate Data'!$CD106,0)=-99,"N/A",OFFSET(BQ$55,'Intermediate Data'!$CD106,0))))</f>
        <v/>
      </c>
      <c r="CT106" s="114" t="str">
        <f ca="1">IF($CD106="","",IF(OFFSET(BR$55,'Intermediate Data'!$CD106,0)=-98,"Unknown",IF(OFFSET(BR$55,'Intermediate Data'!$CD106,0)=-99,"N/A",OFFSET(BR$55,'Intermediate Data'!$CD106,0))))</f>
        <v/>
      </c>
      <c r="CU106" s="114" t="str">
        <f ca="1">IF($CD106="","",IF(OFFSET(BS$55,'Intermediate Data'!$CD106,0)=-98,"Unknown",IF(OFFSET(BS$55,'Intermediate Data'!$CD106,0)=-99,"N/A",OFFSET(BS$55,'Intermediate Data'!$CD106,0))))</f>
        <v/>
      </c>
      <c r="CV106" s="114" t="str">
        <f ca="1">IF($CD106="","",IF(OFFSET(BT$55,'Intermediate Data'!$CD106,0)=-98,"Unknown",IF(OFFSET(BT$55,'Intermediate Data'!$CD106,0)=-99,"N/A",OFFSET(BT$55,'Intermediate Data'!$CD106,0))))</f>
        <v/>
      </c>
      <c r="CW106" s="114" t="str">
        <f ca="1">IF($CD106="","",IF(OFFSET(BU$55,'Intermediate Data'!$CD106,0)=-98,"Unknown",IF(OFFSET(BU$55,'Intermediate Data'!$CD106,0)=-99,"N/A",OFFSET(BU$55,'Intermediate Data'!$CD106,0))))</f>
        <v/>
      </c>
      <c r="CX106" s="114" t="str">
        <f ca="1">IF($CD106="","",IF(OFFSET(BV$55,'Intermediate Data'!$CD106,0)=-98,"Unknown",IF(OFFSET(BV$55,'Intermediate Data'!$CD106,0)=-99,"N/A",OFFSET(BV$55,'Intermediate Data'!$CD106,0))))</f>
        <v/>
      </c>
      <c r="CY106" s="682" t="str">
        <f ca="1">IF($CD106="","",IF(OFFSET(BW$55,'Intermediate Data'!$CD106,0)=-98,"Unknown",IF(OFFSET(BW$55,'Intermediate Data'!$CD106,0)="N/A","",OFFSET(BW$55,'Intermediate Data'!$CD106,0))))</f>
        <v/>
      </c>
      <c r="CZ106" s="682" t="str">
        <f ca="1">IF($CD106="","",IF(OFFSET(BX$55,'Intermediate Data'!$CD106,0)=-98,"Unknown",IF(OFFSET(BX$55,'Intermediate Data'!$CD106,0)="N/A","",OFFSET(BX$55,'Intermediate Data'!$CD106,0))))</f>
        <v/>
      </c>
      <c r="DA106" s="682" t="str">
        <f ca="1">IF($CD106="","",IF(OFFSET(BY$55,'Intermediate Data'!$CD106,0)=-98,"Unknown",IF(OFFSET(BY$55,'Intermediate Data'!$CD106,0)="N/A","",OFFSET(BY$55,'Intermediate Data'!$CD106,0))))</f>
        <v/>
      </c>
      <c r="DB106" s="682" t="str">
        <f ca="1">IF($CD106="","",IF(OFFSET(BZ$55,'Intermediate Data'!$CD106,0)=-98,"Unknown",IF(OFFSET(BZ$55,'Intermediate Data'!$CD106,0)="N/A","",OFFSET(BZ$55,'Intermediate Data'!$CD106,0))))</f>
        <v/>
      </c>
    </row>
    <row r="107" spans="1:106" x14ac:dyDescent="0.2">
      <c r="A107" s="90">
        <f ca="1">IF(OFFSET(DATA!F56,0,$D$48)='Intermediate Data'!$E$48,IF(OR($E$49=$C$27,$E$48=$B$4),DATA!A56,IF($G$49=DATA!D56,DATA!A56,"")),"")</f>
        <v>52</v>
      </c>
      <c r="B107" s="90">
        <f ca="1">IF($A107="","",DATA!EH56)</f>
        <v>81</v>
      </c>
      <c r="C107" s="90" t="str">
        <f ca="1">IF($A107="","",DATA!B56)</f>
        <v>Home automation</v>
      </c>
      <c r="D107" s="90">
        <f ca="1">IF($A107="","",OFFSET(DATA!$H56,0,($D$50*5)))</f>
        <v>-99</v>
      </c>
      <c r="E107" s="90">
        <f ca="1">IF($A107="","",OFFSET(DATA!$H56,0,($D$50*5)+1))</f>
        <v>-99</v>
      </c>
      <c r="F107" s="90">
        <f ca="1">IF($A107="","",OFFSET(DATA!$H56,0,($D$50*5)+2))</f>
        <v>-99</v>
      </c>
      <c r="G107" s="90">
        <f ca="1">IF($A107="","",OFFSET(DATA!$H56,0,($D$50*5)+3))</f>
        <v>-99</v>
      </c>
      <c r="H107" s="90">
        <f ca="1">IF($A107="","",OFFSET(DATA!$H56,0,($D$50*5)+4))</f>
        <v>-99</v>
      </c>
      <c r="I107" s="90">
        <f t="shared" ca="1" si="2"/>
        <v>-99</v>
      </c>
      <c r="J107" s="90" t="str">
        <f t="shared" ca="1" si="3"/>
        <v/>
      </c>
      <c r="K107" s="90">
        <f ca="1">IF($A107="","",OFFSET(DATA!$AG56,0,($D$50*5)))</f>
        <v>-99</v>
      </c>
      <c r="L107" s="90">
        <f ca="1">IF($A107="","",OFFSET(DATA!$AG56,0,($D$50*5)+1))</f>
        <v>-99</v>
      </c>
      <c r="M107" s="90">
        <f ca="1">IF($A107="","",OFFSET(DATA!$AG56,0,($D$50*5)+2))</f>
        <v>-99</v>
      </c>
      <c r="N107" s="90">
        <f ca="1">IF($A107="","",OFFSET(DATA!$AG56,0,($D$50*5)+3))</f>
        <v>-99</v>
      </c>
      <c r="O107" s="90">
        <f ca="1">IF($A107="","",OFFSET(DATA!$AG56,0,($D$50*5)+4))</f>
        <v>-99</v>
      </c>
      <c r="P107" s="90">
        <f t="shared" ca="1" si="4"/>
        <v>-99</v>
      </c>
      <c r="Q107" s="90" t="str">
        <f t="shared" ca="1" si="5"/>
        <v/>
      </c>
      <c r="R107" s="699">
        <f ca="1">IF($A107="","",IF(DATA!BF56="",-99,DATA!BF56))</f>
        <v>-99</v>
      </c>
      <c r="S107" s="90">
        <f ca="1">IF($A107="","",IF(DATA!BG56="",-99,DATA!BF56-DATA!BG56))</f>
        <v>-99</v>
      </c>
      <c r="T107" s="90">
        <f ca="1">IF($A107="","",DATA!BH56)</f>
        <v>-99</v>
      </c>
      <c r="U107" s="90">
        <f ca="1">IF($A107="","",OFFSET(DATA!BM56,0,$D$48))</f>
        <v>-99</v>
      </c>
      <c r="V107" s="90">
        <f t="shared" ca="1" si="15"/>
        <v>81</v>
      </c>
      <c r="W107" s="99">
        <f t="shared" ca="1" si="7"/>
        <v>80.999881201070011</v>
      </c>
      <c r="X107" s="112">
        <f t="shared" ca="1" si="8"/>
        <v>80.999881201070011</v>
      </c>
      <c r="Y107" s="90">
        <f t="shared" ca="1" si="9"/>
        <v>52</v>
      </c>
      <c r="AA107" s="90" t="str">
        <f ca="1">IF($Y107="","",IF(OFFSET(C$55,'Intermediate Data'!$Y107,0)=-98,"Unknown",IF(OFFSET(C$55,'Intermediate Data'!$Y107,0)=-99,"N/A",OFFSET(C$55,'Intermediate Data'!$Y107,0))))</f>
        <v>Home automation</v>
      </c>
      <c r="AB107" s="90" t="str">
        <f ca="1">IF($Y107="","",IF(OFFSET(D$55,'Intermediate Data'!$Y107,0)=-98,"N/A",IF(OFFSET(D$55,'Intermediate Data'!$Y107,0)=-99,"N/A",OFFSET(D$55,'Intermediate Data'!$Y107,0))))</f>
        <v>N/A</v>
      </c>
      <c r="AC107" s="90" t="str">
        <f ca="1">IF($Y107="","",IF(OFFSET(E$55,'Intermediate Data'!$Y107,0)=-98,"N/A",IF(OFFSET(E$55,'Intermediate Data'!$Y107,0)=-99,"N/A",OFFSET(E$55,'Intermediate Data'!$Y107,0))))</f>
        <v>N/A</v>
      </c>
      <c r="AD107" s="90" t="str">
        <f ca="1">IF($Y107="","",IF(OFFSET(F$55,'Intermediate Data'!$Y107,0)=-98,"N/A",IF(OFFSET(F$55,'Intermediate Data'!$Y107,0)=-99,"N/A",OFFSET(F$55,'Intermediate Data'!$Y107,0))))</f>
        <v>N/A</v>
      </c>
      <c r="AE107" s="90" t="str">
        <f ca="1">IF($Y107="","",IF(OFFSET(G$55,'Intermediate Data'!$Y107,0)=-98,"N/A",IF(OFFSET(G$55,'Intermediate Data'!$Y107,0)=-99,"N/A",OFFSET(G$55,'Intermediate Data'!$Y107,0))))</f>
        <v>N/A</v>
      </c>
      <c r="AF107" s="90" t="str">
        <f ca="1">IF($Y107="","",IF(OFFSET(H$55,'Intermediate Data'!$Y107,0)=-98,"N/A",IF(OFFSET(H$55,'Intermediate Data'!$Y107,0)=-99,"N/A",OFFSET(H$55,'Intermediate Data'!$Y107,0))))</f>
        <v>N/A</v>
      </c>
      <c r="AG107" s="90" t="str">
        <f ca="1">IF($Y107="","",IF(OFFSET(I$55,'Intermediate Data'!$Y107,0)=-98,"N/A",IF(OFFSET(I$55,'Intermediate Data'!$Y107,0)=-99,"N/A",OFFSET(I$55,'Intermediate Data'!$Y107,0))))</f>
        <v>N/A</v>
      </c>
      <c r="AH107" s="90" t="str">
        <f ca="1">IF($Y107="","",IF(OFFSET(J$55,'Intermediate Data'!$Y107,0)=-98,"N/A",IF(OFFSET(J$55,'Intermediate Data'!$Y107,0)=-99,"N/A",OFFSET(J$55,'Intermediate Data'!$Y107,0))))</f>
        <v/>
      </c>
      <c r="AI107" s="90" t="str">
        <f ca="1">IF($Y107="","",IF(OFFSET(K$55,'Intermediate Data'!$Y107,0)=-98,"N/A",IF(OFFSET(K$55,'Intermediate Data'!$Y107,0)=-99,"N/A",OFFSET(K$55,'Intermediate Data'!$Y107,0))))</f>
        <v>N/A</v>
      </c>
      <c r="AJ107" s="90" t="str">
        <f ca="1">IF($Y107="","",IF(OFFSET(L$55,'Intermediate Data'!$Y107,0)=-98,"N/A",IF(OFFSET(L$55,'Intermediate Data'!$Y107,0)=-99,"N/A",OFFSET(L$55,'Intermediate Data'!$Y107,0))))</f>
        <v>N/A</v>
      </c>
      <c r="AK107" s="90" t="str">
        <f ca="1">IF($Y107="","",IF(OFFSET(M$55,'Intermediate Data'!$Y107,0)=-98,"N/A",IF(OFFSET(M$55,'Intermediate Data'!$Y107,0)=-99,"N/A",OFFSET(M$55,'Intermediate Data'!$Y107,0))))</f>
        <v>N/A</v>
      </c>
      <c r="AL107" s="90" t="str">
        <f ca="1">IF($Y107="","",IF(OFFSET(N$55,'Intermediate Data'!$Y107,0)=-98,"N/A",IF(OFFSET(N$55,'Intermediate Data'!$Y107,0)=-99,"N/A",OFFSET(N$55,'Intermediate Data'!$Y107,0))))</f>
        <v>N/A</v>
      </c>
      <c r="AM107" s="90" t="str">
        <f ca="1">IF($Y107="","",IF(OFFSET(O$55,'Intermediate Data'!$Y107,0)=-98,"N/A",IF(OFFSET(O$55,'Intermediate Data'!$Y107,0)=-99,"N/A",OFFSET(O$55,'Intermediate Data'!$Y107,0))))</f>
        <v>N/A</v>
      </c>
      <c r="AN107" s="90" t="str">
        <f ca="1">IF($Y107="","",IF(OFFSET(P$55,'Intermediate Data'!$Y107,0)=-98,"N/A",IF(OFFSET(P$55,'Intermediate Data'!$Y107,0)=-99,"N/A",OFFSET(P$55,'Intermediate Data'!$Y107,0))))</f>
        <v>N/A</v>
      </c>
      <c r="AO107" s="90" t="str">
        <f ca="1">IF($Y107="","",IF(OFFSET(Q$55,'Intermediate Data'!$Y107,0)=-98,"N/A",IF(OFFSET(Q$55,'Intermediate Data'!$Y107,0)=-99,"N/A",OFFSET(Q$55,'Intermediate Data'!$Y107,0))))</f>
        <v/>
      </c>
      <c r="AP107" s="697" t="str">
        <f ca="1">IF($Y107="","",IF(OFFSET(S$55,'Intermediate Data'!$Y107,0)=-98,"",IF(OFFSET(S$55,'Intermediate Data'!$Y107,0)=-99,"",OFFSET(S$55,'Intermediate Data'!$Y107,0))))</f>
        <v/>
      </c>
      <c r="AQ107" s="90" t="str">
        <f ca="1">IF($Y107="","",IF(OFFSET(T$55,'Intermediate Data'!$Y107,0)=-98,"Not published",IF(OFFSET(T$55,'Intermediate Data'!$Y107,0)=-99,"",OFFSET(T$55,'Intermediate Data'!$Y107,0))))</f>
        <v/>
      </c>
      <c r="AR107" s="90" t="str">
        <f ca="1">IF($Y107="","",IF(OFFSET(U$55,'Intermediate Data'!$Y107,0)=-98,"Unknown",IF(OFFSET(U$55,'Intermediate Data'!$Y107,0)=-99,"",OFFSET(U$55,'Intermediate Data'!$Y107,0))))</f>
        <v/>
      </c>
      <c r="AU107" s="112" t="str">
        <f ca="1">IF(AND(OFFSET(DATA!$F56,0,$AX$48)='Intermediate Data'!$AY$48,DATA!$E56="Tier 1"),IF(OR($AX$49=0,$AX$48=1),DATA!A56,IF(AND($AX$49=1,INDEX('Intermediate Data'!$AY$25:$AY$44,MATCH(DATA!$B56,'Intermediate Data'!$AX$25:$AX$44,0))=TRUE),DATA!A56,"")),"")</f>
        <v/>
      </c>
      <c r="AV107" s="112" t="str">
        <f ca="1">IF($AU107="","",DATA!B56)</f>
        <v/>
      </c>
      <c r="AW107" s="112" t="str">
        <f ca="1">IF(OR($AU107="",DATA!BI56=""),"",DATA!BI56)</f>
        <v/>
      </c>
      <c r="AX107" s="112" t="str">
        <f ca="1">IF(OR($AU107="",OFFSET(DATA!BK56,0,$AX$48)=""),"",OFFSET(DATA!BK56,0,$AX$48))</f>
        <v/>
      </c>
      <c r="AY107" s="112" t="str">
        <f ca="1">IF(OR($AU107="",OFFSET(DATA!BM56,0,$AX$48)=""),"",OFFSET(DATA!BM56,0,$AX$48))</f>
        <v/>
      </c>
      <c r="AZ107" s="112" t="str">
        <f ca="1">IF(OR($AU107="",OFFSET(DATA!BO56,0,'Intermediate Data'!$AX$48)=""),"",OFFSET(DATA!BO56,0,$AX$48))</f>
        <v/>
      </c>
      <c r="BA107" s="112" t="str">
        <f ca="1">IF(OR($AU107="",DATA!BQ56=""),"",DATA!BQ56)</f>
        <v/>
      </c>
      <c r="BB107" s="112" t="str">
        <f ca="1">IF($AU107="","",OFFSET(DATA!BS56,0,$AX$48))</f>
        <v/>
      </c>
      <c r="BC107" s="112" t="str">
        <f ca="1">IF($AU107="","",OFFSET(DATA!BU56,0,$AX$48))</f>
        <v/>
      </c>
      <c r="BD107" s="112" t="str">
        <f ca="1">IF($AU107="","",OFFSET(DATA!BW56,0,$AX$48))</f>
        <v/>
      </c>
      <c r="BE107" s="112" t="str">
        <f ca="1">IF($AU107="","",OFFSET(DATA!BY56,0,$AX$48))</f>
        <v/>
      </c>
      <c r="BF107" s="112" t="str">
        <f ca="1">IF($AU107="","",OFFSET(DATA!CA56,0,$AX$48))</f>
        <v/>
      </c>
      <c r="BG107" s="112" t="str">
        <f ca="1">IF($AU107="","",DATA!CC56)</f>
        <v/>
      </c>
      <c r="BH107" s="112" t="str">
        <f ca="1">IF($AU107="","",OFFSET(DATA!CE56,0,$AX$48))</f>
        <v/>
      </c>
      <c r="BI107" s="112" t="str">
        <f ca="1">IF($AU107="","",OFFSET(DATA!CG56,0,$AX$48))</f>
        <v/>
      </c>
      <c r="BJ107" s="112" t="str">
        <f ca="1">IF($AU107="","",OFFSET(DATA!CI56,0,$AX$48))</f>
        <v/>
      </c>
      <c r="BK107" s="112" t="str">
        <f ca="1">IF($AU107="","",OFFSET(DATA!CK56,0,$AX$48))</f>
        <v/>
      </c>
      <c r="BL107" s="112" t="str">
        <f ca="1">IF($AU107="","",OFFSET(DATA!CM56,0,$AX$48))</f>
        <v/>
      </c>
      <c r="BM107" s="112" t="str">
        <f ca="1">IF($AU107="","",DATA!BH56)</f>
        <v/>
      </c>
      <c r="BN107" s="112" t="str">
        <f ca="1">IF($AU107="","",DATA!DS56)</f>
        <v/>
      </c>
      <c r="BO107" s="112" t="str">
        <f ca="1">IF($AU107="","",DATA!DU56)</f>
        <v/>
      </c>
      <c r="BP107" s="112" t="str">
        <f ca="1">IF($AU107="","",DATA!DV56)</f>
        <v/>
      </c>
      <c r="BQ107" s="112" t="str">
        <f ca="1">IF($AU107="","",DATA!DX56)</f>
        <v/>
      </c>
      <c r="BR107" s="112" t="str">
        <f ca="1">IF($AU107="","",DATA!DZ56)</f>
        <v/>
      </c>
      <c r="BS107" s="171" t="str">
        <f ca="1">IF($AU107="","",DATA!EA56)</f>
        <v/>
      </c>
      <c r="BT107" s="171" t="str">
        <f ca="1">IF($AU107="","",DATA!EC56)</f>
        <v/>
      </c>
      <c r="BU107" s="171" t="str">
        <f ca="1">IF($AU107="","",DATA!EF56)</f>
        <v/>
      </c>
      <c r="BV107" s="113" t="str">
        <f t="shared" ca="1" si="10"/>
        <v/>
      </c>
      <c r="BW107" s="680" t="str">
        <f ca="1">IF(AU107="","",OFFSET(DATA!DC56,0,'Intermediate Data'!$AX$48))</f>
        <v/>
      </c>
      <c r="BX107" s="681" t="str">
        <f ca="1">IF($AU107="","",DATA!DG56)</f>
        <v/>
      </c>
      <c r="BY107" s="680" t="str">
        <f ca="1">IF($AU107="","",OFFSET(DATA!DE56,0,'Intermediate Data'!$AX$48))</f>
        <v/>
      </c>
      <c r="BZ107" s="681" t="str">
        <f ca="1">IF($AU107="","",DATA!DH56)</f>
        <v/>
      </c>
      <c r="CA107" s="90" t="str">
        <f t="shared" ca="1" si="11"/>
        <v/>
      </c>
      <c r="CB107" s="99" t="str">
        <f t="shared" ca="1" si="12"/>
        <v/>
      </c>
      <c r="CC107" s="90" t="str">
        <f t="shared" ca="1" si="13"/>
        <v/>
      </c>
      <c r="CD107" s="90" t="str">
        <f t="shared" ca="1" si="14"/>
        <v/>
      </c>
      <c r="CF107" s="90" t="str">
        <f ca="1">IF($CD107="","",IF(OFFSET(AV$55,'Intermediate Data'!$CD107,0)=-98,"Unknown",IF(OFFSET(AV$55,'Intermediate Data'!$CD107,0)=-99,"N/A",OFFSET(AV$55,'Intermediate Data'!$CD107,0))))</f>
        <v/>
      </c>
      <c r="CG107" s="90" t="str">
        <f ca="1">IF($CD107="","",IF(OFFSET(AW$55,'Intermediate Data'!$CD107,0)=-98,"",IF(OFFSET(AW$55,'Intermediate Data'!$CD107,0)=-99,"N/A",OFFSET(AW$55,'Intermediate Data'!$CD107,0))))</f>
        <v/>
      </c>
      <c r="CH107" s="90" t="str">
        <f ca="1">IF($CD107="","",IF(OFFSET(AX$55,'Intermediate Data'!$CD107,0)=-98,"Unknown",IF(OFFSET(AX$55,'Intermediate Data'!$CD107,0)=-99,"N/A",OFFSET(AX$55,'Intermediate Data'!$CD107,0))))</f>
        <v/>
      </c>
      <c r="CI107" s="125" t="str">
        <f ca="1">IF($CD107="","",IF(OFFSET(AY$55,'Intermediate Data'!$CD107,0)=-98,"Unknown",IF(OFFSET(AY$55,'Intermediate Data'!$CD107,0)=-99,"No spec",OFFSET(AY$55,'Intermediate Data'!$CD107,0))))</f>
        <v/>
      </c>
      <c r="CJ107" s="125" t="str">
        <f ca="1">IF($CD107="","",IF(OFFSET(AZ$55,'Intermediate Data'!$CD107,0)=-98,"Unknown",IF(OFFSET(AZ$55,'Intermediate Data'!$CD107,0)=-99,"N/A",OFFSET(AZ$55,'Intermediate Data'!$CD107,0))))</f>
        <v/>
      </c>
      <c r="CK107" s="90" t="str">
        <f ca="1">IF($CD107="","",IF(OFFSET(BA$55,'Intermediate Data'!$CD107,0)=-98,"Unknown",IF(OFFSET(BA$55,'Intermediate Data'!$CD107,0)=-99,"N/A",OFFSET(BA$55,'Intermediate Data'!$CD107,0))))</f>
        <v/>
      </c>
      <c r="CL107" s="90" t="str">
        <f ca="1">IF($CD107="","",IF(OFFSET(BB$55,'Intermediate Data'!$CD107,$AX$50)=-98,"Unknown",IF(OFFSET(BB$55,'Intermediate Data'!$CD107,$AX$50)="N/A","",OFFSET(BB$55,'Intermediate Data'!$CD107,$AX$50))))</f>
        <v/>
      </c>
      <c r="CM107" s="90" t="str">
        <f ca="1">IF($CD107="","",IF(OFFSET(BG$55,'Intermediate Data'!$CD107,0)="ET","ET",""))</f>
        <v/>
      </c>
      <c r="CN107" s="90" t="str">
        <f ca="1">IF($CD107="","",IF(OFFSET(BH$55,'Intermediate Data'!$CD107,$AX$50)=-98,"Unknown",IF(OFFSET(BH$55,'Intermediate Data'!$CD107,$AX$50)="N/A","",OFFSET(BH$55,'Intermediate Data'!$CD107,$AX$50))))</f>
        <v/>
      </c>
      <c r="CO107" s="90" t="str">
        <f ca="1">IF($CD107="","",IF(OFFSET(BM$55,'Intermediate Data'!$CD107,0)=-98,"Not published",IF(OFFSET(BM$55,'Intermediate Data'!$CD107,0)=-99,"No spec",OFFSET(BM$55,'Intermediate Data'!$CD107,0))))</f>
        <v/>
      </c>
      <c r="CP107" s="114" t="str">
        <f ca="1">IF($CD107="","",IF(OFFSET(BN$55,'Intermediate Data'!$CD107,0)=-98,"Unknown",IF(OFFSET(BN$55,'Intermediate Data'!$CD107,0)=-99,"N/A",OFFSET(BN$55,'Intermediate Data'!$CD107,0))))</f>
        <v/>
      </c>
      <c r="CQ107" s="114" t="str">
        <f ca="1">IF($CD107="","",IF(OFFSET(BO$55,'Intermediate Data'!$CD107,0)=-98,"Unknown",IF(OFFSET(BO$55,'Intermediate Data'!$CD107,0)=-99,"N/A",OFFSET(BO$55,'Intermediate Data'!$CD107,0))))</f>
        <v/>
      </c>
      <c r="CR107" s="114" t="str">
        <f ca="1">IF($CD107="","",IF(OFFSET(BP$55,'Intermediate Data'!$CD107,0)=-98,"Unknown",IF(OFFSET(BP$55,'Intermediate Data'!$CD107,0)=-99,"N/A",OFFSET(BP$55,'Intermediate Data'!$CD107,0))))</f>
        <v/>
      </c>
      <c r="CS107" s="114" t="str">
        <f ca="1">IF($CD107="","",IF(OFFSET(BQ$55,'Intermediate Data'!$CD107,0)=-98,"Unknown",IF(OFFSET(BQ$55,'Intermediate Data'!$CD107,0)=-99,"N/A",OFFSET(BQ$55,'Intermediate Data'!$CD107,0))))</f>
        <v/>
      </c>
      <c r="CT107" s="114" t="str">
        <f ca="1">IF($CD107="","",IF(OFFSET(BR$55,'Intermediate Data'!$CD107,0)=-98,"Unknown",IF(OFFSET(BR$55,'Intermediate Data'!$CD107,0)=-99,"N/A",OFFSET(BR$55,'Intermediate Data'!$CD107,0))))</f>
        <v/>
      </c>
      <c r="CU107" s="114" t="str">
        <f ca="1">IF($CD107="","",IF(OFFSET(BS$55,'Intermediate Data'!$CD107,0)=-98,"Unknown",IF(OFFSET(BS$55,'Intermediate Data'!$CD107,0)=-99,"N/A",OFFSET(BS$55,'Intermediate Data'!$CD107,0))))</f>
        <v/>
      </c>
      <c r="CV107" s="114" t="str">
        <f ca="1">IF($CD107="","",IF(OFFSET(BT$55,'Intermediate Data'!$CD107,0)=-98,"Unknown",IF(OFFSET(BT$55,'Intermediate Data'!$CD107,0)=-99,"N/A",OFFSET(BT$55,'Intermediate Data'!$CD107,0))))</f>
        <v/>
      </c>
      <c r="CW107" s="114" t="str">
        <f ca="1">IF($CD107="","",IF(OFFSET(BU$55,'Intermediate Data'!$CD107,0)=-98,"Unknown",IF(OFFSET(BU$55,'Intermediate Data'!$CD107,0)=-99,"N/A",OFFSET(BU$55,'Intermediate Data'!$CD107,0))))</f>
        <v/>
      </c>
      <c r="CX107" s="114" t="str">
        <f ca="1">IF($CD107="","",IF(OFFSET(BV$55,'Intermediate Data'!$CD107,0)=-98,"Unknown",IF(OFFSET(BV$55,'Intermediate Data'!$CD107,0)=-99,"N/A",OFFSET(BV$55,'Intermediate Data'!$CD107,0))))</f>
        <v/>
      </c>
      <c r="CY107" s="682" t="str">
        <f ca="1">IF($CD107="","",IF(OFFSET(BW$55,'Intermediate Data'!$CD107,0)=-98,"Unknown",IF(OFFSET(BW$55,'Intermediate Data'!$CD107,0)="N/A","",OFFSET(BW$55,'Intermediate Data'!$CD107,0))))</f>
        <v/>
      </c>
      <c r="CZ107" s="682" t="str">
        <f ca="1">IF($CD107="","",IF(OFFSET(BX$55,'Intermediate Data'!$CD107,0)=-98,"Unknown",IF(OFFSET(BX$55,'Intermediate Data'!$CD107,0)="N/A","",OFFSET(BX$55,'Intermediate Data'!$CD107,0))))</f>
        <v/>
      </c>
      <c r="DA107" s="682" t="str">
        <f ca="1">IF($CD107="","",IF(OFFSET(BY$55,'Intermediate Data'!$CD107,0)=-98,"Unknown",IF(OFFSET(BY$55,'Intermediate Data'!$CD107,0)="N/A","",OFFSET(BY$55,'Intermediate Data'!$CD107,0))))</f>
        <v/>
      </c>
      <c r="DB107" s="682" t="str">
        <f ca="1">IF($CD107="","",IF(OFFSET(BZ$55,'Intermediate Data'!$CD107,0)=-98,"Unknown",IF(OFFSET(BZ$55,'Intermediate Data'!$CD107,0)="N/A","",OFFSET(BZ$55,'Intermediate Data'!$CD107,0))))</f>
        <v/>
      </c>
    </row>
    <row r="108" spans="1:106" x14ac:dyDescent="0.2">
      <c r="A108" s="90">
        <f ca="1">IF(OFFSET(DATA!F57,0,$D$48)='Intermediate Data'!$E$48,IF(OR($E$49=$C$27,$E$48=$B$4),DATA!A57,IF($G$49=DATA!D57,DATA!A57,"")),"")</f>
        <v>53</v>
      </c>
      <c r="B108" s="90">
        <f ca="1">IF($A108="","",DATA!EH57)</f>
        <v>79</v>
      </c>
      <c r="C108" s="90" t="str">
        <f ca="1">IF($A108="","",DATA!B57)</f>
        <v>Home Theater in a Box</v>
      </c>
      <c r="D108" s="90">
        <f ca="1">IF($A108="","",OFFSET(DATA!$H57,0,($D$50*5)))</f>
        <v>-99</v>
      </c>
      <c r="E108" s="90">
        <f ca="1">IF($A108="","",OFFSET(DATA!$H57,0,($D$50*5)+1))</f>
        <v>-99</v>
      </c>
      <c r="F108" s="90">
        <f ca="1">IF($A108="","",OFFSET(DATA!$H57,0,($D$50*5)+2))</f>
        <v>-99</v>
      </c>
      <c r="G108" s="90">
        <f ca="1">IF($A108="","",OFFSET(DATA!$H57,0,($D$50*5)+3))</f>
        <v>-99</v>
      </c>
      <c r="H108" s="90">
        <f ca="1">IF($A108="","",OFFSET(DATA!$H57,0,($D$50*5)+4))</f>
        <v>-98</v>
      </c>
      <c r="I108" s="90">
        <f t="shared" ca="1" si="2"/>
        <v>-99</v>
      </c>
      <c r="J108" s="90" t="str">
        <f t="shared" ca="1" si="3"/>
        <v/>
      </c>
      <c r="K108" s="90">
        <f ca="1">IF($A108="","",OFFSET(DATA!$AG57,0,($D$50*5)))</f>
        <v>-99</v>
      </c>
      <c r="L108" s="90">
        <f ca="1">IF($A108="","",OFFSET(DATA!$AG57,0,($D$50*5)+1))</f>
        <v>-99</v>
      </c>
      <c r="M108" s="90">
        <f ca="1">IF($A108="","",OFFSET(DATA!$AG57,0,($D$50*5)+2))</f>
        <v>-99</v>
      </c>
      <c r="N108" s="90">
        <f ca="1">IF($A108="","",OFFSET(DATA!$AG57,0,($D$50*5)+3))</f>
        <v>-99</v>
      </c>
      <c r="O108" s="90">
        <f ca="1">IF($A108="","",OFFSET(DATA!$AG57,0,($D$50*5)+4))</f>
        <v>-99</v>
      </c>
      <c r="P108" s="90">
        <f t="shared" ca="1" si="4"/>
        <v>-99</v>
      </c>
      <c r="Q108" s="90" t="str">
        <f t="shared" ca="1" si="5"/>
        <v/>
      </c>
      <c r="R108" s="699">
        <f ca="1">IF($A108="","",IF(DATA!BF57="",-99,DATA!BF57))</f>
        <v>-99</v>
      </c>
      <c r="S108" s="90">
        <f ca="1">IF($A108="","",IF(DATA!BG57="",-99,DATA!BF57-DATA!BG57))</f>
        <v>-99</v>
      </c>
      <c r="T108" s="90">
        <f ca="1">IF($A108="","",DATA!BH57)</f>
        <v>0.04</v>
      </c>
      <c r="U108" s="90">
        <f ca="1">IF($A108="","",OFFSET(DATA!BM57,0,$D$48))</f>
        <v>-98</v>
      </c>
      <c r="V108" s="90">
        <f t="shared" ca="1" si="15"/>
        <v>79</v>
      </c>
      <c r="W108" s="99">
        <f t="shared" ca="1" si="7"/>
        <v>78.999891305079998</v>
      </c>
      <c r="X108" s="112">
        <f t="shared" ca="1" si="8"/>
        <v>79.999910932156695</v>
      </c>
      <c r="Y108" s="90">
        <f t="shared" ca="1" si="9"/>
        <v>62</v>
      </c>
      <c r="AA108" s="90" t="str">
        <f ca="1">IF($Y108="","",IF(OFFSET(C$55,'Intermediate Data'!$Y108,0)=-98,"Unknown",IF(OFFSET(C$55,'Intermediate Data'!$Y108,0)=-99,"N/A",OFFSET(C$55,'Intermediate Data'!$Y108,0))))</f>
        <v>Home shop device</v>
      </c>
      <c r="AB108" s="90" t="str">
        <f ca="1">IF($Y108="","",IF(OFFSET(D$55,'Intermediate Data'!$Y108,0)=-98,"N/A",IF(OFFSET(D$55,'Intermediate Data'!$Y108,0)=-99,"N/A",OFFSET(D$55,'Intermediate Data'!$Y108,0))))</f>
        <v>N/A</v>
      </c>
      <c r="AC108" s="90">
        <f ca="1">IF($Y108="","",IF(OFFSET(E$55,'Intermediate Data'!$Y108,0)=-98,"N/A",IF(OFFSET(E$55,'Intermediate Data'!$Y108,0)=-99,"N/A",OFFSET(E$55,'Intermediate Data'!$Y108,0))))</f>
        <v>0.10302462686472426</v>
      </c>
      <c r="AD108" s="90" t="str">
        <f ca="1">IF($Y108="","",IF(OFFSET(F$55,'Intermediate Data'!$Y108,0)=-98,"N/A",IF(OFFSET(F$55,'Intermediate Data'!$Y108,0)=-99,"N/A",OFFSET(F$55,'Intermediate Data'!$Y108,0))))</f>
        <v>N/A</v>
      </c>
      <c r="AE108" s="90">
        <f ca="1">IF($Y108="","",IF(OFFSET(G$55,'Intermediate Data'!$Y108,0)=-98,"N/A",IF(OFFSET(G$55,'Intermediate Data'!$Y108,0)=-99,"N/A",OFFSET(G$55,'Intermediate Data'!$Y108,0))))</f>
        <v>0.1034211599950292</v>
      </c>
      <c r="AF108" s="90" t="str">
        <f ca="1">IF($Y108="","",IF(OFFSET(H$55,'Intermediate Data'!$Y108,0)=-98,"N/A",IF(OFFSET(H$55,'Intermediate Data'!$Y108,0)=-99,"N/A",OFFSET(H$55,'Intermediate Data'!$Y108,0))))</f>
        <v>N/A</v>
      </c>
      <c r="AG108" s="90">
        <f ca="1">IF($Y108="","",IF(OFFSET(I$55,'Intermediate Data'!$Y108,0)=-98,"N/A",IF(OFFSET(I$55,'Intermediate Data'!$Y108,0)=-99,"N/A",OFFSET(I$55,'Intermediate Data'!$Y108,0))))</f>
        <v>0.1034211599950292</v>
      </c>
      <c r="AH108" s="90" t="str">
        <f ca="1">IF($Y108="","",IF(OFFSET(J$55,'Intermediate Data'!$Y108,0)=-98,"N/A",IF(OFFSET(J$55,'Intermediate Data'!$Y108,0)=-99,"N/A",OFFSET(J$55,'Intermediate Data'!$Y108,0))))</f>
        <v>RASS</v>
      </c>
      <c r="AI108" s="90" t="str">
        <f ca="1">IF($Y108="","",IF(OFFSET(K$55,'Intermediate Data'!$Y108,0)=-98,"N/A",IF(OFFSET(K$55,'Intermediate Data'!$Y108,0)=-99,"N/A",OFFSET(K$55,'Intermediate Data'!$Y108,0))))</f>
        <v>N/A</v>
      </c>
      <c r="AJ108" s="90" t="str">
        <f ca="1">IF($Y108="","",IF(OFFSET(L$55,'Intermediate Data'!$Y108,0)=-98,"N/A",IF(OFFSET(L$55,'Intermediate Data'!$Y108,0)=-99,"N/A",OFFSET(L$55,'Intermediate Data'!$Y108,0))))</f>
        <v>N/A</v>
      </c>
      <c r="AK108" s="90" t="str">
        <f ca="1">IF($Y108="","",IF(OFFSET(M$55,'Intermediate Data'!$Y108,0)=-98,"N/A",IF(OFFSET(M$55,'Intermediate Data'!$Y108,0)=-99,"N/A",OFFSET(M$55,'Intermediate Data'!$Y108,0))))</f>
        <v>N/A</v>
      </c>
      <c r="AL108" s="90" t="str">
        <f ca="1">IF($Y108="","",IF(OFFSET(N$55,'Intermediate Data'!$Y108,0)=-98,"N/A",IF(OFFSET(N$55,'Intermediate Data'!$Y108,0)=-99,"N/A",OFFSET(N$55,'Intermediate Data'!$Y108,0))))</f>
        <v>N/A</v>
      </c>
      <c r="AM108" s="90" t="str">
        <f ca="1">IF($Y108="","",IF(OFFSET(O$55,'Intermediate Data'!$Y108,0)=-98,"N/A",IF(OFFSET(O$55,'Intermediate Data'!$Y108,0)=-99,"N/A",OFFSET(O$55,'Intermediate Data'!$Y108,0))))</f>
        <v>N/A</v>
      </c>
      <c r="AN108" s="90" t="str">
        <f ca="1">IF($Y108="","",IF(OFFSET(P$55,'Intermediate Data'!$Y108,0)=-98,"N/A",IF(OFFSET(P$55,'Intermediate Data'!$Y108,0)=-99,"N/A",OFFSET(P$55,'Intermediate Data'!$Y108,0))))</f>
        <v>N/A</v>
      </c>
      <c r="AO108" s="90" t="str">
        <f ca="1">IF($Y108="","",IF(OFFSET(Q$55,'Intermediate Data'!$Y108,0)=-98,"N/A",IF(OFFSET(Q$55,'Intermediate Data'!$Y108,0)=-99,"N/A",OFFSET(Q$55,'Intermediate Data'!$Y108,0))))</f>
        <v/>
      </c>
      <c r="AP108" s="697" t="str">
        <f ca="1">IF($Y108="","",IF(OFFSET(S$55,'Intermediate Data'!$Y108,0)=-98,"",IF(OFFSET(S$55,'Intermediate Data'!$Y108,0)=-99,"",OFFSET(S$55,'Intermediate Data'!$Y108,0))))</f>
        <v/>
      </c>
      <c r="AQ108" s="90" t="str">
        <f ca="1">IF($Y108="","",IF(OFFSET(T$55,'Intermediate Data'!$Y108,0)=-98,"Not published",IF(OFFSET(T$55,'Intermediate Data'!$Y108,0)=-99,"",OFFSET(T$55,'Intermediate Data'!$Y108,0))))</f>
        <v/>
      </c>
      <c r="AR108" s="90" t="str">
        <f ca="1">IF($Y108="","",IF(OFFSET(U$55,'Intermediate Data'!$Y108,0)=-98,"Unknown",IF(OFFSET(U$55,'Intermediate Data'!$Y108,0)=-99,"",OFFSET(U$55,'Intermediate Data'!$Y108,0))))</f>
        <v/>
      </c>
      <c r="AU108" s="112" t="str">
        <f ca="1">IF(AND(OFFSET(DATA!$F57,0,$AX$48)='Intermediate Data'!$AY$48,DATA!$E57="Tier 1"),IF(OR($AX$49=0,$AX$48=1),DATA!A57,IF(AND($AX$49=1,INDEX('Intermediate Data'!$AY$25:$AY$44,MATCH(DATA!$B57,'Intermediate Data'!$AX$25:$AX$44,0))=TRUE),DATA!A57,"")),"")</f>
        <v/>
      </c>
      <c r="AV108" s="112" t="str">
        <f ca="1">IF($AU108="","",DATA!B57)</f>
        <v/>
      </c>
      <c r="AW108" s="112" t="str">
        <f ca="1">IF(OR($AU108="",DATA!BI57=""),"",DATA!BI57)</f>
        <v/>
      </c>
      <c r="AX108" s="112" t="str">
        <f ca="1">IF(OR($AU108="",OFFSET(DATA!BK57,0,$AX$48)=""),"",OFFSET(DATA!BK57,0,$AX$48))</f>
        <v/>
      </c>
      <c r="AY108" s="112" t="str">
        <f ca="1">IF(OR($AU108="",OFFSET(DATA!BM57,0,$AX$48)=""),"",OFFSET(DATA!BM57,0,$AX$48))</f>
        <v/>
      </c>
      <c r="AZ108" s="112" t="str">
        <f ca="1">IF(OR($AU108="",OFFSET(DATA!BO57,0,'Intermediate Data'!$AX$48)=""),"",OFFSET(DATA!BO57,0,$AX$48))</f>
        <v/>
      </c>
      <c r="BA108" s="112" t="str">
        <f ca="1">IF(OR($AU108="",DATA!BQ57=""),"",DATA!BQ57)</f>
        <v/>
      </c>
      <c r="BB108" s="112" t="str">
        <f ca="1">IF($AU108="","",OFFSET(DATA!BS57,0,$AX$48))</f>
        <v/>
      </c>
      <c r="BC108" s="112" t="str">
        <f ca="1">IF($AU108="","",OFFSET(DATA!BU57,0,$AX$48))</f>
        <v/>
      </c>
      <c r="BD108" s="112" t="str">
        <f ca="1">IF($AU108="","",OFFSET(DATA!BW57,0,$AX$48))</f>
        <v/>
      </c>
      <c r="BE108" s="112" t="str">
        <f ca="1">IF($AU108="","",OFFSET(DATA!BY57,0,$AX$48))</f>
        <v/>
      </c>
      <c r="BF108" s="112" t="str">
        <f ca="1">IF($AU108="","",OFFSET(DATA!CA57,0,$AX$48))</f>
        <v/>
      </c>
      <c r="BG108" s="112" t="str">
        <f ca="1">IF($AU108="","",DATA!CC57)</f>
        <v/>
      </c>
      <c r="BH108" s="112" t="str">
        <f ca="1">IF($AU108="","",OFFSET(DATA!CE57,0,$AX$48))</f>
        <v/>
      </c>
      <c r="BI108" s="112" t="str">
        <f ca="1">IF($AU108="","",OFFSET(DATA!CG57,0,$AX$48))</f>
        <v/>
      </c>
      <c r="BJ108" s="112" t="str">
        <f ca="1">IF($AU108="","",OFFSET(DATA!CI57,0,$AX$48))</f>
        <v/>
      </c>
      <c r="BK108" s="112" t="str">
        <f ca="1">IF($AU108="","",OFFSET(DATA!CK57,0,$AX$48))</f>
        <v/>
      </c>
      <c r="BL108" s="112" t="str">
        <f ca="1">IF($AU108="","",OFFSET(DATA!CM57,0,$AX$48))</f>
        <v/>
      </c>
      <c r="BM108" s="112" t="str">
        <f ca="1">IF($AU108="","",DATA!BH57)</f>
        <v/>
      </c>
      <c r="BN108" s="112" t="str">
        <f ca="1">IF($AU108="","",DATA!DS57)</f>
        <v/>
      </c>
      <c r="BO108" s="112" t="str">
        <f ca="1">IF($AU108="","",DATA!DU57)</f>
        <v/>
      </c>
      <c r="BP108" s="112" t="str">
        <f ca="1">IF($AU108="","",DATA!DV57)</f>
        <v/>
      </c>
      <c r="BQ108" s="112" t="str">
        <f ca="1">IF($AU108="","",DATA!DX57)</f>
        <v/>
      </c>
      <c r="BR108" s="112" t="str">
        <f ca="1">IF($AU108="","",DATA!DZ57)</f>
        <v/>
      </c>
      <c r="BS108" s="171" t="str">
        <f ca="1">IF($AU108="","",DATA!EA57)</f>
        <v/>
      </c>
      <c r="BT108" s="171" t="str">
        <f ca="1">IF($AU108="","",DATA!EC57)</f>
        <v/>
      </c>
      <c r="BU108" s="171" t="str">
        <f ca="1">IF($AU108="","",DATA!EF57)</f>
        <v/>
      </c>
      <c r="BV108" s="113" t="str">
        <f t="shared" ca="1" si="10"/>
        <v/>
      </c>
      <c r="BW108" s="680" t="str">
        <f ca="1">IF(AU108="","",OFFSET(DATA!DC57,0,'Intermediate Data'!$AX$48))</f>
        <v/>
      </c>
      <c r="BX108" s="681" t="str">
        <f ca="1">IF($AU108="","",DATA!DG57)</f>
        <v/>
      </c>
      <c r="BY108" s="680" t="str">
        <f ca="1">IF($AU108="","",OFFSET(DATA!DE57,0,'Intermediate Data'!$AX$48))</f>
        <v/>
      </c>
      <c r="BZ108" s="681" t="str">
        <f ca="1">IF($AU108="","",DATA!DH57)</f>
        <v/>
      </c>
      <c r="CA108" s="90" t="str">
        <f t="shared" ca="1" si="11"/>
        <v/>
      </c>
      <c r="CB108" s="99" t="str">
        <f t="shared" ca="1" si="12"/>
        <v/>
      </c>
      <c r="CC108" s="90" t="str">
        <f t="shared" ca="1" si="13"/>
        <v/>
      </c>
      <c r="CD108" s="90" t="str">
        <f t="shared" ca="1" si="14"/>
        <v/>
      </c>
      <c r="CF108" s="90" t="str">
        <f ca="1">IF($CD108="","",IF(OFFSET(AV$55,'Intermediate Data'!$CD108,0)=-98,"Unknown",IF(OFFSET(AV$55,'Intermediate Data'!$CD108,0)=-99,"N/A",OFFSET(AV$55,'Intermediate Data'!$CD108,0))))</f>
        <v/>
      </c>
      <c r="CG108" s="90" t="str">
        <f ca="1">IF($CD108="","",IF(OFFSET(AW$55,'Intermediate Data'!$CD108,0)=-98,"",IF(OFFSET(AW$55,'Intermediate Data'!$CD108,0)=-99,"N/A",OFFSET(AW$55,'Intermediate Data'!$CD108,0))))</f>
        <v/>
      </c>
      <c r="CH108" s="90" t="str">
        <f ca="1">IF($CD108="","",IF(OFFSET(AX$55,'Intermediate Data'!$CD108,0)=-98,"Unknown",IF(OFFSET(AX$55,'Intermediate Data'!$CD108,0)=-99,"N/A",OFFSET(AX$55,'Intermediate Data'!$CD108,0))))</f>
        <v/>
      </c>
      <c r="CI108" s="125" t="str">
        <f ca="1">IF($CD108="","",IF(OFFSET(AY$55,'Intermediate Data'!$CD108,0)=-98,"Unknown",IF(OFFSET(AY$55,'Intermediate Data'!$CD108,0)=-99,"No spec",OFFSET(AY$55,'Intermediate Data'!$CD108,0))))</f>
        <v/>
      </c>
      <c r="CJ108" s="125" t="str">
        <f ca="1">IF($CD108="","",IF(OFFSET(AZ$55,'Intermediate Data'!$CD108,0)=-98,"Unknown",IF(OFFSET(AZ$55,'Intermediate Data'!$CD108,0)=-99,"N/A",OFFSET(AZ$55,'Intermediate Data'!$CD108,0))))</f>
        <v/>
      </c>
      <c r="CK108" s="90" t="str">
        <f ca="1">IF($CD108="","",IF(OFFSET(BA$55,'Intermediate Data'!$CD108,0)=-98,"Unknown",IF(OFFSET(BA$55,'Intermediate Data'!$CD108,0)=-99,"N/A",OFFSET(BA$55,'Intermediate Data'!$CD108,0))))</f>
        <v/>
      </c>
      <c r="CL108" s="90" t="str">
        <f ca="1">IF($CD108="","",IF(OFFSET(BB$55,'Intermediate Data'!$CD108,$AX$50)=-98,"Unknown",IF(OFFSET(BB$55,'Intermediate Data'!$CD108,$AX$50)="N/A","",OFFSET(BB$55,'Intermediate Data'!$CD108,$AX$50))))</f>
        <v/>
      </c>
      <c r="CM108" s="90" t="str">
        <f ca="1">IF($CD108="","",IF(OFFSET(BG$55,'Intermediate Data'!$CD108,0)="ET","ET",""))</f>
        <v/>
      </c>
      <c r="CN108" s="90" t="str">
        <f ca="1">IF($CD108="","",IF(OFFSET(BH$55,'Intermediate Data'!$CD108,$AX$50)=-98,"Unknown",IF(OFFSET(BH$55,'Intermediate Data'!$CD108,$AX$50)="N/A","",OFFSET(BH$55,'Intermediate Data'!$CD108,$AX$50))))</f>
        <v/>
      </c>
      <c r="CO108" s="90" t="str">
        <f ca="1">IF($CD108="","",IF(OFFSET(BM$55,'Intermediate Data'!$CD108,0)=-98,"Not published",IF(OFFSET(BM$55,'Intermediate Data'!$CD108,0)=-99,"No spec",OFFSET(BM$55,'Intermediate Data'!$CD108,0))))</f>
        <v/>
      </c>
      <c r="CP108" s="114" t="str">
        <f ca="1">IF($CD108="","",IF(OFFSET(BN$55,'Intermediate Data'!$CD108,0)=-98,"Unknown",IF(OFFSET(BN$55,'Intermediate Data'!$CD108,0)=-99,"N/A",OFFSET(BN$55,'Intermediate Data'!$CD108,0))))</f>
        <v/>
      </c>
      <c r="CQ108" s="114" t="str">
        <f ca="1">IF($CD108="","",IF(OFFSET(BO$55,'Intermediate Data'!$CD108,0)=-98,"Unknown",IF(OFFSET(BO$55,'Intermediate Data'!$CD108,0)=-99,"N/A",OFFSET(BO$55,'Intermediate Data'!$CD108,0))))</f>
        <v/>
      </c>
      <c r="CR108" s="114" t="str">
        <f ca="1">IF($CD108="","",IF(OFFSET(BP$55,'Intermediate Data'!$CD108,0)=-98,"Unknown",IF(OFFSET(BP$55,'Intermediate Data'!$CD108,0)=-99,"N/A",OFFSET(BP$55,'Intermediate Data'!$CD108,0))))</f>
        <v/>
      </c>
      <c r="CS108" s="114" t="str">
        <f ca="1">IF($CD108="","",IF(OFFSET(BQ$55,'Intermediate Data'!$CD108,0)=-98,"Unknown",IF(OFFSET(BQ$55,'Intermediate Data'!$CD108,0)=-99,"N/A",OFFSET(BQ$55,'Intermediate Data'!$CD108,0))))</f>
        <v/>
      </c>
      <c r="CT108" s="114" t="str">
        <f ca="1">IF($CD108="","",IF(OFFSET(BR$55,'Intermediate Data'!$CD108,0)=-98,"Unknown",IF(OFFSET(BR$55,'Intermediate Data'!$CD108,0)=-99,"N/A",OFFSET(BR$55,'Intermediate Data'!$CD108,0))))</f>
        <v/>
      </c>
      <c r="CU108" s="114" t="str">
        <f ca="1">IF($CD108="","",IF(OFFSET(BS$55,'Intermediate Data'!$CD108,0)=-98,"Unknown",IF(OFFSET(BS$55,'Intermediate Data'!$CD108,0)=-99,"N/A",OFFSET(BS$55,'Intermediate Data'!$CD108,0))))</f>
        <v/>
      </c>
      <c r="CV108" s="114" t="str">
        <f ca="1">IF($CD108="","",IF(OFFSET(BT$55,'Intermediate Data'!$CD108,0)=-98,"Unknown",IF(OFFSET(BT$55,'Intermediate Data'!$CD108,0)=-99,"N/A",OFFSET(BT$55,'Intermediate Data'!$CD108,0))))</f>
        <v/>
      </c>
      <c r="CW108" s="114" t="str">
        <f ca="1">IF($CD108="","",IF(OFFSET(BU$55,'Intermediate Data'!$CD108,0)=-98,"Unknown",IF(OFFSET(BU$55,'Intermediate Data'!$CD108,0)=-99,"N/A",OFFSET(BU$55,'Intermediate Data'!$CD108,0))))</f>
        <v/>
      </c>
      <c r="CX108" s="114" t="str">
        <f ca="1">IF($CD108="","",IF(OFFSET(BV$55,'Intermediate Data'!$CD108,0)=-98,"Unknown",IF(OFFSET(BV$55,'Intermediate Data'!$CD108,0)=-99,"N/A",OFFSET(BV$55,'Intermediate Data'!$CD108,0))))</f>
        <v/>
      </c>
      <c r="CY108" s="682" t="str">
        <f ca="1">IF($CD108="","",IF(OFFSET(BW$55,'Intermediate Data'!$CD108,0)=-98,"Unknown",IF(OFFSET(BW$55,'Intermediate Data'!$CD108,0)="N/A","",OFFSET(BW$55,'Intermediate Data'!$CD108,0))))</f>
        <v/>
      </c>
      <c r="CZ108" s="682" t="str">
        <f ca="1">IF($CD108="","",IF(OFFSET(BX$55,'Intermediate Data'!$CD108,0)=-98,"Unknown",IF(OFFSET(BX$55,'Intermediate Data'!$CD108,0)="N/A","",OFFSET(BX$55,'Intermediate Data'!$CD108,0))))</f>
        <v/>
      </c>
      <c r="DA108" s="682" t="str">
        <f ca="1">IF($CD108="","",IF(OFFSET(BY$55,'Intermediate Data'!$CD108,0)=-98,"Unknown",IF(OFFSET(BY$55,'Intermediate Data'!$CD108,0)="N/A","",OFFSET(BY$55,'Intermediate Data'!$CD108,0))))</f>
        <v/>
      </c>
      <c r="DB108" s="682" t="str">
        <f ca="1">IF($CD108="","",IF(OFFSET(BZ$55,'Intermediate Data'!$CD108,0)=-98,"Unknown",IF(OFFSET(BZ$55,'Intermediate Data'!$CD108,0)="N/A","",OFFSET(BZ$55,'Intermediate Data'!$CD108,0))))</f>
        <v/>
      </c>
    </row>
    <row r="109" spans="1:106" x14ac:dyDescent="0.2">
      <c r="A109" s="90">
        <f ca="1">IF(OFFSET(DATA!F58,0,$D$48)='Intermediate Data'!$E$48,IF(OR($E$49=$C$27,$E$48=$B$4),DATA!A58,IF($G$49=DATA!D58,DATA!A58,"")),"")</f>
        <v>54</v>
      </c>
      <c r="B109" s="90">
        <f ca="1">IF($A109="","",DATA!EH58)</f>
        <v>67</v>
      </c>
      <c r="C109" s="90" t="str">
        <f ca="1">IF($A109="","",DATA!B58)</f>
        <v>Media player/recorder</v>
      </c>
      <c r="D109" s="90">
        <f ca="1">IF($A109="","",OFFSET(DATA!$H58,0,($D$50*5)))</f>
        <v>-99</v>
      </c>
      <c r="E109" s="90">
        <f ca="1">IF($A109="","",OFFSET(DATA!$H58,0,($D$50*5)+1))</f>
        <v>-98</v>
      </c>
      <c r="F109" s="90">
        <f ca="1">IF($A109="","",OFFSET(DATA!$H58,0,($D$50*5)+2))</f>
        <v>-99</v>
      </c>
      <c r="G109" s="90">
        <f ca="1">IF($A109="","",OFFSET(DATA!$H58,0,($D$50*5)+3))</f>
        <v>0.71909487210975553</v>
      </c>
      <c r="H109" s="90">
        <f ca="1">IF($A109="","",OFFSET(DATA!$H58,0,($D$50*5)+4))</f>
        <v>-98</v>
      </c>
      <c r="I109" s="90">
        <f t="shared" ca="1" si="2"/>
        <v>0.71909487210975553</v>
      </c>
      <c r="J109" s="90" t="str">
        <f t="shared" ca="1" si="3"/>
        <v>RASS</v>
      </c>
      <c r="K109" s="90">
        <f ca="1">IF($A109="","",OFFSET(DATA!$AG58,0,($D$50*5)))</f>
        <v>-99</v>
      </c>
      <c r="L109" s="90">
        <f ca="1">IF($A109="","",OFFSET(DATA!$AG58,0,($D$50*5)+1))</f>
        <v>1.8775888734689006</v>
      </c>
      <c r="M109" s="90">
        <f ca="1">IF($A109="","",OFFSET(DATA!$AG58,0,($D$50*5)+2))</f>
        <v>-99</v>
      </c>
      <c r="N109" s="90">
        <f ca="1">IF($A109="","",OFFSET(DATA!$AG58,0,($D$50*5)+3))</f>
        <v>1.1251934270888684</v>
      </c>
      <c r="O109" s="90">
        <f ca="1">IF($A109="","",OFFSET(DATA!$AG58,0,($D$50*5)+4))</f>
        <v>1.9060000000000001</v>
      </c>
      <c r="P109" s="90">
        <f t="shared" ca="1" si="4"/>
        <v>1.9060000000000001</v>
      </c>
      <c r="Q109" s="90" t="str">
        <f t="shared" ca="1" si="5"/>
        <v>CLASS</v>
      </c>
      <c r="R109" s="699">
        <f ca="1">IF($A109="","",IF(DATA!BF58="",-99,DATA!BF58))</f>
        <v>-99</v>
      </c>
      <c r="S109" s="90">
        <f ca="1">IF($A109="","",IF(DATA!BG58="",-99,DATA!BF58-DATA!BG58))</f>
        <v>-99</v>
      </c>
      <c r="T109" s="90">
        <f ca="1">IF($A109="","",DATA!BH58)</f>
        <v>0.6</v>
      </c>
      <c r="U109" s="90">
        <f ca="1">IF($A109="","",OFFSET(DATA!BM58,0,$D$48))</f>
        <v>7</v>
      </c>
      <c r="V109" s="90">
        <f t="shared" ca="1" si="15"/>
        <v>67</v>
      </c>
      <c r="W109" s="99">
        <f t="shared" ca="1" si="7"/>
        <v>66.999952095787208</v>
      </c>
      <c r="X109" s="112">
        <f t="shared" ca="1" si="8"/>
        <v>78.999891305079998</v>
      </c>
      <c r="Y109" s="90">
        <f t="shared" ca="1" si="9"/>
        <v>53</v>
      </c>
      <c r="AA109" s="90" t="str">
        <f ca="1">IF($Y109="","",IF(OFFSET(C$55,'Intermediate Data'!$Y109,0)=-98,"Unknown",IF(OFFSET(C$55,'Intermediate Data'!$Y109,0)=-99,"N/A",OFFSET(C$55,'Intermediate Data'!$Y109,0))))</f>
        <v>Home Theater in a Box</v>
      </c>
      <c r="AB109" s="90" t="str">
        <f ca="1">IF($Y109="","",IF(OFFSET(D$55,'Intermediate Data'!$Y109,0)=-98,"N/A",IF(OFFSET(D$55,'Intermediate Data'!$Y109,0)=-99,"N/A",OFFSET(D$55,'Intermediate Data'!$Y109,0))))</f>
        <v>N/A</v>
      </c>
      <c r="AC109" s="90" t="str">
        <f ca="1">IF($Y109="","",IF(OFFSET(E$55,'Intermediate Data'!$Y109,0)=-98,"N/A",IF(OFFSET(E$55,'Intermediate Data'!$Y109,0)=-99,"N/A",OFFSET(E$55,'Intermediate Data'!$Y109,0))))</f>
        <v>N/A</v>
      </c>
      <c r="AD109" s="90" t="str">
        <f ca="1">IF($Y109="","",IF(OFFSET(F$55,'Intermediate Data'!$Y109,0)=-98,"N/A",IF(OFFSET(F$55,'Intermediate Data'!$Y109,0)=-99,"N/A",OFFSET(F$55,'Intermediate Data'!$Y109,0))))</f>
        <v>N/A</v>
      </c>
      <c r="AE109" s="90" t="str">
        <f ca="1">IF($Y109="","",IF(OFFSET(G$55,'Intermediate Data'!$Y109,0)=-98,"N/A",IF(OFFSET(G$55,'Intermediate Data'!$Y109,0)=-99,"N/A",OFFSET(G$55,'Intermediate Data'!$Y109,0))))</f>
        <v>N/A</v>
      </c>
      <c r="AF109" s="90" t="str">
        <f ca="1">IF($Y109="","",IF(OFFSET(H$55,'Intermediate Data'!$Y109,0)=-98,"N/A",IF(OFFSET(H$55,'Intermediate Data'!$Y109,0)=-99,"N/A",OFFSET(H$55,'Intermediate Data'!$Y109,0))))</f>
        <v>N/A</v>
      </c>
      <c r="AG109" s="90" t="str">
        <f ca="1">IF($Y109="","",IF(OFFSET(I$55,'Intermediate Data'!$Y109,0)=-98,"N/A",IF(OFFSET(I$55,'Intermediate Data'!$Y109,0)=-99,"N/A",OFFSET(I$55,'Intermediate Data'!$Y109,0))))</f>
        <v>N/A</v>
      </c>
      <c r="AH109" s="90" t="str">
        <f ca="1">IF($Y109="","",IF(OFFSET(J$55,'Intermediate Data'!$Y109,0)=-98,"N/A",IF(OFFSET(J$55,'Intermediate Data'!$Y109,0)=-99,"N/A",OFFSET(J$55,'Intermediate Data'!$Y109,0))))</f>
        <v/>
      </c>
      <c r="AI109" s="90" t="str">
        <f ca="1">IF($Y109="","",IF(OFFSET(K$55,'Intermediate Data'!$Y109,0)=-98,"N/A",IF(OFFSET(K$55,'Intermediate Data'!$Y109,0)=-99,"N/A",OFFSET(K$55,'Intermediate Data'!$Y109,0))))</f>
        <v>N/A</v>
      </c>
      <c r="AJ109" s="90" t="str">
        <f ca="1">IF($Y109="","",IF(OFFSET(L$55,'Intermediate Data'!$Y109,0)=-98,"N/A",IF(OFFSET(L$55,'Intermediate Data'!$Y109,0)=-99,"N/A",OFFSET(L$55,'Intermediate Data'!$Y109,0))))</f>
        <v>N/A</v>
      </c>
      <c r="AK109" s="90" t="str">
        <f ca="1">IF($Y109="","",IF(OFFSET(M$55,'Intermediate Data'!$Y109,0)=-98,"N/A",IF(OFFSET(M$55,'Intermediate Data'!$Y109,0)=-99,"N/A",OFFSET(M$55,'Intermediate Data'!$Y109,0))))</f>
        <v>N/A</v>
      </c>
      <c r="AL109" s="90" t="str">
        <f ca="1">IF($Y109="","",IF(OFFSET(N$55,'Intermediate Data'!$Y109,0)=-98,"N/A",IF(OFFSET(N$55,'Intermediate Data'!$Y109,0)=-99,"N/A",OFFSET(N$55,'Intermediate Data'!$Y109,0))))</f>
        <v>N/A</v>
      </c>
      <c r="AM109" s="90" t="str">
        <f ca="1">IF($Y109="","",IF(OFFSET(O$55,'Intermediate Data'!$Y109,0)=-98,"N/A",IF(OFFSET(O$55,'Intermediate Data'!$Y109,0)=-99,"N/A",OFFSET(O$55,'Intermediate Data'!$Y109,0))))</f>
        <v>N/A</v>
      </c>
      <c r="AN109" s="90" t="str">
        <f ca="1">IF($Y109="","",IF(OFFSET(P$55,'Intermediate Data'!$Y109,0)=-98,"N/A",IF(OFFSET(P$55,'Intermediate Data'!$Y109,0)=-99,"N/A",OFFSET(P$55,'Intermediate Data'!$Y109,0))))</f>
        <v>N/A</v>
      </c>
      <c r="AO109" s="90" t="str">
        <f ca="1">IF($Y109="","",IF(OFFSET(Q$55,'Intermediate Data'!$Y109,0)=-98,"N/A",IF(OFFSET(Q$55,'Intermediate Data'!$Y109,0)=-99,"N/A",OFFSET(Q$55,'Intermediate Data'!$Y109,0))))</f>
        <v/>
      </c>
      <c r="AP109" s="697" t="str">
        <f ca="1">IF($Y109="","",IF(OFFSET(S$55,'Intermediate Data'!$Y109,0)=-98,"",IF(OFFSET(S$55,'Intermediate Data'!$Y109,0)=-99,"",OFFSET(S$55,'Intermediate Data'!$Y109,0))))</f>
        <v/>
      </c>
      <c r="AQ109" s="90">
        <f ca="1">IF($Y109="","",IF(OFFSET(T$55,'Intermediate Data'!$Y109,0)=-98,"Not published",IF(OFFSET(T$55,'Intermediate Data'!$Y109,0)=-99,"",OFFSET(T$55,'Intermediate Data'!$Y109,0))))</f>
        <v>0.04</v>
      </c>
      <c r="AR109" s="90" t="str">
        <f ca="1">IF($Y109="","",IF(OFFSET(U$55,'Intermediate Data'!$Y109,0)=-98,"Unknown",IF(OFFSET(U$55,'Intermediate Data'!$Y109,0)=-99,"",OFFSET(U$55,'Intermediate Data'!$Y109,0))))</f>
        <v>Unknown</v>
      </c>
      <c r="AU109" s="112" t="str">
        <f ca="1">IF(AND(OFFSET(DATA!$F58,0,$AX$48)='Intermediate Data'!$AY$48,DATA!$E58="Tier 1"),IF(OR($AX$49=0,$AX$48=1),DATA!A58,IF(AND($AX$49=1,INDEX('Intermediate Data'!$AY$25:$AY$44,MATCH(DATA!$B58,'Intermediate Data'!$AX$25:$AX$44,0))=TRUE),DATA!A58,"")),"")</f>
        <v/>
      </c>
      <c r="AV109" s="112" t="str">
        <f ca="1">IF($AU109="","",DATA!B58)</f>
        <v/>
      </c>
      <c r="AW109" s="112" t="str">
        <f ca="1">IF(OR($AU109="",DATA!BI58=""),"",DATA!BI58)</f>
        <v/>
      </c>
      <c r="AX109" s="112" t="str">
        <f ca="1">IF(OR($AU109="",OFFSET(DATA!BK58,0,$AX$48)=""),"",OFFSET(DATA!BK58,0,$AX$48))</f>
        <v/>
      </c>
      <c r="AY109" s="112" t="str">
        <f ca="1">IF(OR($AU109="",OFFSET(DATA!BM58,0,$AX$48)=""),"",OFFSET(DATA!BM58,0,$AX$48))</f>
        <v/>
      </c>
      <c r="AZ109" s="112" t="str">
        <f ca="1">IF(OR($AU109="",OFFSET(DATA!BO58,0,'Intermediate Data'!$AX$48)=""),"",OFFSET(DATA!BO58,0,$AX$48))</f>
        <v/>
      </c>
      <c r="BA109" s="112" t="str">
        <f ca="1">IF(OR($AU109="",DATA!BQ58=""),"",DATA!BQ58)</f>
        <v/>
      </c>
      <c r="BB109" s="112" t="str">
        <f ca="1">IF($AU109="","",OFFSET(DATA!BS58,0,$AX$48))</f>
        <v/>
      </c>
      <c r="BC109" s="112" t="str">
        <f ca="1">IF($AU109="","",OFFSET(DATA!BU58,0,$AX$48))</f>
        <v/>
      </c>
      <c r="BD109" s="112" t="str">
        <f ca="1">IF($AU109="","",OFFSET(DATA!BW58,0,$AX$48))</f>
        <v/>
      </c>
      <c r="BE109" s="112" t="str">
        <f ca="1">IF($AU109="","",OFFSET(DATA!BY58,0,$AX$48))</f>
        <v/>
      </c>
      <c r="BF109" s="112" t="str">
        <f ca="1">IF($AU109="","",OFFSET(DATA!CA58,0,$AX$48))</f>
        <v/>
      </c>
      <c r="BG109" s="112" t="str">
        <f ca="1">IF($AU109="","",DATA!CC58)</f>
        <v/>
      </c>
      <c r="BH109" s="112" t="str">
        <f ca="1">IF($AU109="","",OFFSET(DATA!CE58,0,$AX$48))</f>
        <v/>
      </c>
      <c r="BI109" s="112" t="str">
        <f ca="1">IF($AU109="","",OFFSET(DATA!CG58,0,$AX$48))</f>
        <v/>
      </c>
      <c r="BJ109" s="112" t="str">
        <f ca="1">IF($AU109="","",OFFSET(DATA!CI58,0,$AX$48))</f>
        <v/>
      </c>
      <c r="BK109" s="112" t="str">
        <f ca="1">IF($AU109="","",OFFSET(DATA!CK58,0,$AX$48))</f>
        <v/>
      </c>
      <c r="BL109" s="112" t="str">
        <f ca="1">IF($AU109="","",OFFSET(DATA!CM58,0,$AX$48))</f>
        <v/>
      </c>
      <c r="BM109" s="112" t="str">
        <f ca="1">IF($AU109="","",DATA!BH58)</f>
        <v/>
      </c>
      <c r="BN109" s="112" t="str">
        <f ca="1">IF($AU109="","",DATA!DS58)</f>
        <v/>
      </c>
      <c r="BO109" s="112" t="str">
        <f ca="1">IF($AU109="","",DATA!DU58)</f>
        <v/>
      </c>
      <c r="BP109" s="112" t="str">
        <f ca="1">IF($AU109="","",DATA!DV58)</f>
        <v/>
      </c>
      <c r="BQ109" s="112" t="str">
        <f ca="1">IF($AU109="","",DATA!DX58)</f>
        <v/>
      </c>
      <c r="BR109" s="112" t="str">
        <f ca="1">IF($AU109="","",DATA!DZ58)</f>
        <v/>
      </c>
      <c r="BS109" s="171" t="str">
        <f ca="1">IF($AU109="","",DATA!EA58)</f>
        <v/>
      </c>
      <c r="BT109" s="171" t="str">
        <f ca="1">IF($AU109="","",DATA!EC58)</f>
        <v/>
      </c>
      <c r="BU109" s="171" t="str">
        <f ca="1">IF($AU109="","",DATA!EF58)</f>
        <v/>
      </c>
      <c r="BV109" s="113" t="str">
        <f t="shared" ca="1" si="10"/>
        <v/>
      </c>
      <c r="BW109" s="680" t="str">
        <f ca="1">IF(AU109="","",OFFSET(DATA!DC58,0,'Intermediate Data'!$AX$48))</f>
        <v/>
      </c>
      <c r="BX109" s="681" t="str">
        <f ca="1">IF($AU109="","",DATA!DG58)</f>
        <v/>
      </c>
      <c r="BY109" s="680" t="str">
        <f ca="1">IF($AU109="","",OFFSET(DATA!DE58,0,'Intermediate Data'!$AX$48))</f>
        <v/>
      </c>
      <c r="BZ109" s="681" t="str">
        <f ca="1">IF($AU109="","",DATA!DH58)</f>
        <v/>
      </c>
      <c r="CA109" s="90" t="str">
        <f t="shared" ca="1" si="11"/>
        <v/>
      </c>
      <c r="CB109" s="99" t="str">
        <f t="shared" ca="1" si="12"/>
        <v/>
      </c>
      <c r="CC109" s="90" t="str">
        <f t="shared" ca="1" si="13"/>
        <v/>
      </c>
      <c r="CD109" s="90" t="str">
        <f t="shared" ca="1" si="14"/>
        <v/>
      </c>
      <c r="CF109" s="90" t="str">
        <f ca="1">IF($CD109="","",IF(OFFSET(AV$55,'Intermediate Data'!$CD109,0)=-98,"Unknown",IF(OFFSET(AV$55,'Intermediate Data'!$CD109,0)=-99,"N/A",OFFSET(AV$55,'Intermediate Data'!$CD109,0))))</f>
        <v/>
      </c>
      <c r="CG109" s="90" t="str">
        <f ca="1">IF($CD109="","",IF(OFFSET(AW$55,'Intermediate Data'!$CD109,0)=-98,"",IF(OFFSET(AW$55,'Intermediate Data'!$CD109,0)=-99,"N/A",OFFSET(AW$55,'Intermediate Data'!$CD109,0))))</f>
        <v/>
      </c>
      <c r="CH109" s="90" t="str">
        <f ca="1">IF($CD109="","",IF(OFFSET(AX$55,'Intermediate Data'!$CD109,0)=-98,"Unknown",IF(OFFSET(AX$55,'Intermediate Data'!$CD109,0)=-99,"N/A",OFFSET(AX$55,'Intermediate Data'!$CD109,0))))</f>
        <v/>
      </c>
      <c r="CI109" s="125" t="str">
        <f ca="1">IF($CD109="","",IF(OFFSET(AY$55,'Intermediate Data'!$CD109,0)=-98,"Unknown",IF(OFFSET(AY$55,'Intermediate Data'!$CD109,0)=-99,"No spec",OFFSET(AY$55,'Intermediate Data'!$CD109,0))))</f>
        <v/>
      </c>
      <c r="CJ109" s="125" t="str">
        <f ca="1">IF($CD109="","",IF(OFFSET(AZ$55,'Intermediate Data'!$CD109,0)=-98,"Unknown",IF(OFFSET(AZ$55,'Intermediate Data'!$CD109,0)=-99,"N/A",OFFSET(AZ$55,'Intermediate Data'!$CD109,0))))</f>
        <v/>
      </c>
      <c r="CK109" s="90" t="str">
        <f ca="1">IF($CD109="","",IF(OFFSET(BA$55,'Intermediate Data'!$CD109,0)=-98,"Unknown",IF(OFFSET(BA$55,'Intermediate Data'!$CD109,0)=-99,"N/A",OFFSET(BA$55,'Intermediate Data'!$CD109,0))))</f>
        <v/>
      </c>
      <c r="CL109" s="90" t="str">
        <f ca="1">IF($CD109="","",IF(OFFSET(BB$55,'Intermediate Data'!$CD109,$AX$50)=-98,"Unknown",IF(OFFSET(BB$55,'Intermediate Data'!$CD109,$AX$50)="N/A","",OFFSET(BB$55,'Intermediate Data'!$CD109,$AX$50))))</f>
        <v/>
      </c>
      <c r="CM109" s="90" t="str">
        <f ca="1">IF($CD109="","",IF(OFFSET(BG$55,'Intermediate Data'!$CD109,0)="ET","ET",""))</f>
        <v/>
      </c>
      <c r="CN109" s="90" t="str">
        <f ca="1">IF($CD109="","",IF(OFFSET(BH$55,'Intermediate Data'!$CD109,$AX$50)=-98,"Unknown",IF(OFFSET(BH$55,'Intermediate Data'!$CD109,$AX$50)="N/A","",OFFSET(BH$55,'Intermediate Data'!$CD109,$AX$50))))</f>
        <v/>
      </c>
      <c r="CO109" s="90" t="str">
        <f ca="1">IF($CD109="","",IF(OFFSET(BM$55,'Intermediate Data'!$CD109,0)=-98,"Not published",IF(OFFSET(BM$55,'Intermediate Data'!$CD109,0)=-99,"No spec",OFFSET(BM$55,'Intermediate Data'!$CD109,0))))</f>
        <v/>
      </c>
      <c r="CP109" s="114" t="str">
        <f ca="1">IF($CD109="","",IF(OFFSET(BN$55,'Intermediate Data'!$CD109,0)=-98,"Unknown",IF(OFFSET(BN$55,'Intermediate Data'!$CD109,0)=-99,"N/A",OFFSET(BN$55,'Intermediate Data'!$CD109,0))))</f>
        <v/>
      </c>
      <c r="CQ109" s="114" t="str">
        <f ca="1">IF($CD109="","",IF(OFFSET(BO$55,'Intermediate Data'!$CD109,0)=-98,"Unknown",IF(OFFSET(BO$55,'Intermediate Data'!$CD109,0)=-99,"N/A",OFFSET(BO$55,'Intermediate Data'!$CD109,0))))</f>
        <v/>
      </c>
      <c r="CR109" s="114" t="str">
        <f ca="1">IF($CD109="","",IF(OFFSET(BP$55,'Intermediate Data'!$CD109,0)=-98,"Unknown",IF(OFFSET(BP$55,'Intermediate Data'!$CD109,0)=-99,"N/A",OFFSET(BP$55,'Intermediate Data'!$CD109,0))))</f>
        <v/>
      </c>
      <c r="CS109" s="114" t="str">
        <f ca="1">IF($CD109="","",IF(OFFSET(BQ$55,'Intermediate Data'!$CD109,0)=-98,"Unknown",IF(OFFSET(BQ$55,'Intermediate Data'!$CD109,0)=-99,"N/A",OFFSET(BQ$55,'Intermediate Data'!$CD109,0))))</f>
        <v/>
      </c>
      <c r="CT109" s="114" t="str">
        <f ca="1">IF($CD109="","",IF(OFFSET(BR$55,'Intermediate Data'!$CD109,0)=-98,"Unknown",IF(OFFSET(BR$55,'Intermediate Data'!$CD109,0)=-99,"N/A",OFFSET(BR$55,'Intermediate Data'!$CD109,0))))</f>
        <v/>
      </c>
      <c r="CU109" s="114" t="str">
        <f ca="1">IF($CD109="","",IF(OFFSET(BS$55,'Intermediate Data'!$CD109,0)=-98,"Unknown",IF(OFFSET(BS$55,'Intermediate Data'!$CD109,0)=-99,"N/A",OFFSET(BS$55,'Intermediate Data'!$CD109,0))))</f>
        <v/>
      </c>
      <c r="CV109" s="114" t="str">
        <f ca="1">IF($CD109="","",IF(OFFSET(BT$55,'Intermediate Data'!$CD109,0)=-98,"Unknown",IF(OFFSET(BT$55,'Intermediate Data'!$CD109,0)=-99,"N/A",OFFSET(BT$55,'Intermediate Data'!$CD109,0))))</f>
        <v/>
      </c>
      <c r="CW109" s="114" t="str">
        <f ca="1">IF($CD109="","",IF(OFFSET(BU$55,'Intermediate Data'!$CD109,0)=-98,"Unknown",IF(OFFSET(BU$55,'Intermediate Data'!$CD109,0)=-99,"N/A",OFFSET(BU$55,'Intermediate Data'!$CD109,0))))</f>
        <v/>
      </c>
      <c r="CX109" s="114" t="str">
        <f ca="1">IF($CD109="","",IF(OFFSET(BV$55,'Intermediate Data'!$CD109,0)=-98,"Unknown",IF(OFFSET(BV$55,'Intermediate Data'!$CD109,0)=-99,"N/A",OFFSET(BV$55,'Intermediate Data'!$CD109,0))))</f>
        <v/>
      </c>
      <c r="CY109" s="682" t="str">
        <f ca="1">IF($CD109="","",IF(OFFSET(BW$55,'Intermediate Data'!$CD109,0)=-98,"Unknown",IF(OFFSET(BW$55,'Intermediate Data'!$CD109,0)="N/A","",OFFSET(BW$55,'Intermediate Data'!$CD109,0))))</f>
        <v/>
      </c>
      <c r="CZ109" s="682" t="str">
        <f ca="1">IF($CD109="","",IF(OFFSET(BX$55,'Intermediate Data'!$CD109,0)=-98,"Unknown",IF(OFFSET(BX$55,'Intermediate Data'!$CD109,0)="N/A","",OFFSET(BX$55,'Intermediate Data'!$CD109,0))))</f>
        <v/>
      </c>
      <c r="DA109" s="682" t="str">
        <f ca="1">IF($CD109="","",IF(OFFSET(BY$55,'Intermediate Data'!$CD109,0)=-98,"Unknown",IF(OFFSET(BY$55,'Intermediate Data'!$CD109,0)="N/A","",OFFSET(BY$55,'Intermediate Data'!$CD109,0))))</f>
        <v/>
      </c>
      <c r="DB109" s="682" t="str">
        <f ca="1">IF($CD109="","",IF(OFFSET(BZ$55,'Intermediate Data'!$CD109,0)=-98,"Unknown",IF(OFFSET(BZ$55,'Intermediate Data'!$CD109,0)="N/A","",OFFSET(BZ$55,'Intermediate Data'!$CD109,0))))</f>
        <v/>
      </c>
    </row>
    <row r="110" spans="1:106" x14ac:dyDescent="0.2">
      <c r="A110" s="90">
        <f ca="1">IF(OFFSET(DATA!F59,0,$D$48)='Intermediate Data'!$E$48,IF(OR($E$49=$C$27,$E$48=$B$4),DATA!A59,IF($G$49=DATA!D59,DATA!A59,"")),"")</f>
        <v>55</v>
      </c>
      <c r="B110" s="90">
        <f ca="1">IF($A110="","",DATA!EH59)</f>
        <v>45</v>
      </c>
      <c r="C110" s="90" t="str">
        <f ca="1">IF($A110="","",DATA!B59)</f>
        <v>Projector</v>
      </c>
      <c r="D110" s="90">
        <f ca="1">IF($A110="","",OFFSET(DATA!$H59,0,($D$50*5)))</f>
        <v>-99</v>
      </c>
      <c r="E110" s="90">
        <f ca="1">IF($A110="","",OFFSET(DATA!$H59,0,($D$50*5)+1))</f>
        <v>-99</v>
      </c>
      <c r="F110" s="90">
        <f ca="1">IF($A110="","",OFFSET(DATA!$H59,0,($D$50*5)+2))</f>
        <v>-99</v>
      </c>
      <c r="G110" s="90">
        <f ca="1">IF($A110="","",OFFSET(DATA!$H59,0,($D$50*5)+3))</f>
        <v>-99</v>
      </c>
      <c r="H110" s="90">
        <f ca="1">IF($A110="","",OFFSET(DATA!$H59,0,($D$50*5)+4))</f>
        <v>-99</v>
      </c>
      <c r="I110" s="90">
        <f t="shared" ca="1" si="2"/>
        <v>-99</v>
      </c>
      <c r="J110" s="90" t="str">
        <f t="shared" ca="1" si="3"/>
        <v/>
      </c>
      <c r="K110" s="90">
        <f ca="1">IF($A110="","",OFFSET(DATA!$AG59,0,($D$50*5)))</f>
        <v>-99</v>
      </c>
      <c r="L110" s="90">
        <f ca="1">IF($A110="","",OFFSET(DATA!$AG59,0,($D$50*5)+1))</f>
        <v>-99</v>
      </c>
      <c r="M110" s="90">
        <f ca="1">IF($A110="","",OFFSET(DATA!$AG59,0,($D$50*5)+2))</f>
        <v>-99</v>
      </c>
      <c r="N110" s="90">
        <f ca="1">IF($A110="","",OFFSET(DATA!$AG59,0,($D$50*5)+3))</f>
        <v>-99</v>
      </c>
      <c r="O110" s="90">
        <f ca="1">IF($A110="","",OFFSET(DATA!$AG59,0,($D$50*5)+4))</f>
        <v>-99</v>
      </c>
      <c r="P110" s="90">
        <f t="shared" ca="1" si="4"/>
        <v>-99</v>
      </c>
      <c r="Q110" s="90" t="str">
        <f t="shared" ca="1" si="5"/>
        <v/>
      </c>
      <c r="R110" s="699">
        <f ca="1">IF($A110="","",IF(DATA!BF59="",-99,DATA!BF59))</f>
        <v>-99</v>
      </c>
      <c r="S110" s="90">
        <f ca="1">IF($A110="","",IF(DATA!BG59="",-99,DATA!BF59-DATA!BG59))</f>
        <v>-99</v>
      </c>
      <c r="T110" s="90">
        <f ca="1">IF($A110="","",DATA!BH59)</f>
        <v>-99</v>
      </c>
      <c r="U110" s="90">
        <f ca="1">IF($A110="","",OFFSET(DATA!BM59,0,$D$48))</f>
        <v>-99</v>
      </c>
      <c r="V110" s="90">
        <f t="shared" ca="1" si="15"/>
        <v>45</v>
      </c>
      <c r="W110" s="99">
        <f t="shared" ca="1" si="7"/>
        <v>44.999881201099996</v>
      </c>
      <c r="X110" s="112">
        <f t="shared" ca="1" si="8"/>
        <v>77.999930733168995</v>
      </c>
      <c r="Y110" s="90">
        <f t="shared" ca="1" si="9"/>
        <v>11</v>
      </c>
      <c r="AA110" s="90" t="str">
        <f ca="1">IF($Y110="","",IF(OFFSET(C$55,'Intermediate Data'!$Y110,0)=-98,"Unknown",IF(OFFSET(C$55,'Intermediate Data'!$Y110,0)=-99,"N/A",OFFSET(C$55,'Intermediate Data'!$Y110,0))))</f>
        <v>Hot tub/Spa - Electric</v>
      </c>
      <c r="AB110" s="90" t="str">
        <f ca="1">IF($Y110="","",IF(OFFSET(D$55,'Intermediate Data'!$Y110,0)=-98,"N/A",IF(OFFSET(D$55,'Intermediate Data'!$Y110,0)=-99,"N/A",OFFSET(D$55,'Intermediate Data'!$Y110,0))))</f>
        <v>N/A</v>
      </c>
      <c r="AC110" s="90">
        <f ca="1">IF($Y110="","",IF(OFFSET(E$55,'Intermediate Data'!$Y110,0)=-98,"N/A",IF(OFFSET(E$55,'Intermediate Data'!$Y110,0)=-99,"N/A",OFFSET(E$55,'Intermediate Data'!$Y110,0))))</f>
        <v>9.3362613442261322E-2</v>
      </c>
      <c r="AD110" s="90">
        <f ca="1">IF($Y110="","",IF(OFFSET(F$55,'Intermediate Data'!$Y110,0)=-98,"N/A",IF(OFFSET(F$55,'Intermediate Data'!$Y110,0)=-99,"N/A",OFFSET(F$55,'Intermediate Data'!$Y110,0))))</f>
        <v>3.04E-2</v>
      </c>
      <c r="AE110" s="90">
        <f ca="1">IF($Y110="","",IF(OFFSET(G$55,'Intermediate Data'!$Y110,0)=-98,"N/A",IF(OFFSET(G$55,'Intermediate Data'!$Y110,0)=-99,"N/A",OFFSET(G$55,'Intermediate Data'!$Y110,0))))</f>
        <v>0.1074153783658072</v>
      </c>
      <c r="AF110" s="90">
        <f ca="1">IF($Y110="","",IF(OFFSET(H$55,'Intermediate Data'!$Y110,0)=-98,"N/A",IF(OFFSET(H$55,'Intermediate Data'!$Y110,0)=-99,"N/A",OFFSET(H$55,'Intermediate Data'!$Y110,0))))</f>
        <v>4.6955999999999998E-2</v>
      </c>
      <c r="AG110" s="90">
        <f ca="1">IF($Y110="","",IF(OFFSET(I$55,'Intermediate Data'!$Y110,0)=-98,"N/A",IF(OFFSET(I$55,'Intermediate Data'!$Y110,0)=-99,"N/A",OFFSET(I$55,'Intermediate Data'!$Y110,0))))</f>
        <v>4.6955999999999998E-2</v>
      </c>
      <c r="AH110" s="90" t="str">
        <f ca="1">IF($Y110="","",IF(OFFSET(J$55,'Intermediate Data'!$Y110,0)=-98,"N/A",IF(OFFSET(J$55,'Intermediate Data'!$Y110,0)=-99,"N/A",OFFSET(J$55,'Intermediate Data'!$Y110,0))))</f>
        <v>CLASS</v>
      </c>
      <c r="AI110" s="90" t="str">
        <f ca="1">IF($Y110="","",IF(OFFSET(K$55,'Intermediate Data'!$Y110,0)=-98,"N/A",IF(OFFSET(K$55,'Intermediate Data'!$Y110,0)=-99,"N/A",OFFSET(K$55,'Intermediate Data'!$Y110,0))))</f>
        <v>N/A</v>
      </c>
      <c r="AJ110" s="90" t="str">
        <f ca="1">IF($Y110="","",IF(OFFSET(L$55,'Intermediate Data'!$Y110,0)=-98,"N/A",IF(OFFSET(L$55,'Intermediate Data'!$Y110,0)=-99,"N/A",OFFSET(L$55,'Intermediate Data'!$Y110,0))))</f>
        <v>N/A</v>
      </c>
      <c r="AK110" s="90" t="str">
        <f ca="1">IF($Y110="","",IF(OFFSET(M$55,'Intermediate Data'!$Y110,0)=-98,"N/A",IF(OFFSET(M$55,'Intermediate Data'!$Y110,0)=-99,"N/A",OFFSET(M$55,'Intermediate Data'!$Y110,0))))</f>
        <v>N/A</v>
      </c>
      <c r="AL110" s="90" t="str">
        <f ca="1">IF($Y110="","",IF(OFFSET(N$55,'Intermediate Data'!$Y110,0)=-98,"N/A",IF(OFFSET(N$55,'Intermediate Data'!$Y110,0)=-99,"N/A",OFFSET(N$55,'Intermediate Data'!$Y110,0))))</f>
        <v>N/A</v>
      </c>
      <c r="AM110" s="90" t="str">
        <f ca="1">IF($Y110="","",IF(OFFSET(O$55,'Intermediate Data'!$Y110,0)=-98,"N/A",IF(OFFSET(O$55,'Intermediate Data'!$Y110,0)=-99,"N/A",OFFSET(O$55,'Intermediate Data'!$Y110,0))))</f>
        <v>N/A</v>
      </c>
      <c r="AN110" s="90" t="str">
        <f ca="1">IF($Y110="","",IF(OFFSET(P$55,'Intermediate Data'!$Y110,0)=-98,"N/A",IF(OFFSET(P$55,'Intermediate Data'!$Y110,0)=-99,"N/A",OFFSET(P$55,'Intermediate Data'!$Y110,0))))</f>
        <v>N/A</v>
      </c>
      <c r="AO110" s="90" t="str">
        <f ca="1">IF($Y110="","",IF(OFFSET(Q$55,'Intermediate Data'!$Y110,0)=-98,"N/A",IF(OFFSET(Q$55,'Intermediate Data'!$Y110,0)=-99,"N/A",OFFSET(Q$55,'Intermediate Data'!$Y110,0))))</f>
        <v/>
      </c>
      <c r="AP110" s="697" t="str">
        <f ca="1">IF($Y110="","",IF(OFFSET(S$55,'Intermediate Data'!$Y110,0)=-98,"",IF(OFFSET(S$55,'Intermediate Data'!$Y110,0)=-99,"",OFFSET(S$55,'Intermediate Data'!$Y110,0))))</f>
        <v/>
      </c>
      <c r="AQ110" s="90" t="str">
        <f ca="1">IF($Y110="","",IF(OFFSET(T$55,'Intermediate Data'!$Y110,0)=-98,"Not published",IF(OFFSET(T$55,'Intermediate Data'!$Y110,0)=-99,"",OFFSET(T$55,'Intermediate Data'!$Y110,0))))</f>
        <v/>
      </c>
      <c r="AR110" s="90" t="str">
        <f ca="1">IF($Y110="","",IF(OFFSET(U$55,'Intermediate Data'!$Y110,0)=-98,"Unknown",IF(OFFSET(U$55,'Intermediate Data'!$Y110,0)=-99,"",OFFSET(U$55,'Intermediate Data'!$Y110,0))))</f>
        <v/>
      </c>
      <c r="AU110" s="112" t="str">
        <f ca="1">IF(AND(OFFSET(DATA!$F59,0,$AX$48)='Intermediate Data'!$AY$48,DATA!$E59="Tier 1"),IF(OR($AX$49=0,$AX$48=1),DATA!A59,IF(AND($AX$49=1,INDEX('Intermediate Data'!$AY$25:$AY$44,MATCH(DATA!$B59,'Intermediate Data'!$AX$25:$AX$44,0))=TRUE),DATA!A59,"")),"")</f>
        <v/>
      </c>
      <c r="AV110" s="112" t="str">
        <f ca="1">IF($AU110="","",DATA!B59)</f>
        <v/>
      </c>
      <c r="AW110" s="112" t="str">
        <f ca="1">IF(OR($AU110="",DATA!BI59=""),"",DATA!BI59)</f>
        <v/>
      </c>
      <c r="AX110" s="112" t="str">
        <f ca="1">IF(OR($AU110="",OFFSET(DATA!BK59,0,$AX$48)=""),"",OFFSET(DATA!BK59,0,$AX$48))</f>
        <v/>
      </c>
      <c r="AY110" s="112" t="str">
        <f ca="1">IF(OR($AU110="",OFFSET(DATA!BM59,0,$AX$48)=""),"",OFFSET(DATA!BM59,0,$AX$48))</f>
        <v/>
      </c>
      <c r="AZ110" s="112" t="str">
        <f ca="1">IF(OR($AU110="",OFFSET(DATA!BO59,0,'Intermediate Data'!$AX$48)=""),"",OFFSET(DATA!BO59,0,$AX$48))</f>
        <v/>
      </c>
      <c r="BA110" s="112" t="str">
        <f ca="1">IF(OR($AU110="",DATA!BQ59=""),"",DATA!BQ59)</f>
        <v/>
      </c>
      <c r="BB110" s="112" t="str">
        <f ca="1">IF($AU110="","",OFFSET(DATA!BS59,0,$AX$48))</f>
        <v/>
      </c>
      <c r="BC110" s="112" t="str">
        <f ca="1">IF($AU110="","",OFFSET(DATA!BU59,0,$AX$48))</f>
        <v/>
      </c>
      <c r="BD110" s="112" t="str">
        <f ca="1">IF($AU110="","",OFFSET(DATA!BW59,0,$AX$48))</f>
        <v/>
      </c>
      <c r="BE110" s="112" t="str">
        <f ca="1">IF($AU110="","",OFFSET(DATA!BY59,0,$AX$48))</f>
        <v/>
      </c>
      <c r="BF110" s="112" t="str">
        <f ca="1">IF($AU110="","",OFFSET(DATA!CA59,0,$AX$48))</f>
        <v/>
      </c>
      <c r="BG110" s="112" t="str">
        <f ca="1">IF($AU110="","",DATA!CC59)</f>
        <v/>
      </c>
      <c r="BH110" s="112" t="str">
        <f ca="1">IF($AU110="","",OFFSET(DATA!CE59,0,$AX$48))</f>
        <v/>
      </c>
      <c r="BI110" s="112" t="str">
        <f ca="1">IF($AU110="","",OFFSET(DATA!CG59,0,$AX$48))</f>
        <v/>
      </c>
      <c r="BJ110" s="112" t="str">
        <f ca="1">IF($AU110="","",OFFSET(DATA!CI59,0,$AX$48))</f>
        <v/>
      </c>
      <c r="BK110" s="112" t="str">
        <f ca="1">IF($AU110="","",OFFSET(DATA!CK59,0,$AX$48))</f>
        <v/>
      </c>
      <c r="BL110" s="112" t="str">
        <f ca="1">IF($AU110="","",OFFSET(DATA!CM59,0,$AX$48))</f>
        <v/>
      </c>
      <c r="BM110" s="112" t="str">
        <f ca="1">IF($AU110="","",DATA!BH59)</f>
        <v/>
      </c>
      <c r="BN110" s="112" t="str">
        <f ca="1">IF($AU110="","",DATA!DS59)</f>
        <v/>
      </c>
      <c r="BO110" s="112" t="str">
        <f ca="1">IF($AU110="","",DATA!DU59)</f>
        <v/>
      </c>
      <c r="BP110" s="112" t="str">
        <f ca="1">IF($AU110="","",DATA!DV59)</f>
        <v/>
      </c>
      <c r="BQ110" s="112" t="str">
        <f ca="1">IF($AU110="","",DATA!DX59)</f>
        <v/>
      </c>
      <c r="BR110" s="112" t="str">
        <f ca="1">IF($AU110="","",DATA!DZ59)</f>
        <v/>
      </c>
      <c r="BS110" s="171" t="str">
        <f ca="1">IF($AU110="","",DATA!EA59)</f>
        <v/>
      </c>
      <c r="BT110" s="171" t="str">
        <f ca="1">IF($AU110="","",DATA!EC59)</f>
        <v/>
      </c>
      <c r="BU110" s="171" t="str">
        <f ca="1">IF($AU110="","",DATA!EF59)</f>
        <v/>
      </c>
      <c r="BV110" s="113" t="str">
        <f t="shared" ca="1" si="10"/>
        <v/>
      </c>
      <c r="BW110" s="680" t="str">
        <f ca="1">IF(AU110="","",OFFSET(DATA!DC59,0,'Intermediate Data'!$AX$48))</f>
        <v/>
      </c>
      <c r="BX110" s="681" t="str">
        <f ca="1">IF($AU110="","",DATA!DG59)</f>
        <v/>
      </c>
      <c r="BY110" s="680" t="str">
        <f ca="1">IF($AU110="","",OFFSET(DATA!DE59,0,'Intermediate Data'!$AX$48))</f>
        <v/>
      </c>
      <c r="BZ110" s="681" t="str">
        <f ca="1">IF($AU110="","",DATA!DH59)</f>
        <v/>
      </c>
      <c r="CA110" s="90" t="str">
        <f t="shared" ca="1" si="11"/>
        <v/>
      </c>
      <c r="CB110" s="99" t="str">
        <f t="shared" ca="1" si="12"/>
        <v/>
      </c>
      <c r="CC110" s="90" t="str">
        <f t="shared" ca="1" si="13"/>
        <v/>
      </c>
      <c r="CD110" s="90" t="str">
        <f t="shared" ca="1" si="14"/>
        <v/>
      </c>
      <c r="CF110" s="90" t="str">
        <f ca="1">IF($CD110="","",IF(OFFSET(AV$55,'Intermediate Data'!$CD110,0)=-98,"Unknown",IF(OFFSET(AV$55,'Intermediate Data'!$CD110,0)=-99,"N/A",OFFSET(AV$55,'Intermediate Data'!$CD110,0))))</f>
        <v/>
      </c>
      <c r="CG110" s="90" t="str">
        <f ca="1">IF($CD110="","",IF(OFFSET(AW$55,'Intermediate Data'!$CD110,0)=-98,"",IF(OFFSET(AW$55,'Intermediate Data'!$CD110,0)=-99,"N/A",OFFSET(AW$55,'Intermediate Data'!$CD110,0))))</f>
        <v/>
      </c>
      <c r="CH110" s="90" t="str">
        <f ca="1">IF($CD110="","",IF(OFFSET(AX$55,'Intermediate Data'!$CD110,0)=-98,"Unknown",IF(OFFSET(AX$55,'Intermediate Data'!$CD110,0)=-99,"N/A",OFFSET(AX$55,'Intermediate Data'!$CD110,0))))</f>
        <v/>
      </c>
      <c r="CI110" s="125" t="str">
        <f ca="1">IF($CD110="","",IF(OFFSET(AY$55,'Intermediate Data'!$CD110,0)=-98,"Unknown",IF(OFFSET(AY$55,'Intermediate Data'!$CD110,0)=-99,"No spec",OFFSET(AY$55,'Intermediate Data'!$CD110,0))))</f>
        <v/>
      </c>
      <c r="CJ110" s="125" t="str">
        <f ca="1">IF($CD110="","",IF(OFFSET(AZ$55,'Intermediate Data'!$CD110,0)=-98,"Unknown",IF(OFFSET(AZ$55,'Intermediate Data'!$CD110,0)=-99,"N/A",OFFSET(AZ$55,'Intermediate Data'!$CD110,0))))</f>
        <v/>
      </c>
      <c r="CK110" s="90" t="str">
        <f ca="1">IF($CD110="","",IF(OFFSET(BA$55,'Intermediate Data'!$CD110,0)=-98,"Unknown",IF(OFFSET(BA$55,'Intermediate Data'!$CD110,0)=-99,"N/A",OFFSET(BA$55,'Intermediate Data'!$CD110,0))))</f>
        <v/>
      </c>
      <c r="CL110" s="90" t="str">
        <f ca="1">IF($CD110="","",IF(OFFSET(BB$55,'Intermediate Data'!$CD110,$AX$50)=-98,"Unknown",IF(OFFSET(BB$55,'Intermediate Data'!$CD110,$AX$50)="N/A","",OFFSET(BB$55,'Intermediate Data'!$CD110,$AX$50))))</f>
        <v/>
      </c>
      <c r="CM110" s="90" t="str">
        <f ca="1">IF($CD110="","",IF(OFFSET(BG$55,'Intermediate Data'!$CD110,0)="ET","ET",""))</f>
        <v/>
      </c>
      <c r="CN110" s="90" t="str">
        <f ca="1">IF($CD110="","",IF(OFFSET(BH$55,'Intermediate Data'!$CD110,$AX$50)=-98,"Unknown",IF(OFFSET(BH$55,'Intermediate Data'!$CD110,$AX$50)="N/A","",OFFSET(BH$55,'Intermediate Data'!$CD110,$AX$50))))</f>
        <v/>
      </c>
      <c r="CO110" s="90" t="str">
        <f ca="1">IF($CD110="","",IF(OFFSET(BM$55,'Intermediate Data'!$CD110,0)=-98,"Not published",IF(OFFSET(BM$55,'Intermediate Data'!$CD110,0)=-99,"No spec",OFFSET(BM$55,'Intermediate Data'!$CD110,0))))</f>
        <v/>
      </c>
      <c r="CP110" s="114" t="str">
        <f ca="1">IF($CD110="","",IF(OFFSET(BN$55,'Intermediate Data'!$CD110,0)=-98,"Unknown",IF(OFFSET(BN$55,'Intermediate Data'!$CD110,0)=-99,"N/A",OFFSET(BN$55,'Intermediate Data'!$CD110,0))))</f>
        <v/>
      </c>
      <c r="CQ110" s="114" t="str">
        <f ca="1">IF($CD110="","",IF(OFFSET(BO$55,'Intermediate Data'!$CD110,0)=-98,"Unknown",IF(OFFSET(BO$55,'Intermediate Data'!$CD110,0)=-99,"N/A",OFFSET(BO$55,'Intermediate Data'!$CD110,0))))</f>
        <v/>
      </c>
      <c r="CR110" s="114" t="str">
        <f ca="1">IF($CD110="","",IF(OFFSET(BP$55,'Intermediate Data'!$CD110,0)=-98,"Unknown",IF(OFFSET(BP$55,'Intermediate Data'!$CD110,0)=-99,"N/A",OFFSET(BP$55,'Intermediate Data'!$CD110,0))))</f>
        <v/>
      </c>
      <c r="CS110" s="114" t="str">
        <f ca="1">IF($CD110="","",IF(OFFSET(BQ$55,'Intermediate Data'!$CD110,0)=-98,"Unknown",IF(OFFSET(BQ$55,'Intermediate Data'!$CD110,0)=-99,"N/A",OFFSET(BQ$55,'Intermediate Data'!$CD110,0))))</f>
        <v/>
      </c>
      <c r="CT110" s="114" t="str">
        <f ca="1">IF($CD110="","",IF(OFFSET(BR$55,'Intermediate Data'!$CD110,0)=-98,"Unknown",IF(OFFSET(BR$55,'Intermediate Data'!$CD110,0)=-99,"N/A",OFFSET(BR$55,'Intermediate Data'!$CD110,0))))</f>
        <v/>
      </c>
      <c r="CU110" s="114" t="str">
        <f ca="1">IF($CD110="","",IF(OFFSET(BS$55,'Intermediate Data'!$CD110,0)=-98,"Unknown",IF(OFFSET(BS$55,'Intermediate Data'!$CD110,0)=-99,"N/A",OFFSET(BS$55,'Intermediate Data'!$CD110,0))))</f>
        <v/>
      </c>
      <c r="CV110" s="114" t="str">
        <f ca="1">IF($CD110="","",IF(OFFSET(BT$55,'Intermediate Data'!$CD110,0)=-98,"Unknown",IF(OFFSET(BT$55,'Intermediate Data'!$CD110,0)=-99,"N/A",OFFSET(BT$55,'Intermediate Data'!$CD110,0))))</f>
        <v/>
      </c>
      <c r="CW110" s="114" t="str">
        <f ca="1">IF($CD110="","",IF(OFFSET(BU$55,'Intermediate Data'!$CD110,0)=-98,"Unknown",IF(OFFSET(BU$55,'Intermediate Data'!$CD110,0)=-99,"N/A",OFFSET(BU$55,'Intermediate Data'!$CD110,0))))</f>
        <v/>
      </c>
      <c r="CX110" s="114" t="str">
        <f ca="1">IF($CD110="","",IF(OFFSET(BV$55,'Intermediate Data'!$CD110,0)=-98,"Unknown",IF(OFFSET(BV$55,'Intermediate Data'!$CD110,0)=-99,"N/A",OFFSET(BV$55,'Intermediate Data'!$CD110,0))))</f>
        <v/>
      </c>
      <c r="CY110" s="682" t="str">
        <f ca="1">IF($CD110="","",IF(OFFSET(BW$55,'Intermediate Data'!$CD110,0)=-98,"Unknown",IF(OFFSET(BW$55,'Intermediate Data'!$CD110,0)="N/A","",OFFSET(BW$55,'Intermediate Data'!$CD110,0))))</f>
        <v/>
      </c>
      <c r="CZ110" s="682" t="str">
        <f ca="1">IF($CD110="","",IF(OFFSET(BX$55,'Intermediate Data'!$CD110,0)=-98,"Unknown",IF(OFFSET(BX$55,'Intermediate Data'!$CD110,0)="N/A","",OFFSET(BX$55,'Intermediate Data'!$CD110,0))))</f>
        <v/>
      </c>
      <c r="DA110" s="682" t="str">
        <f ca="1">IF($CD110="","",IF(OFFSET(BY$55,'Intermediate Data'!$CD110,0)=-98,"Unknown",IF(OFFSET(BY$55,'Intermediate Data'!$CD110,0)="N/A","",OFFSET(BY$55,'Intermediate Data'!$CD110,0))))</f>
        <v/>
      </c>
      <c r="DB110" s="682" t="str">
        <f ca="1">IF($CD110="","",IF(OFFSET(BZ$55,'Intermediate Data'!$CD110,0)=-98,"Unknown",IF(OFFSET(BZ$55,'Intermediate Data'!$CD110,0)="N/A","",OFFSET(BZ$55,'Intermediate Data'!$CD110,0))))</f>
        <v/>
      </c>
    </row>
    <row r="111" spans="1:106" x14ac:dyDescent="0.2">
      <c r="A111" s="90">
        <f ca="1">IF(OFFSET(DATA!F60,0,$D$48)='Intermediate Data'!$E$48,IF(OR($E$49=$C$27,$E$48=$B$4),DATA!A60,IF($G$49=DATA!D60,DATA!A60,"")),"")</f>
        <v>56</v>
      </c>
      <c r="B111" s="90">
        <f ca="1">IF($A111="","",DATA!EH60)</f>
        <v>44</v>
      </c>
      <c r="C111" s="90" t="str">
        <f ca="1">IF($A111="","",DATA!B60)</f>
        <v>Radio</v>
      </c>
      <c r="D111" s="90">
        <f ca="1">IF($A111="","",OFFSET(DATA!$H60,0,($D$50*5)))</f>
        <v>-99</v>
      </c>
      <c r="E111" s="90">
        <f ca="1">IF($A111="","",OFFSET(DATA!$H60,0,($D$50*5)+1))</f>
        <v>-99</v>
      </c>
      <c r="F111" s="90">
        <f ca="1">IF($A111="","",OFFSET(DATA!$H60,0,($D$50*5)+2))</f>
        <v>-99</v>
      </c>
      <c r="G111" s="90">
        <f ca="1">IF($A111="","",OFFSET(DATA!$H60,0,($D$50*5)+3))</f>
        <v>-99</v>
      </c>
      <c r="H111" s="90">
        <f ca="1">IF($A111="","",OFFSET(DATA!$H60,0,($D$50*5)+4))</f>
        <v>-99</v>
      </c>
      <c r="I111" s="90">
        <f t="shared" ca="1" si="2"/>
        <v>-99</v>
      </c>
      <c r="J111" s="90" t="str">
        <f t="shared" ca="1" si="3"/>
        <v/>
      </c>
      <c r="K111" s="90">
        <f ca="1">IF($A111="","",OFFSET(DATA!$AG60,0,($D$50*5)))</f>
        <v>-99</v>
      </c>
      <c r="L111" s="90">
        <f ca="1">IF($A111="","",OFFSET(DATA!$AG60,0,($D$50*5)+1))</f>
        <v>-99</v>
      </c>
      <c r="M111" s="90">
        <f ca="1">IF($A111="","",OFFSET(DATA!$AG60,0,($D$50*5)+2))</f>
        <v>-99</v>
      </c>
      <c r="N111" s="90">
        <f ca="1">IF($A111="","",OFFSET(DATA!$AG60,0,($D$50*5)+3))</f>
        <v>-99</v>
      </c>
      <c r="O111" s="90">
        <f ca="1">IF($A111="","",OFFSET(DATA!$AG60,0,($D$50*5)+4))</f>
        <v>-99</v>
      </c>
      <c r="P111" s="90">
        <f t="shared" ca="1" si="4"/>
        <v>-99</v>
      </c>
      <c r="Q111" s="90" t="str">
        <f t="shared" ca="1" si="5"/>
        <v/>
      </c>
      <c r="R111" s="699">
        <f ca="1">IF($A111="","",IF(DATA!BF60="",-99,DATA!BF60))</f>
        <v>-99</v>
      </c>
      <c r="S111" s="90">
        <f ca="1">IF($A111="","",IF(DATA!BG60="",-99,DATA!BF60-DATA!BG60))</f>
        <v>-99</v>
      </c>
      <c r="T111" s="90">
        <f ca="1">IF($A111="","",DATA!BH60)</f>
        <v>-99</v>
      </c>
      <c r="U111" s="90">
        <f ca="1">IF($A111="","",OFFSET(DATA!BM60,0,$D$48))</f>
        <v>-99</v>
      </c>
      <c r="V111" s="90">
        <f t="shared" ca="1" si="15"/>
        <v>44</v>
      </c>
      <c r="W111" s="99">
        <f t="shared" ca="1" si="7"/>
        <v>43.99988120111</v>
      </c>
      <c r="X111" s="112">
        <f t="shared" ca="1" si="8"/>
        <v>76.000220539597464</v>
      </c>
      <c r="Y111" s="90">
        <f t="shared" ca="1" si="9"/>
        <v>20</v>
      </c>
      <c r="AA111" s="90" t="str">
        <f ca="1">IF($Y111="","",IF(OFFSET(C$55,'Intermediate Data'!$Y111,0)=-98,"Unknown",IF(OFFSET(C$55,'Intermediate Data'!$Y111,0)=-99,"N/A",OFFSET(C$55,'Intermediate Data'!$Y111,0))))</f>
        <v>Hot water heater - Electric</v>
      </c>
      <c r="AB111" s="90">
        <f ca="1">IF($Y111="","",IF(OFFSET(D$55,'Intermediate Data'!$Y111,0)=-98,"N/A",IF(OFFSET(D$55,'Intermediate Data'!$Y111,0)=-99,"N/A",OFFSET(D$55,'Intermediate Data'!$Y111,0))))</f>
        <v>7.2999999999999995E-2</v>
      </c>
      <c r="AC111" s="90">
        <f ca="1">IF($Y111="","",IF(OFFSET(E$55,'Intermediate Data'!$Y111,0)=-98,"N/A",IF(OFFSET(E$55,'Intermediate Data'!$Y111,0)=-99,"N/A",OFFSET(E$55,'Intermediate Data'!$Y111,0))))</f>
        <v>8.1475309560136114E-2</v>
      </c>
      <c r="AD111" s="90">
        <f ca="1">IF($Y111="","",IF(OFFSET(F$55,'Intermediate Data'!$Y111,0)=-98,"N/A",IF(OFFSET(F$55,'Intermediate Data'!$Y111,0)=-99,"N/A",OFFSET(F$55,'Intermediate Data'!$Y111,0))))</f>
        <v>0.06</v>
      </c>
      <c r="AE111" s="90">
        <f ca="1">IF($Y111="","",IF(OFFSET(G$55,'Intermediate Data'!$Y111,0)=-98,"N/A",IF(OFFSET(G$55,'Intermediate Data'!$Y111,0)=-99,"N/A",OFFSET(G$55,'Intermediate Data'!$Y111,0))))</f>
        <v>8.8999273039475593E-2</v>
      </c>
      <c r="AF111" s="90">
        <f ca="1">IF($Y111="","",IF(OFFSET(H$55,'Intermediate Data'!$Y111,0)=-98,"N/A",IF(OFFSET(H$55,'Intermediate Data'!$Y111,0)=-99,"N/A",OFFSET(H$55,'Intermediate Data'!$Y111,0))))</f>
        <v>7.3999999999999996E-2</v>
      </c>
      <c r="AG111" s="90">
        <f ca="1">IF($Y111="","",IF(OFFSET(I$55,'Intermediate Data'!$Y111,0)=-98,"N/A",IF(OFFSET(I$55,'Intermediate Data'!$Y111,0)=-99,"N/A",OFFSET(I$55,'Intermediate Data'!$Y111,0))))</f>
        <v>7.3999999999999996E-2</v>
      </c>
      <c r="AH111" s="90" t="str">
        <f ca="1">IF($Y111="","",IF(OFFSET(J$55,'Intermediate Data'!$Y111,0)=-98,"N/A",IF(OFFSET(J$55,'Intermediate Data'!$Y111,0)=-99,"N/A",OFFSET(J$55,'Intermediate Data'!$Y111,0))))</f>
        <v>CLASS</v>
      </c>
      <c r="AI111" s="90" t="str">
        <f ca="1">IF($Y111="","",IF(OFFSET(K$55,'Intermediate Data'!$Y111,0)=-98,"N/A",IF(OFFSET(K$55,'Intermediate Data'!$Y111,0)=-99,"N/A",OFFSET(K$55,'Intermediate Data'!$Y111,0))))</f>
        <v>N/A</v>
      </c>
      <c r="AJ111" s="90" t="str">
        <f ca="1">IF($Y111="","",IF(OFFSET(L$55,'Intermediate Data'!$Y111,0)=-98,"N/A",IF(OFFSET(L$55,'Intermediate Data'!$Y111,0)=-99,"N/A",OFFSET(L$55,'Intermediate Data'!$Y111,0))))</f>
        <v>N/A</v>
      </c>
      <c r="AK111" s="90" t="str">
        <f ca="1">IF($Y111="","",IF(OFFSET(M$55,'Intermediate Data'!$Y111,0)=-98,"N/A",IF(OFFSET(M$55,'Intermediate Data'!$Y111,0)=-99,"N/A",OFFSET(M$55,'Intermediate Data'!$Y111,0))))</f>
        <v>N/A</v>
      </c>
      <c r="AL111" s="90" t="str">
        <f ca="1">IF($Y111="","",IF(OFFSET(N$55,'Intermediate Data'!$Y111,0)=-98,"N/A",IF(OFFSET(N$55,'Intermediate Data'!$Y111,0)=-99,"N/A",OFFSET(N$55,'Intermediate Data'!$Y111,0))))</f>
        <v>N/A</v>
      </c>
      <c r="AM111" s="90" t="str">
        <f ca="1">IF($Y111="","",IF(OFFSET(O$55,'Intermediate Data'!$Y111,0)=-98,"N/A",IF(OFFSET(O$55,'Intermediate Data'!$Y111,0)=-99,"N/A",OFFSET(O$55,'Intermediate Data'!$Y111,0))))</f>
        <v>N/A</v>
      </c>
      <c r="AN111" s="90" t="str">
        <f ca="1">IF($Y111="","",IF(OFFSET(P$55,'Intermediate Data'!$Y111,0)=-98,"N/A",IF(OFFSET(P$55,'Intermediate Data'!$Y111,0)=-99,"N/A",OFFSET(P$55,'Intermediate Data'!$Y111,0))))</f>
        <v>N/A</v>
      </c>
      <c r="AO111" s="90" t="str">
        <f ca="1">IF($Y111="","",IF(OFFSET(Q$55,'Intermediate Data'!$Y111,0)=-98,"N/A",IF(OFFSET(Q$55,'Intermediate Data'!$Y111,0)=-99,"N/A",OFFSET(Q$55,'Intermediate Data'!$Y111,0))))</f>
        <v/>
      </c>
      <c r="AP111" s="697">
        <f ca="1">IF($Y111="","",IF(OFFSET(S$55,'Intermediate Data'!$Y111,0)=-98,"",IF(OFFSET(S$55,'Intermediate Data'!$Y111,0)=-99,"",OFFSET(S$55,'Intermediate Data'!$Y111,0))))</f>
        <v>-5.9999999999999984E-3</v>
      </c>
      <c r="AQ111" s="90">
        <f ca="1">IF($Y111="","",IF(OFFSET(T$55,'Intermediate Data'!$Y111,0)=-98,"Not published",IF(OFFSET(T$55,'Intermediate Data'!$Y111,0)=-99,"",OFFSET(T$55,'Intermediate Data'!$Y111,0))))</f>
        <v>0.01</v>
      </c>
      <c r="AR111" s="90">
        <f ca="1">IF($Y111="","",IF(OFFSET(U$55,'Intermediate Data'!$Y111,0)=-98,"Unknown",IF(OFFSET(U$55,'Intermediate Data'!$Y111,0)=-99,"",OFFSET(U$55,'Intermediate Data'!$Y111,0))))</f>
        <v>2700</v>
      </c>
      <c r="AU111" s="112" t="str">
        <f ca="1">IF(AND(OFFSET(DATA!$F60,0,$AX$48)='Intermediate Data'!$AY$48,DATA!$E60="Tier 1"),IF(OR($AX$49=0,$AX$48=1),DATA!A60,IF(AND($AX$49=1,INDEX('Intermediate Data'!$AY$25:$AY$44,MATCH(DATA!$B60,'Intermediate Data'!$AX$25:$AX$44,0))=TRUE),DATA!A60,"")),"")</f>
        <v/>
      </c>
      <c r="AV111" s="112" t="str">
        <f ca="1">IF($AU111="","",DATA!B60)</f>
        <v/>
      </c>
      <c r="AW111" s="112" t="str">
        <f ca="1">IF(OR($AU111="",DATA!BI60=""),"",DATA!BI60)</f>
        <v/>
      </c>
      <c r="AX111" s="112" t="str">
        <f ca="1">IF(OR($AU111="",OFFSET(DATA!BK60,0,$AX$48)=""),"",OFFSET(DATA!BK60,0,$AX$48))</f>
        <v/>
      </c>
      <c r="AY111" s="112" t="str">
        <f ca="1">IF(OR($AU111="",OFFSET(DATA!BM60,0,$AX$48)=""),"",OFFSET(DATA!BM60,0,$AX$48))</f>
        <v/>
      </c>
      <c r="AZ111" s="112" t="str">
        <f ca="1">IF(OR($AU111="",OFFSET(DATA!BO60,0,'Intermediate Data'!$AX$48)=""),"",OFFSET(DATA!BO60,0,$AX$48))</f>
        <v/>
      </c>
      <c r="BA111" s="112" t="str">
        <f ca="1">IF(OR($AU111="",DATA!BQ60=""),"",DATA!BQ60)</f>
        <v/>
      </c>
      <c r="BB111" s="112" t="str">
        <f ca="1">IF($AU111="","",OFFSET(DATA!BS60,0,$AX$48))</f>
        <v/>
      </c>
      <c r="BC111" s="112" t="str">
        <f ca="1">IF($AU111="","",OFFSET(DATA!BU60,0,$AX$48))</f>
        <v/>
      </c>
      <c r="BD111" s="112" t="str">
        <f ca="1">IF($AU111="","",OFFSET(DATA!BW60,0,$AX$48))</f>
        <v/>
      </c>
      <c r="BE111" s="112" t="str">
        <f ca="1">IF($AU111="","",OFFSET(DATA!BY60,0,$AX$48))</f>
        <v/>
      </c>
      <c r="BF111" s="112" t="str">
        <f ca="1">IF($AU111="","",OFFSET(DATA!CA60,0,$AX$48))</f>
        <v/>
      </c>
      <c r="BG111" s="112" t="str">
        <f ca="1">IF($AU111="","",DATA!CC60)</f>
        <v/>
      </c>
      <c r="BH111" s="112" t="str">
        <f ca="1">IF($AU111="","",OFFSET(DATA!CE60,0,$AX$48))</f>
        <v/>
      </c>
      <c r="BI111" s="112" t="str">
        <f ca="1">IF($AU111="","",OFFSET(DATA!CG60,0,$AX$48))</f>
        <v/>
      </c>
      <c r="BJ111" s="112" t="str">
        <f ca="1">IF($AU111="","",OFFSET(DATA!CI60,0,$AX$48))</f>
        <v/>
      </c>
      <c r="BK111" s="112" t="str">
        <f ca="1">IF($AU111="","",OFFSET(DATA!CK60,0,$AX$48))</f>
        <v/>
      </c>
      <c r="BL111" s="112" t="str">
        <f ca="1">IF($AU111="","",OFFSET(DATA!CM60,0,$AX$48))</f>
        <v/>
      </c>
      <c r="BM111" s="112" t="str">
        <f ca="1">IF($AU111="","",DATA!BH60)</f>
        <v/>
      </c>
      <c r="BN111" s="112" t="str">
        <f ca="1">IF($AU111="","",DATA!DS60)</f>
        <v/>
      </c>
      <c r="BO111" s="112" t="str">
        <f ca="1">IF($AU111="","",DATA!DU60)</f>
        <v/>
      </c>
      <c r="BP111" s="112" t="str">
        <f ca="1">IF($AU111="","",DATA!DV60)</f>
        <v/>
      </c>
      <c r="BQ111" s="112" t="str">
        <f ca="1">IF($AU111="","",DATA!DX60)</f>
        <v/>
      </c>
      <c r="BR111" s="112" t="str">
        <f ca="1">IF($AU111="","",DATA!DZ60)</f>
        <v/>
      </c>
      <c r="BS111" s="171" t="str">
        <f ca="1">IF($AU111="","",DATA!EA60)</f>
        <v/>
      </c>
      <c r="BT111" s="171" t="str">
        <f ca="1">IF($AU111="","",DATA!EC60)</f>
        <v/>
      </c>
      <c r="BU111" s="171" t="str">
        <f ca="1">IF($AU111="","",DATA!EF60)</f>
        <v/>
      </c>
      <c r="BV111" s="113" t="str">
        <f t="shared" ca="1" si="10"/>
        <v/>
      </c>
      <c r="BW111" s="680" t="str">
        <f ca="1">IF(AU111="","",OFFSET(DATA!DC60,0,'Intermediate Data'!$AX$48))</f>
        <v/>
      </c>
      <c r="BX111" s="681" t="str">
        <f ca="1">IF($AU111="","",DATA!DG60)</f>
        <v/>
      </c>
      <c r="BY111" s="680" t="str">
        <f ca="1">IF($AU111="","",OFFSET(DATA!DE60,0,'Intermediate Data'!$AX$48))</f>
        <v/>
      </c>
      <c r="BZ111" s="681" t="str">
        <f ca="1">IF($AU111="","",DATA!DH60)</f>
        <v/>
      </c>
      <c r="CA111" s="90" t="str">
        <f t="shared" ca="1" si="11"/>
        <v/>
      </c>
      <c r="CB111" s="99" t="str">
        <f t="shared" ca="1" si="12"/>
        <v/>
      </c>
      <c r="CC111" s="90" t="str">
        <f t="shared" ca="1" si="13"/>
        <v/>
      </c>
      <c r="CD111" s="90" t="str">
        <f t="shared" ca="1" si="14"/>
        <v/>
      </c>
      <c r="CF111" s="90" t="str">
        <f ca="1">IF($CD111="","",IF(OFFSET(AV$55,'Intermediate Data'!$CD111,0)=-98,"Unknown",IF(OFFSET(AV$55,'Intermediate Data'!$CD111,0)=-99,"N/A",OFFSET(AV$55,'Intermediate Data'!$CD111,0))))</f>
        <v/>
      </c>
      <c r="CG111" s="90" t="str">
        <f ca="1">IF($CD111="","",IF(OFFSET(AW$55,'Intermediate Data'!$CD111,0)=-98,"",IF(OFFSET(AW$55,'Intermediate Data'!$CD111,0)=-99,"N/A",OFFSET(AW$55,'Intermediate Data'!$CD111,0))))</f>
        <v/>
      </c>
      <c r="CH111" s="90" t="str">
        <f ca="1">IF($CD111="","",IF(OFFSET(AX$55,'Intermediate Data'!$CD111,0)=-98,"Unknown",IF(OFFSET(AX$55,'Intermediate Data'!$CD111,0)=-99,"N/A",OFFSET(AX$55,'Intermediate Data'!$CD111,0))))</f>
        <v/>
      </c>
      <c r="CI111" s="125" t="str">
        <f ca="1">IF($CD111="","",IF(OFFSET(AY$55,'Intermediate Data'!$CD111,0)=-98,"Unknown",IF(OFFSET(AY$55,'Intermediate Data'!$CD111,0)=-99,"No spec",OFFSET(AY$55,'Intermediate Data'!$CD111,0))))</f>
        <v/>
      </c>
      <c r="CJ111" s="125" t="str">
        <f ca="1">IF($CD111="","",IF(OFFSET(AZ$55,'Intermediate Data'!$CD111,0)=-98,"Unknown",IF(OFFSET(AZ$55,'Intermediate Data'!$CD111,0)=-99,"N/A",OFFSET(AZ$55,'Intermediate Data'!$CD111,0))))</f>
        <v/>
      </c>
      <c r="CK111" s="90" t="str">
        <f ca="1">IF($CD111="","",IF(OFFSET(BA$55,'Intermediate Data'!$CD111,0)=-98,"Unknown",IF(OFFSET(BA$55,'Intermediate Data'!$CD111,0)=-99,"N/A",OFFSET(BA$55,'Intermediate Data'!$CD111,0))))</f>
        <v/>
      </c>
      <c r="CL111" s="90" t="str">
        <f ca="1">IF($CD111="","",IF(OFFSET(BB$55,'Intermediate Data'!$CD111,$AX$50)=-98,"Unknown",IF(OFFSET(BB$55,'Intermediate Data'!$CD111,$AX$50)="N/A","",OFFSET(BB$55,'Intermediate Data'!$CD111,$AX$50))))</f>
        <v/>
      </c>
      <c r="CM111" s="90" t="str">
        <f ca="1">IF($CD111="","",IF(OFFSET(BG$55,'Intermediate Data'!$CD111,0)="ET","ET",""))</f>
        <v/>
      </c>
      <c r="CN111" s="90" t="str">
        <f ca="1">IF($CD111="","",IF(OFFSET(BH$55,'Intermediate Data'!$CD111,$AX$50)=-98,"Unknown",IF(OFFSET(BH$55,'Intermediate Data'!$CD111,$AX$50)="N/A","",OFFSET(BH$55,'Intermediate Data'!$CD111,$AX$50))))</f>
        <v/>
      </c>
      <c r="CO111" s="90" t="str">
        <f ca="1">IF($CD111="","",IF(OFFSET(BM$55,'Intermediate Data'!$CD111,0)=-98,"Not published",IF(OFFSET(BM$55,'Intermediate Data'!$CD111,0)=-99,"No spec",OFFSET(BM$55,'Intermediate Data'!$CD111,0))))</f>
        <v/>
      </c>
      <c r="CP111" s="114" t="str">
        <f ca="1">IF($CD111="","",IF(OFFSET(BN$55,'Intermediate Data'!$CD111,0)=-98,"Unknown",IF(OFFSET(BN$55,'Intermediate Data'!$CD111,0)=-99,"N/A",OFFSET(BN$55,'Intermediate Data'!$CD111,0))))</f>
        <v/>
      </c>
      <c r="CQ111" s="114" t="str">
        <f ca="1">IF($CD111="","",IF(OFFSET(BO$55,'Intermediate Data'!$CD111,0)=-98,"Unknown",IF(OFFSET(BO$55,'Intermediate Data'!$CD111,0)=-99,"N/A",OFFSET(BO$55,'Intermediate Data'!$CD111,0))))</f>
        <v/>
      </c>
      <c r="CR111" s="114" t="str">
        <f ca="1">IF($CD111="","",IF(OFFSET(BP$55,'Intermediate Data'!$CD111,0)=-98,"Unknown",IF(OFFSET(BP$55,'Intermediate Data'!$CD111,0)=-99,"N/A",OFFSET(BP$55,'Intermediate Data'!$CD111,0))))</f>
        <v/>
      </c>
      <c r="CS111" s="114" t="str">
        <f ca="1">IF($CD111="","",IF(OFFSET(BQ$55,'Intermediate Data'!$CD111,0)=-98,"Unknown",IF(OFFSET(BQ$55,'Intermediate Data'!$CD111,0)=-99,"N/A",OFFSET(BQ$55,'Intermediate Data'!$CD111,0))))</f>
        <v/>
      </c>
      <c r="CT111" s="114" t="str">
        <f ca="1">IF($CD111="","",IF(OFFSET(BR$55,'Intermediate Data'!$CD111,0)=-98,"Unknown",IF(OFFSET(BR$55,'Intermediate Data'!$CD111,0)=-99,"N/A",OFFSET(BR$55,'Intermediate Data'!$CD111,0))))</f>
        <v/>
      </c>
      <c r="CU111" s="114" t="str">
        <f ca="1">IF($CD111="","",IF(OFFSET(BS$55,'Intermediate Data'!$CD111,0)=-98,"Unknown",IF(OFFSET(BS$55,'Intermediate Data'!$CD111,0)=-99,"N/A",OFFSET(BS$55,'Intermediate Data'!$CD111,0))))</f>
        <v/>
      </c>
      <c r="CV111" s="114" t="str">
        <f ca="1">IF($CD111="","",IF(OFFSET(BT$55,'Intermediate Data'!$CD111,0)=-98,"Unknown",IF(OFFSET(BT$55,'Intermediate Data'!$CD111,0)=-99,"N/A",OFFSET(BT$55,'Intermediate Data'!$CD111,0))))</f>
        <v/>
      </c>
      <c r="CW111" s="114" t="str">
        <f ca="1">IF($CD111="","",IF(OFFSET(BU$55,'Intermediate Data'!$CD111,0)=-98,"Unknown",IF(OFFSET(BU$55,'Intermediate Data'!$CD111,0)=-99,"N/A",OFFSET(BU$55,'Intermediate Data'!$CD111,0))))</f>
        <v/>
      </c>
      <c r="CX111" s="114" t="str">
        <f ca="1">IF($CD111="","",IF(OFFSET(BV$55,'Intermediate Data'!$CD111,0)=-98,"Unknown",IF(OFFSET(BV$55,'Intermediate Data'!$CD111,0)=-99,"N/A",OFFSET(BV$55,'Intermediate Data'!$CD111,0))))</f>
        <v/>
      </c>
      <c r="CY111" s="682" t="str">
        <f ca="1">IF($CD111="","",IF(OFFSET(BW$55,'Intermediate Data'!$CD111,0)=-98,"Unknown",IF(OFFSET(BW$55,'Intermediate Data'!$CD111,0)="N/A","",OFFSET(BW$55,'Intermediate Data'!$CD111,0))))</f>
        <v/>
      </c>
      <c r="CZ111" s="682" t="str">
        <f ca="1">IF($CD111="","",IF(OFFSET(BX$55,'Intermediate Data'!$CD111,0)=-98,"Unknown",IF(OFFSET(BX$55,'Intermediate Data'!$CD111,0)="N/A","",OFFSET(BX$55,'Intermediate Data'!$CD111,0))))</f>
        <v/>
      </c>
      <c r="DA111" s="682" t="str">
        <f ca="1">IF($CD111="","",IF(OFFSET(BY$55,'Intermediate Data'!$CD111,0)=-98,"Unknown",IF(OFFSET(BY$55,'Intermediate Data'!$CD111,0)="N/A","",OFFSET(BY$55,'Intermediate Data'!$CD111,0))))</f>
        <v/>
      </c>
      <c r="DB111" s="682" t="str">
        <f ca="1">IF($CD111="","",IF(OFFSET(BZ$55,'Intermediate Data'!$CD111,0)=-98,"Unknown",IF(OFFSET(BZ$55,'Intermediate Data'!$CD111,0)="N/A","",OFFSET(BZ$55,'Intermediate Data'!$CD111,0))))</f>
        <v/>
      </c>
    </row>
    <row r="112" spans="1:106" x14ac:dyDescent="0.2">
      <c r="A112" s="90">
        <f ca="1">IF(OFFSET(DATA!F61,0,$D$48)='Intermediate Data'!$E$48,IF(OR($E$49=$C$27,$E$48=$B$4),DATA!A61,IF($G$49=DATA!D61,DATA!A61,"")),"")</f>
        <v>57</v>
      </c>
      <c r="B112" s="90">
        <f ca="1">IF($A112="","",DATA!EH61)</f>
        <v>29</v>
      </c>
      <c r="C112" s="90" t="str">
        <f ca="1">IF($A112="","",DATA!B61)</f>
        <v>Soundbar</v>
      </c>
      <c r="D112" s="90">
        <f ca="1">IF($A112="","",OFFSET(DATA!$H61,0,($D$50*5)))</f>
        <v>-99</v>
      </c>
      <c r="E112" s="90">
        <f ca="1">IF($A112="","",OFFSET(DATA!$H61,0,($D$50*5)+1))</f>
        <v>-99</v>
      </c>
      <c r="F112" s="90">
        <f ca="1">IF($A112="","",OFFSET(DATA!$H61,0,($D$50*5)+2))</f>
        <v>-99</v>
      </c>
      <c r="G112" s="90">
        <f ca="1">IF($A112="","",OFFSET(DATA!$H61,0,($D$50*5)+3))</f>
        <v>-99</v>
      </c>
      <c r="H112" s="90">
        <f ca="1">IF($A112="","",OFFSET(DATA!$H61,0,($D$50*5)+4))</f>
        <v>-99</v>
      </c>
      <c r="I112" s="90">
        <f t="shared" ca="1" si="2"/>
        <v>-99</v>
      </c>
      <c r="J112" s="90" t="str">
        <f t="shared" ca="1" si="3"/>
        <v/>
      </c>
      <c r="K112" s="90">
        <f ca="1">IF($A112="","",OFFSET(DATA!$AG61,0,($D$50*5)))</f>
        <v>-99</v>
      </c>
      <c r="L112" s="90">
        <f ca="1">IF($A112="","",OFFSET(DATA!$AG61,0,($D$50*5)+1))</f>
        <v>-99</v>
      </c>
      <c r="M112" s="90">
        <f ca="1">IF($A112="","",OFFSET(DATA!$AG61,0,($D$50*5)+2))</f>
        <v>-99</v>
      </c>
      <c r="N112" s="90">
        <f ca="1">IF($A112="","",OFFSET(DATA!$AG61,0,($D$50*5)+3))</f>
        <v>-99</v>
      </c>
      <c r="O112" s="90">
        <f ca="1">IF($A112="","",OFFSET(DATA!$AG61,0,($D$50*5)+4))</f>
        <v>-99</v>
      </c>
      <c r="P112" s="90">
        <f t="shared" ca="1" si="4"/>
        <v>-99</v>
      </c>
      <c r="Q112" s="90" t="str">
        <f t="shared" ca="1" si="5"/>
        <v/>
      </c>
      <c r="R112" s="699">
        <f ca="1">IF($A112="","",IF(DATA!BF61="",-99,DATA!BF61))</f>
        <v>-99</v>
      </c>
      <c r="S112" s="90">
        <f ca="1">IF($A112="","",IF(DATA!BG61="",-99,DATA!BF61-DATA!BG61))</f>
        <v>-99</v>
      </c>
      <c r="T112" s="90">
        <f ca="1">IF($A112="","",DATA!BH61)</f>
        <v>0.62</v>
      </c>
      <c r="U112" s="90">
        <f ca="1">IF($A112="","",OFFSET(DATA!BM61,0,$D$48))</f>
        <v>70</v>
      </c>
      <c r="V112" s="90">
        <f t="shared" ca="1" si="15"/>
        <v>29</v>
      </c>
      <c r="W112" s="99">
        <f t="shared" ca="1" si="7"/>
        <v>28.999908063119999</v>
      </c>
      <c r="X112" s="112">
        <f t="shared" ca="1" si="8"/>
        <v>74.999950935406986</v>
      </c>
      <c r="Y112" s="90">
        <f t="shared" ca="1" si="9"/>
        <v>21</v>
      </c>
      <c r="AA112" s="90" t="str">
        <f ca="1">IF($Y112="","",IF(OFFSET(C$55,'Intermediate Data'!$Y112,0)=-98,"Unknown",IF(OFFSET(C$55,'Intermediate Data'!$Y112,0)=-99,"N/A",OFFSET(C$55,'Intermediate Data'!$Y112,0))))</f>
        <v>Hot water heater - Gas</v>
      </c>
      <c r="AB112" s="90">
        <f ca="1">IF($Y112="","",IF(OFFSET(D$55,'Intermediate Data'!$Y112,0)=-98,"N/A",IF(OFFSET(D$55,'Intermediate Data'!$Y112,0)=-99,"N/A",OFFSET(D$55,'Intermediate Data'!$Y112,0))))</f>
        <v>0.89800000000000002</v>
      </c>
      <c r="AC112" s="90">
        <f ca="1">IF($Y112="","",IF(OFFSET(E$55,'Intermediate Data'!$Y112,0)=-98,"N/A",IF(OFFSET(E$55,'Intermediate Data'!$Y112,0)=-99,"N/A",OFFSET(E$55,'Intermediate Data'!$Y112,0))))</f>
        <v>0.80796419319027146</v>
      </c>
      <c r="AD112" s="90">
        <f ca="1">IF($Y112="","",IF(OFFSET(F$55,'Intermediate Data'!$Y112,0)=-98,"N/A",IF(OFFSET(F$55,'Intermediate Data'!$Y112,0)=-99,"N/A",OFFSET(F$55,'Intermediate Data'!$Y112,0))))</f>
        <v>0.89300000000000002</v>
      </c>
      <c r="AE112" s="90">
        <f ca="1">IF($Y112="","",IF(OFFSET(G$55,'Intermediate Data'!$Y112,0)=-98,"N/A",IF(OFFSET(G$55,'Intermediate Data'!$Y112,0)=-99,"N/A",OFFSET(G$55,'Intermediate Data'!$Y112,0))))</f>
        <v>0.8415056712360397</v>
      </c>
      <c r="AF112" s="90">
        <f ca="1">IF($Y112="","",IF(OFFSET(H$55,'Intermediate Data'!$Y112,0)=-98,"N/A",IF(OFFSET(H$55,'Intermediate Data'!$Y112,0)=-99,"N/A",OFFSET(H$55,'Intermediate Data'!$Y112,0))))</f>
        <v>0.88200000000000001</v>
      </c>
      <c r="AG112" s="90">
        <f ca="1">IF($Y112="","",IF(OFFSET(I$55,'Intermediate Data'!$Y112,0)=-98,"N/A",IF(OFFSET(I$55,'Intermediate Data'!$Y112,0)=-99,"N/A",OFFSET(I$55,'Intermediate Data'!$Y112,0))))</f>
        <v>0.88200000000000001</v>
      </c>
      <c r="AH112" s="90" t="str">
        <f ca="1">IF($Y112="","",IF(OFFSET(J$55,'Intermediate Data'!$Y112,0)=-98,"N/A",IF(OFFSET(J$55,'Intermediate Data'!$Y112,0)=-99,"N/A",OFFSET(J$55,'Intermediate Data'!$Y112,0))))</f>
        <v>CLASS</v>
      </c>
      <c r="AI112" s="90" t="str">
        <f ca="1">IF($Y112="","",IF(OFFSET(K$55,'Intermediate Data'!$Y112,0)=-98,"N/A",IF(OFFSET(K$55,'Intermediate Data'!$Y112,0)=-99,"N/A",OFFSET(K$55,'Intermediate Data'!$Y112,0))))</f>
        <v>N/A</v>
      </c>
      <c r="AJ112" s="90" t="str">
        <f ca="1">IF($Y112="","",IF(OFFSET(L$55,'Intermediate Data'!$Y112,0)=-98,"N/A",IF(OFFSET(L$55,'Intermediate Data'!$Y112,0)=-99,"N/A",OFFSET(L$55,'Intermediate Data'!$Y112,0))))</f>
        <v>N/A</v>
      </c>
      <c r="AK112" s="90" t="str">
        <f ca="1">IF($Y112="","",IF(OFFSET(M$55,'Intermediate Data'!$Y112,0)=-98,"N/A",IF(OFFSET(M$55,'Intermediate Data'!$Y112,0)=-99,"N/A",OFFSET(M$55,'Intermediate Data'!$Y112,0))))</f>
        <v>N/A</v>
      </c>
      <c r="AL112" s="90" t="str">
        <f ca="1">IF($Y112="","",IF(OFFSET(N$55,'Intermediate Data'!$Y112,0)=-98,"N/A",IF(OFFSET(N$55,'Intermediate Data'!$Y112,0)=-99,"N/A",OFFSET(N$55,'Intermediate Data'!$Y112,0))))</f>
        <v>N/A</v>
      </c>
      <c r="AM112" s="90" t="str">
        <f ca="1">IF($Y112="","",IF(OFFSET(O$55,'Intermediate Data'!$Y112,0)=-98,"N/A",IF(OFFSET(O$55,'Intermediate Data'!$Y112,0)=-99,"N/A",OFFSET(O$55,'Intermediate Data'!$Y112,0))))</f>
        <v>N/A</v>
      </c>
      <c r="AN112" s="90" t="str">
        <f ca="1">IF($Y112="","",IF(OFFSET(P$55,'Intermediate Data'!$Y112,0)=-98,"N/A",IF(OFFSET(P$55,'Intermediate Data'!$Y112,0)=-99,"N/A",OFFSET(P$55,'Intermediate Data'!$Y112,0))))</f>
        <v>N/A</v>
      </c>
      <c r="AO112" s="90" t="str">
        <f ca="1">IF($Y112="","",IF(OFFSET(Q$55,'Intermediate Data'!$Y112,0)=-98,"N/A",IF(OFFSET(Q$55,'Intermediate Data'!$Y112,0)=-99,"N/A",OFFSET(Q$55,'Intermediate Data'!$Y112,0))))</f>
        <v/>
      </c>
      <c r="AP112" s="697">
        <f ca="1">IF($Y112="","",IF(OFFSET(S$55,'Intermediate Data'!$Y112,0)=-98,"",IF(OFFSET(S$55,'Intermediate Data'!$Y112,0)=-99,"",OFFSET(S$55,'Intermediate Data'!$Y112,0))))</f>
        <v>2.4E-2</v>
      </c>
      <c r="AQ112" s="90">
        <f ca="1">IF($Y112="","",IF(OFFSET(T$55,'Intermediate Data'!$Y112,0)=-98,"Not published",IF(OFFSET(T$55,'Intermediate Data'!$Y112,0)=-99,"",OFFSET(T$55,'Intermediate Data'!$Y112,0))))</f>
        <v>0.04</v>
      </c>
      <c r="AR112" s="90">
        <f ca="1">IF($Y112="","",IF(OFFSET(U$55,'Intermediate Data'!$Y112,0)=-98,"Unknown",IF(OFFSET(U$55,'Intermediate Data'!$Y112,0)=-99,"",OFFSET(U$55,'Intermediate Data'!$Y112,0))))</f>
        <v>0</v>
      </c>
      <c r="AU112" s="112" t="str">
        <f ca="1">IF(AND(OFFSET(DATA!$F61,0,$AX$48)='Intermediate Data'!$AY$48,DATA!$E61="Tier 1"),IF(OR($AX$49=0,$AX$48=1),DATA!A61,IF(AND($AX$49=1,INDEX('Intermediate Data'!$AY$25:$AY$44,MATCH(DATA!$B61,'Intermediate Data'!$AX$25:$AX$44,0))=TRUE),DATA!A61,"")),"")</f>
        <v/>
      </c>
      <c r="AV112" s="112" t="str">
        <f ca="1">IF($AU112="","",DATA!B61)</f>
        <v/>
      </c>
      <c r="AW112" s="112" t="str">
        <f ca="1">IF(OR($AU112="",DATA!BI61=""),"",DATA!BI61)</f>
        <v/>
      </c>
      <c r="AX112" s="112" t="str">
        <f ca="1">IF(OR($AU112="",OFFSET(DATA!BK61,0,$AX$48)=""),"",OFFSET(DATA!BK61,0,$AX$48))</f>
        <v/>
      </c>
      <c r="AY112" s="112" t="str">
        <f ca="1">IF(OR($AU112="",OFFSET(DATA!BM61,0,$AX$48)=""),"",OFFSET(DATA!BM61,0,$AX$48))</f>
        <v/>
      </c>
      <c r="AZ112" s="112" t="str">
        <f ca="1">IF(OR($AU112="",OFFSET(DATA!BO61,0,'Intermediate Data'!$AX$48)=""),"",OFFSET(DATA!BO61,0,$AX$48))</f>
        <v/>
      </c>
      <c r="BA112" s="112" t="str">
        <f ca="1">IF(OR($AU112="",DATA!BQ61=""),"",DATA!BQ61)</f>
        <v/>
      </c>
      <c r="BB112" s="112" t="str">
        <f ca="1">IF($AU112="","",OFFSET(DATA!BS61,0,$AX$48))</f>
        <v/>
      </c>
      <c r="BC112" s="112" t="str">
        <f ca="1">IF($AU112="","",OFFSET(DATA!BU61,0,$AX$48))</f>
        <v/>
      </c>
      <c r="BD112" s="112" t="str">
        <f ca="1">IF($AU112="","",OFFSET(DATA!BW61,0,$AX$48))</f>
        <v/>
      </c>
      <c r="BE112" s="112" t="str">
        <f ca="1">IF($AU112="","",OFFSET(DATA!BY61,0,$AX$48))</f>
        <v/>
      </c>
      <c r="BF112" s="112" t="str">
        <f ca="1">IF($AU112="","",OFFSET(DATA!CA61,0,$AX$48))</f>
        <v/>
      </c>
      <c r="BG112" s="112" t="str">
        <f ca="1">IF($AU112="","",DATA!CC61)</f>
        <v/>
      </c>
      <c r="BH112" s="112" t="str">
        <f ca="1">IF($AU112="","",OFFSET(DATA!CE61,0,$AX$48))</f>
        <v/>
      </c>
      <c r="BI112" s="112" t="str">
        <f ca="1">IF($AU112="","",OFFSET(DATA!CG61,0,$AX$48))</f>
        <v/>
      </c>
      <c r="BJ112" s="112" t="str">
        <f ca="1">IF($AU112="","",OFFSET(DATA!CI61,0,$AX$48))</f>
        <v/>
      </c>
      <c r="BK112" s="112" t="str">
        <f ca="1">IF($AU112="","",OFFSET(DATA!CK61,0,$AX$48))</f>
        <v/>
      </c>
      <c r="BL112" s="112" t="str">
        <f ca="1">IF($AU112="","",OFFSET(DATA!CM61,0,$AX$48))</f>
        <v/>
      </c>
      <c r="BM112" s="112" t="str">
        <f ca="1">IF($AU112="","",DATA!BH61)</f>
        <v/>
      </c>
      <c r="BN112" s="112" t="str">
        <f ca="1">IF($AU112="","",DATA!DS61)</f>
        <v/>
      </c>
      <c r="BO112" s="112" t="str">
        <f ca="1">IF($AU112="","",DATA!DU61)</f>
        <v/>
      </c>
      <c r="BP112" s="112" t="str">
        <f ca="1">IF($AU112="","",DATA!DV61)</f>
        <v/>
      </c>
      <c r="BQ112" s="112" t="str">
        <f ca="1">IF($AU112="","",DATA!DX61)</f>
        <v/>
      </c>
      <c r="BR112" s="112" t="str">
        <f ca="1">IF($AU112="","",DATA!DZ61)</f>
        <v/>
      </c>
      <c r="BS112" s="171" t="str">
        <f ca="1">IF($AU112="","",DATA!EA61)</f>
        <v/>
      </c>
      <c r="BT112" s="171" t="str">
        <f ca="1">IF($AU112="","",DATA!EC61)</f>
        <v/>
      </c>
      <c r="BU112" s="171" t="str">
        <f ca="1">IF($AU112="","",DATA!EF61)</f>
        <v/>
      </c>
      <c r="BV112" s="113" t="str">
        <f t="shared" ca="1" si="10"/>
        <v/>
      </c>
      <c r="BW112" s="680" t="str">
        <f ca="1">IF(AU112="","",OFFSET(DATA!DC61,0,'Intermediate Data'!$AX$48))</f>
        <v/>
      </c>
      <c r="BX112" s="681" t="str">
        <f ca="1">IF($AU112="","",DATA!DG61)</f>
        <v/>
      </c>
      <c r="BY112" s="680" t="str">
        <f ca="1">IF($AU112="","",OFFSET(DATA!DE61,0,'Intermediate Data'!$AX$48))</f>
        <v/>
      </c>
      <c r="BZ112" s="681" t="str">
        <f ca="1">IF($AU112="","",DATA!DH61)</f>
        <v/>
      </c>
      <c r="CA112" s="90" t="str">
        <f t="shared" ca="1" si="11"/>
        <v/>
      </c>
      <c r="CB112" s="99" t="str">
        <f t="shared" ca="1" si="12"/>
        <v/>
      </c>
      <c r="CC112" s="90" t="str">
        <f t="shared" ca="1" si="13"/>
        <v/>
      </c>
      <c r="CD112" s="90" t="str">
        <f t="shared" ca="1" si="14"/>
        <v/>
      </c>
      <c r="CF112" s="90" t="str">
        <f ca="1">IF($CD112="","",IF(OFFSET(AV$55,'Intermediate Data'!$CD112,0)=-98,"Unknown",IF(OFFSET(AV$55,'Intermediate Data'!$CD112,0)=-99,"N/A",OFFSET(AV$55,'Intermediate Data'!$CD112,0))))</f>
        <v/>
      </c>
      <c r="CG112" s="90" t="str">
        <f ca="1">IF($CD112="","",IF(OFFSET(AW$55,'Intermediate Data'!$CD112,0)=-98,"",IF(OFFSET(AW$55,'Intermediate Data'!$CD112,0)=-99,"N/A",OFFSET(AW$55,'Intermediate Data'!$CD112,0))))</f>
        <v/>
      </c>
      <c r="CH112" s="90" t="str">
        <f ca="1">IF($CD112="","",IF(OFFSET(AX$55,'Intermediate Data'!$CD112,0)=-98,"Unknown",IF(OFFSET(AX$55,'Intermediate Data'!$CD112,0)=-99,"N/A",OFFSET(AX$55,'Intermediate Data'!$CD112,0))))</f>
        <v/>
      </c>
      <c r="CI112" s="125" t="str">
        <f ca="1">IF($CD112="","",IF(OFFSET(AY$55,'Intermediate Data'!$CD112,0)=-98,"Unknown",IF(OFFSET(AY$55,'Intermediate Data'!$CD112,0)=-99,"No spec",OFFSET(AY$55,'Intermediate Data'!$CD112,0))))</f>
        <v/>
      </c>
      <c r="CJ112" s="125" t="str">
        <f ca="1">IF($CD112="","",IF(OFFSET(AZ$55,'Intermediate Data'!$CD112,0)=-98,"Unknown",IF(OFFSET(AZ$55,'Intermediate Data'!$CD112,0)=-99,"N/A",OFFSET(AZ$55,'Intermediate Data'!$CD112,0))))</f>
        <v/>
      </c>
      <c r="CK112" s="90" t="str">
        <f ca="1">IF($CD112="","",IF(OFFSET(BA$55,'Intermediate Data'!$CD112,0)=-98,"Unknown",IF(OFFSET(BA$55,'Intermediate Data'!$CD112,0)=-99,"N/A",OFFSET(BA$55,'Intermediate Data'!$CD112,0))))</f>
        <v/>
      </c>
      <c r="CL112" s="90" t="str">
        <f ca="1">IF($CD112="","",IF(OFFSET(BB$55,'Intermediate Data'!$CD112,$AX$50)=-98,"Unknown",IF(OFFSET(BB$55,'Intermediate Data'!$CD112,$AX$50)="N/A","",OFFSET(BB$55,'Intermediate Data'!$CD112,$AX$50))))</f>
        <v/>
      </c>
      <c r="CM112" s="90" t="str">
        <f ca="1">IF($CD112="","",IF(OFFSET(BG$55,'Intermediate Data'!$CD112,0)="ET","ET",""))</f>
        <v/>
      </c>
      <c r="CN112" s="90" t="str">
        <f ca="1">IF($CD112="","",IF(OFFSET(BH$55,'Intermediate Data'!$CD112,$AX$50)=-98,"Unknown",IF(OFFSET(BH$55,'Intermediate Data'!$CD112,$AX$50)="N/A","",OFFSET(BH$55,'Intermediate Data'!$CD112,$AX$50))))</f>
        <v/>
      </c>
      <c r="CO112" s="90" t="str">
        <f ca="1">IF($CD112="","",IF(OFFSET(BM$55,'Intermediate Data'!$CD112,0)=-98,"Not published",IF(OFFSET(BM$55,'Intermediate Data'!$CD112,0)=-99,"No spec",OFFSET(BM$55,'Intermediate Data'!$CD112,0))))</f>
        <v/>
      </c>
      <c r="CP112" s="114" t="str">
        <f ca="1">IF($CD112="","",IF(OFFSET(BN$55,'Intermediate Data'!$CD112,0)=-98,"Unknown",IF(OFFSET(BN$55,'Intermediate Data'!$CD112,0)=-99,"N/A",OFFSET(BN$55,'Intermediate Data'!$CD112,0))))</f>
        <v/>
      </c>
      <c r="CQ112" s="114" t="str">
        <f ca="1">IF($CD112="","",IF(OFFSET(BO$55,'Intermediate Data'!$CD112,0)=-98,"Unknown",IF(OFFSET(BO$55,'Intermediate Data'!$CD112,0)=-99,"N/A",OFFSET(BO$55,'Intermediate Data'!$CD112,0))))</f>
        <v/>
      </c>
      <c r="CR112" s="114" t="str">
        <f ca="1">IF($CD112="","",IF(OFFSET(BP$55,'Intermediate Data'!$CD112,0)=-98,"Unknown",IF(OFFSET(BP$55,'Intermediate Data'!$CD112,0)=-99,"N/A",OFFSET(BP$55,'Intermediate Data'!$CD112,0))))</f>
        <v/>
      </c>
      <c r="CS112" s="114" t="str">
        <f ca="1">IF($CD112="","",IF(OFFSET(BQ$55,'Intermediate Data'!$CD112,0)=-98,"Unknown",IF(OFFSET(BQ$55,'Intermediate Data'!$CD112,0)=-99,"N/A",OFFSET(BQ$55,'Intermediate Data'!$CD112,0))))</f>
        <v/>
      </c>
      <c r="CT112" s="114" t="str">
        <f ca="1">IF($CD112="","",IF(OFFSET(BR$55,'Intermediate Data'!$CD112,0)=-98,"Unknown",IF(OFFSET(BR$55,'Intermediate Data'!$CD112,0)=-99,"N/A",OFFSET(BR$55,'Intermediate Data'!$CD112,0))))</f>
        <v/>
      </c>
      <c r="CU112" s="114" t="str">
        <f ca="1">IF($CD112="","",IF(OFFSET(BS$55,'Intermediate Data'!$CD112,0)=-98,"Unknown",IF(OFFSET(BS$55,'Intermediate Data'!$CD112,0)=-99,"N/A",OFFSET(BS$55,'Intermediate Data'!$CD112,0))))</f>
        <v/>
      </c>
      <c r="CV112" s="114" t="str">
        <f ca="1">IF($CD112="","",IF(OFFSET(BT$55,'Intermediate Data'!$CD112,0)=-98,"Unknown",IF(OFFSET(BT$55,'Intermediate Data'!$CD112,0)=-99,"N/A",OFFSET(BT$55,'Intermediate Data'!$CD112,0))))</f>
        <v/>
      </c>
      <c r="CW112" s="114" t="str">
        <f ca="1">IF($CD112="","",IF(OFFSET(BU$55,'Intermediate Data'!$CD112,0)=-98,"Unknown",IF(OFFSET(BU$55,'Intermediate Data'!$CD112,0)=-99,"N/A",OFFSET(BU$55,'Intermediate Data'!$CD112,0))))</f>
        <v/>
      </c>
      <c r="CX112" s="114" t="str">
        <f ca="1">IF($CD112="","",IF(OFFSET(BV$55,'Intermediate Data'!$CD112,0)=-98,"Unknown",IF(OFFSET(BV$55,'Intermediate Data'!$CD112,0)=-99,"N/A",OFFSET(BV$55,'Intermediate Data'!$CD112,0))))</f>
        <v/>
      </c>
      <c r="CY112" s="682" t="str">
        <f ca="1">IF($CD112="","",IF(OFFSET(BW$55,'Intermediate Data'!$CD112,0)=-98,"Unknown",IF(OFFSET(BW$55,'Intermediate Data'!$CD112,0)="N/A","",OFFSET(BW$55,'Intermediate Data'!$CD112,0))))</f>
        <v/>
      </c>
      <c r="CZ112" s="682" t="str">
        <f ca="1">IF($CD112="","",IF(OFFSET(BX$55,'Intermediate Data'!$CD112,0)=-98,"Unknown",IF(OFFSET(BX$55,'Intermediate Data'!$CD112,0)="N/A","",OFFSET(BX$55,'Intermediate Data'!$CD112,0))))</f>
        <v/>
      </c>
      <c r="DA112" s="682" t="str">
        <f ca="1">IF($CD112="","",IF(OFFSET(BY$55,'Intermediate Data'!$CD112,0)=-98,"Unknown",IF(OFFSET(BY$55,'Intermediate Data'!$CD112,0)="N/A","",OFFSET(BY$55,'Intermediate Data'!$CD112,0))))</f>
        <v/>
      </c>
      <c r="DB112" s="682" t="str">
        <f ca="1">IF($CD112="","",IF(OFFSET(BZ$55,'Intermediate Data'!$CD112,0)=-98,"Unknown",IF(OFFSET(BZ$55,'Intermediate Data'!$CD112,0)="N/A","",OFFSET(BZ$55,'Intermediate Data'!$CD112,0))))</f>
        <v/>
      </c>
    </row>
    <row r="113" spans="1:106" x14ac:dyDescent="0.2">
      <c r="A113" s="90">
        <f ca="1">IF(OFFSET(DATA!F62,0,$D$48)='Intermediate Data'!$E$48,IF(OR($E$49=$C$27,$E$48=$B$4),DATA!A62,IF($G$49=DATA!D62,DATA!A62,"")),"")</f>
        <v>58</v>
      </c>
      <c r="B113" s="90">
        <f ca="1">IF($A113="","",DATA!EH62)</f>
        <v>11</v>
      </c>
      <c r="C113" s="90" t="str">
        <f ca="1">IF($A113="","",DATA!B62)</f>
        <v>Video streaming/OTT device</v>
      </c>
      <c r="D113" s="90">
        <f ca="1">IF($A113="","",OFFSET(DATA!$H62,0,($D$50*5)))</f>
        <v>-99</v>
      </c>
      <c r="E113" s="90">
        <f ca="1">IF($A113="","",OFFSET(DATA!$H62,0,($D$50*5)+1))</f>
        <v>-99</v>
      </c>
      <c r="F113" s="90">
        <f ca="1">IF($A113="","",OFFSET(DATA!$H62,0,($D$50*5)+2))</f>
        <v>-99</v>
      </c>
      <c r="G113" s="90">
        <f ca="1">IF($A113="","",OFFSET(DATA!$H62,0,($D$50*5)+3))</f>
        <v>-99</v>
      </c>
      <c r="H113" s="90">
        <f ca="1">IF($A113="","",OFFSET(DATA!$H62,0,($D$50*5)+4))</f>
        <v>6.7116000000000009E-2</v>
      </c>
      <c r="I113" s="90">
        <f t="shared" ca="1" si="2"/>
        <v>6.7116000000000009E-2</v>
      </c>
      <c r="J113" s="90" t="str">
        <f t="shared" ca="1" si="3"/>
        <v>CLASS</v>
      </c>
      <c r="K113" s="90">
        <f ca="1">IF($A113="","",OFFSET(DATA!$AG62,0,($D$50*5)))</f>
        <v>-99</v>
      </c>
      <c r="L113" s="90">
        <f ca="1">IF($A113="","",OFFSET(DATA!$AG62,0,($D$50*5)+1))</f>
        <v>-99</v>
      </c>
      <c r="M113" s="90">
        <f ca="1">IF($A113="","",OFFSET(DATA!$AG62,0,($D$50*5)+2))</f>
        <v>-99</v>
      </c>
      <c r="N113" s="90">
        <f ca="1">IF($A113="","",OFFSET(DATA!$AG62,0,($D$50*5)+3))</f>
        <v>-99</v>
      </c>
      <c r="O113" s="90">
        <f ca="1">IF($A113="","",OFFSET(DATA!$AG62,0,($D$50*5)+4))</f>
        <v>8.3000000000000004E-2</v>
      </c>
      <c r="P113" s="90">
        <f t="shared" ca="1" si="4"/>
        <v>8.3000000000000004E-2</v>
      </c>
      <c r="Q113" s="90" t="str">
        <f t="shared" ca="1" si="5"/>
        <v>CLASS</v>
      </c>
      <c r="R113" s="699">
        <f ca="1">IF($A113="","",IF(DATA!BF62="",-99,DATA!BF62))</f>
        <v>-99</v>
      </c>
      <c r="S113" s="90">
        <f ca="1">IF($A113="","",IF(DATA!BG62="",-99,DATA!BF62-DATA!BG62))</f>
        <v>-99</v>
      </c>
      <c r="T113" s="90">
        <f ca="1">IF($A113="","",DATA!BH62)</f>
        <v>-99</v>
      </c>
      <c r="U113" s="90">
        <f ca="1">IF($A113="","",OFFSET(DATA!BM62,0,$D$48))</f>
        <v>-99</v>
      </c>
      <c r="V113" s="90">
        <f t="shared" ca="1" si="15"/>
        <v>11</v>
      </c>
      <c r="W113" s="99">
        <f t="shared" ca="1" si="7"/>
        <v>10.9999109228532</v>
      </c>
      <c r="X113" s="112">
        <f t="shared" ca="1" si="8"/>
        <v>73.999881201850002</v>
      </c>
      <c r="Y113" s="90">
        <f t="shared" ca="1" si="9"/>
        <v>130</v>
      </c>
      <c r="AA113" s="90" t="str">
        <f ca="1">IF($Y113="","",IF(OFFSET(C$55,'Intermediate Data'!$Y113,0)=-98,"Unknown",IF(OFFSET(C$55,'Intermediate Data'!$Y113,0)=-99,"N/A",OFFSET(C$55,'Intermediate Data'!$Y113,0))))</f>
        <v>Hot water recirculation pump</v>
      </c>
      <c r="AB113" s="90" t="str">
        <f ca="1">IF($Y113="","",IF(OFFSET(D$55,'Intermediate Data'!$Y113,0)=-98,"N/A",IF(OFFSET(D$55,'Intermediate Data'!$Y113,0)=-99,"N/A",OFFSET(D$55,'Intermediate Data'!$Y113,0))))</f>
        <v>N/A</v>
      </c>
      <c r="AC113" s="90" t="str">
        <f ca="1">IF($Y113="","",IF(OFFSET(E$55,'Intermediate Data'!$Y113,0)=-98,"N/A",IF(OFFSET(E$55,'Intermediate Data'!$Y113,0)=-99,"N/A",OFFSET(E$55,'Intermediate Data'!$Y113,0))))</f>
        <v>N/A</v>
      </c>
      <c r="AD113" s="90" t="str">
        <f ca="1">IF($Y113="","",IF(OFFSET(F$55,'Intermediate Data'!$Y113,0)=-98,"N/A",IF(OFFSET(F$55,'Intermediate Data'!$Y113,0)=-99,"N/A",OFFSET(F$55,'Intermediate Data'!$Y113,0))))</f>
        <v>N/A</v>
      </c>
      <c r="AE113" s="90" t="str">
        <f ca="1">IF($Y113="","",IF(OFFSET(G$55,'Intermediate Data'!$Y113,0)=-98,"N/A",IF(OFFSET(G$55,'Intermediate Data'!$Y113,0)=-99,"N/A",OFFSET(G$55,'Intermediate Data'!$Y113,0))))</f>
        <v>N/A</v>
      </c>
      <c r="AF113" s="90" t="str">
        <f ca="1">IF($Y113="","",IF(OFFSET(H$55,'Intermediate Data'!$Y113,0)=-98,"N/A",IF(OFFSET(H$55,'Intermediate Data'!$Y113,0)=-99,"N/A",OFFSET(H$55,'Intermediate Data'!$Y113,0))))</f>
        <v>N/A</v>
      </c>
      <c r="AG113" s="90" t="str">
        <f ca="1">IF($Y113="","",IF(OFFSET(I$55,'Intermediate Data'!$Y113,0)=-98,"N/A",IF(OFFSET(I$55,'Intermediate Data'!$Y113,0)=-99,"N/A",OFFSET(I$55,'Intermediate Data'!$Y113,0))))</f>
        <v>N/A</v>
      </c>
      <c r="AH113" s="90" t="str">
        <f ca="1">IF($Y113="","",IF(OFFSET(J$55,'Intermediate Data'!$Y113,0)=-98,"N/A",IF(OFFSET(J$55,'Intermediate Data'!$Y113,0)=-99,"N/A",OFFSET(J$55,'Intermediate Data'!$Y113,0))))</f>
        <v/>
      </c>
      <c r="AI113" s="90" t="str">
        <f ca="1">IF($Y113="","",IF(OFFSET(K$55,'Intermediate Data'!$Y113,0)=-98,"N/A",IF(OFFSET(K$55,'Intermediate Data'!$Y113,0)=-99,"N/A",OFFSET(K$55,'Intermediate Data'!$Y113,0))))</f>
        <v>N/A</v>
      </c>
      <c r="AJ113" s="90" t="str">
        <f ca="1">IF($Y113="","",IF(OFFSET(L$55,'Intermediate Data'!$Y113,0)=-98,"N/A",IF(OFFSET(L$55,'Intermediate Data'!$Y113,0)=-99,"N/A",OFFSET(L$55,'Intermediate Data'!$Y113,0))))</f>
        <v>N/A</v>
      </c>
      <c r="AK113" s="90" t="str">
        <f ca="1">IF($Y113="","",IF(OFFSET(M$55,'Intermediate Data'!$Y113,0)=-98,"N/A",IF(OFFSET(M$55,'Intermediate Data'!$Y113,0)=-99,"N/A",OFFSET(M$55,'Intermediate Data'!$Y113,0))))</f>
        <v>N/A</v>
      </c>
      <c r="AL113" s="90" t="str">
        <f ca="1">IF($Y113="","",IF(OFFSET(N$55,'Intermediate Data'!$Y113,0)=-98,"N/A",IF(OFFSET(N$55,'Intermediate Data'!$Y113,0)=-99,"N/A",OFFSET(N$55,'Intermediate Data'!$Y113,0))))</f>
        <v>N/A</v>
      </c>
      <c r="AM113" s="90" t="str">
        <f ca="1">IF($Y113="","",IF(OFFSET(O$55,'Intermediate Data'!$Y113,0)=-98,"N/A",IF(OFFSET(O$55,'Intermediate Data'!$Y113,0)=-99,"N/A",OFFSET(O$55,'Intermediate Data'!$Y113,0))))</f>
        <v>N/A</v>
      </c>
      <c r="AN113" s="90" t="str">
        <f ca="1">IF($Y113="","",IF(OFFSET(P$55,'Intermediate Data'!$Y113,0)=-98,"N/A",IF(OFFSET(P$55,'Intermediate Data'!$Y113,0)=-99,"N/A",OFFSET(P$55,'Intermediate Data'!$Y113,0))))</f>
        <v>N/A</v>
      </c>
      <c r="AO113" s="90" t="str">
        <f ca="1">IF($Y113="","",IF(OFFSET(Q$55,'Intermediate Data'!$Y113,0)=-98,"N/A",IF(OFFSET(Q$55,'Intermediate Data'!$Y113,0)=-99,"N/A",OFFSET(Q$55,'Intermediate Data'!$Y113,0))))</f>
        <v/>
      </c>
      <c r="AP113" s="697" t="str">
        <f ca="1">IF($Y113="","",IF(OFFSET(S$55,'Intermediate Data'!$Y113,0)=-98,"",IF(OFFSET(S$55,'Intermediate Data'!$Y113,0)=-99,"",OFFSET(S$55,'Intermediate Data'!$Y113,0))))</f>
        <v/>
      </c>
      <c r="AQ113" s="90" t="str">
        <f ca="1">IF($Y113="","",IF(OFFSET(T$55,'Intermediate Data'!$Y113,0)=-98,"Not published",IF(OFFSET(T$55,'Intermediate Data'!$Y113,0)=-99,"",OFFSET(T$55,'Intermediate Data'!$Y113,0))))</f>
        <v/>
      </c>
      <c r="AR113" s="90" t="str">
        <f ca="1">IF($Y113="","",IF(OFFSET(U$55,'Intermediate Data'!$Y113,0)=-98,"Unknown",IF(OFFSET(U$55,'Intermediate Data'!$Y113,0)=-99,"",OFFSET(U$55,'Intermediate Data'!$Y113,0))))</f>
        <v/>
      </c>
      <c r="AU113" s="112" t="str">
        <f ca="1">IF(AND(OFFSET(DATA!$F62,0,$AX$48)='Intermediate Data'!$AY$48,DATA!$E62="Tier 1"),IF(OR($AX$49=0,$AX$48=1),DATA!A62,IF(AND($AX$49=1,INDEX('Intermediate Data'!$AY$25:$AY$44,MATCH(DATA!$B62,'Intermediate Data'!$AX$25:$AX$44,0))=TRUE),DATA!A62,"")),"")</f>
        <v/>
      </c>
      <c r="AV113" s="112" t="str">
        <f ca="1">IF($AU113="","",DATA!B62)</f>
        <v/>
      </c>
      <c r="AW113" s="112" t="str">
        <f ca="1">IF(OR($AU113="",DATA!BI62=""),"",DATA!BI62)</f>
        <v/>
      </c>
      <c r="AX113" s="112" t="str">
        <f ca="1">IF(OR($AU113="",OFFSET(DATA!BK62,0,$AX$48)=""),"",OFFSET(DATA!BK62,0,$AX$48))</f>
        <v/>
      </c>
      <c r="AY113" s="112" t="str">
        <f ca="1">IF(OR($AU113="",OFFSET(DATA!BM62,0,$AX$48)=""),"",OFFSET(DATA!BM62,0,$AX$48))</f>
        <v/>
      </c>
      <c r="AZ113" s="112" t="str">
        <f ca="1">IF(OR($AU113="",OFFSET(DATA!BO62,0,'Intermediate Data'!$AX$48)=""),"",OFFSET(DATA!BO62,0,$AX$48))</f>
        <v/>
      </c>
      <c r="BA113" s="112" t="str">
        <f ca="1">IF(OR($AU113="",DATA!BQ62=""),"",DATA!BQ62)</f>
        <v/>
      </c>
      <c r="BB113" s="112" t="str">
        <f ca="1">IF($AU113="","",OFFSET(DATA!BS62,0,$AX$48))</f>
        <v/>
      </c>
      <c r="BC113" s="112" t="str">
        <f ca="1">IF($AU113="","",OFFSET(DATA!BU62,0,$AX$48))</f>
        <v/>
      </c>
      <c r="BD113" s="112" t="str">
        <f ca="1">IF($AU113="","",OFFSET(DATA!BW62,0,$AX$48))</f>
        <v/>
      </c>
      <c r="BE113" s="112" t="str">
        <f ca="1">IF($AU113="","",OFFSET(DATA!BY62,0,$AX$48))</f>
        <v/>
      </c>
      <c r="BF113" s="112" t="str">
        <f ca="1">IF($AU113="","",OFFSET(DATA!CA62,0,$AX$48))</f>
        <v/>
      </c>
      <c r="BG113" s="112" t="str">
        <f ca="1">IF($AU113="","",DATA!CC62)</f>
        <v/>
      </c>
      <c r="BH113" s="112" t="str">
        <f ca="1">IF($AU113="","",OFFSET(DATA!CE62,0,$AX$48))</f>
        <v/>
      </c>
      <c r="BI113" s="112" t="str">
        <f ca="1">IF($AU113="","",OFFSET(DATA!CG62,0,$AX$48))</f>
        <v/>
      </c>
      <c r="BJ113" s="112" t="str">
        <f ca="1">IF($AU113="","",OFFSET(DATA!CI62,0,$AX$48))</f>
        <v/>
      </c>
      <c r="BK113" s="112" t="str">
        <f ca="1">IF($AU113="","",OFFSET(DATA!CK62,0,$AX$48))</f>
        <v/>
      </c>
      <c r="BL113" s="112" t="str">
        <f ca="1">IF($AU113="","",OFFSET(DATA!CM62,0,$AX$48))</f>
        <v/>
      </c>
      <c r="BM113" s="112" t="str">
        <f ca="1">IF($AU113="","",DATA!BH62)</f>
        <v/>
      </c>
      <c r="BN113" s="112" t="str">
        <f ca="1">IF($AU113="","",DATA!DS62)</f>
        <v/>
      </c>
      <c r="BO113" s="112" t="str">
        <f ca="1">IF($AU113="","",DATA!DU62)</f>
        <v/>
      </c>
      <c r="BP113" s="112" t="str">
        <f ca="1">IF($AU113="","",DATA!DV62)</f>
        <v/>
      </c>
      <c r="BQ113" s="112" t="str">
        <f ca="1">IF($AU113="","",DATA!DX62)</f>
        <v/>
      </c>
      <c r="BR113" s="112" t="str">
        <f ca="1">IF($AU113="","",DATA!DZ62)</f>
        <v/>
      </c>
      <c r="BS113" s="171" t="str">
        <f ca="1">IF($AU113="","",DATA!EA62)</f>
        <v/>
      </c>
      <c r="BT113" s="171" t="str">
        <f ca="1">IF($AU113="","",DATA!EC62)</f>
        <v/>
      </c>
      <c r="BU113" s="171" t="str">
        <f ca="1">IF($AU113="","",DATA!EF62)</f>
        <v/>
      </c>
      <c r="BV113" s="113" t="str">
        <f t="shared" ca="1" si="10"/>
        <v/>
      </c>
      <c r="BW113" s="680" t="str">
        <f ca="1">IF(AU113="","",OFFSET(DATA!DC62,0,'Intermediate Data'!$AX$48))</f>
        <v/>
      </c>
      <c r="BX113" s="681" t="str">
        <f ca="1">IF($AU113="","",DATA!DG62)</f>
        <v/>
      </c>
      <c r="BY113" s="680" t="str">
        <f ca="1">IF($AU113="","",OFFSET(DATA!DE62,0,'Intermediate Data'!$AX$48))</f>
        <v/>
      </c>
      <c r="BZ113" s="681" t="str">
        <f ca="1">IF($AU113="","",DATA!DH62)</f>
        <v/>
      </c>
      <c r="CA113" s="90" t="str">
        <f t="shared" ca="1" si="11"/>
        <v/>
      </c>
      <c r="CB113" s="99" t="str">
        <f t="shared" ca="1" si="12"/>
        <v/>
      </c>
      <c r="CC113" s="90" t="str">
        <f t="shared" ca="1" si="13"/>
        <v/>
      </c>
      <c r="CD113" s="90" t="str">
        <f t="shared" ca="1" si="14"/>
        <v/>
      </c>
      <c r="CF113" s="90" t="str">
        <f ca="1">IF($CD113="","",IF(OFFSET(AV$55,'Intermediate Data'!$CD113,0)=-98,"Unknown",IF(OFFSET(AV$55,'Intermediate Data'!$CD113,0)=-99,"N/A",OFFSET(AV$55,'Intermediate Data'!$CD113,0))))</f>
        <v/>
      </c>
      <c r="CG113" s="90" t="str">
        <f ca="1">IF($CD113="","",IF(OFFSET(AW$55,'Intermediate Data'!$CD113,0)=-98,"",IF(OFFSET(AW$55,'Intermediate Data'!$CD113,0)=-99,"N/A",OFFSET(AW$55,'Intermediate Data'!$CD113,0))))</f>
        <v/>
      </c>
      <c r="CH113" s="90" t="str">
        <f ca="1">IF($CD113="","",IF(OFFSET(AX$55,'Intermediate Data'!$CD113,0)=-98,"Unknown",IF(OFFSET(AX$55,'Intermediate Data'!$CD113,0)=-99,"N/A",OFFSET(AX$55,'Intermediate Data'!$CD113,0))))</f>
        <v/>
      </c>
      <c r="CI113" s="125" t="str">
        <f ca="1">IF($CD113="","",IF(OFFSET(AY$55,'Intermediate Data'!$CD113,0)=-98,"Unknown",IF(OFFSET(AY$55,'Intermediate Data'!$CD113,0)=-99,"No spec",OFFSET(AY$55,'Intermediate Data'!$CD113,0))))</f>
        <v/>
      </c>
      <c r="CJ113" s="125" t="str">
        <f ca="1">IF($CD113="","",IF(OFFSET(AZ$55,'Intermediate Data'!$CD113,0)=-98,"Unknown",IF(OFFSET(AZ$55,'Intermediate Data'!$CD113,0)=-99,"N/A",OFFSET(AZ$55,'Intermediate Data'!$CD113,0))))</f>
        <v/>
      </c>
      <c r="CK113" s="90" t="str">
        <f ca="1">IF($CD113="","",IF(OFFSET(BA$55,'Intermediate Data'!$CD113,0)=-98,"Unknown",IF(OFFSET(BA$55,'Intermediate Data'!$CD113,0)=-99,"N/A",OFFSET(BA$55,'Intermediate Data'!$CD113,0))))</f>
        <v/>
      </c>
      <c r="CL113" s="90" t="str">
        <f ca="1">IF($CD113="","",IF(OFFSET(BB$55,'Intermediate Data'!$CD113,$AX$50)=-98,"Unknown",IF(OFFSET(BB$55,'Intermediate Data'!$CD113,$AX$50)="N/A","",OFFSET(BB$55,'Intermediate Data'!$CD113,$AX$50))))</f>
        <v/>
      </c>
      <c r="CM113" s="90" t="str">
        <f ca="1">IF($CD113="","",IF(OFFSET(BG$55,'Intermediate Data'!$CD113,0)="ET","ET",""))</f>
        <v/>
      </c>
      <c r="CN113" s="90" t="str">
        <f ca="1">IF($CD113="","",IF(OFFSET(BH$55,'Intermediate Data'!$CD113,$AX$50)=-98,"Unknown",IF(OFFSET(BH$55,'Intermediate Data'!$CD113,$AX$50)="N/A","",OFFSET(BH$55,'Intermediate Data'!$CD113,$AX$50))))</f>
        <v/>
      </c>
      <c r="CO113" s="90" t="str">
        <f ca="1">IF($CD113="","",IF(OFFSET(BM$55,'Intermediate Data'!$CD113,0)=-98,"Not published",IF(OFFSET(BM$55,'Intermediate Data'!$CD113,0)=-99,"No spec",OFFSET(BM$55,'Intermediate Data'!$CD113,0))))</f>
        <v/>
      </c>
      <c r="CP113" s="114" t="str">
        <f ca="1">IF($CD113="","",IF(OFFSET(BN$55,'Intermediate Data'!$CD113,0)=-98,"Unknown",IF(OFFSET(BN$55,'Intermediate Data'!$CD113,0)=-99,"N/A",OFFSET(BN$55,'Intermediate Data'!$CD113,0))))</f>
        <v/>
      </c>
      <c r="CQ113" s="114" t="str">
        <f ca="1">IF($CD113="","",IF(OFFSET(BO$55,'Intermediate Data'!$CD113,0)=-98,"Unknown",IF(OFFSET(BO$55,'Intermediate Data'!$CD113,0)=-99,"N/A",OFFSET(BO$55,'Intermediate Data'!$CD113,0))))</f>
        <v/>
      </c>
      <c r="CR113" s="114" t="str">
        <f ca="1">IF($CD113="","",IF(OFFSET(BP$55,'Intermediate Data'!$CD113,0)=-98,"Unknown",IF(OFFSET(BP$55,'Intermediate Data'!$CD113,0)=-99,"N/A",OFFSET(BP$55,'Intermediate Data'!$CD113,0))))</f>
        <v/>
      </c>
      <c r="CS113" s="114" t="str">
        <f ca="1">IF($CD113="","",IF(OFFSET(BQ$55,'Intermediate Data'!$CD113,0)=-98,"Unknown",IF(OFFSET(BQ$55,'Intermediate Data'!$CD113,0)=-99,"N/A",OFFSET(BQ$55,'Intermediate Data'!$CD113,0))))</f>
        <v/>
      </c>
      <c r="CT113" s="114" t="str">
        <f ca="1">IF($CD113="","",IF(OFFSET(BR$55,'Intermediate Data'!$CD113,0)=-98,"Unknown",IF(OFFSET(BR$55,'Intermediate Data'!$CD113,0)=-99,"N/A",OFFSET(BR$55,'Intermediate Data'!$CD113,0))))</f>
        <v/>
      </c>
      <c r="CU113" s="114" t="str">
        <f ca="1">IF($CD113="","",IF(OFFSET(BS$55,'Intermediate Data'!$CD113,0)=-98,"Unknown",IF(OFFSET(BS$55,'Intermediate Data'!$CD113,0)=-99,"N/A",OFFSET(BS$55,'Intermediate Data'!$CD113,0))))</f>
        <v/>
      </c>
      <c r="CV113" s="114" t="str">
        <f ca="1">IF($CD113="","",IF(OFFSET(BT$55,'Intermediate Data'!$CD113,0)=-98,"Unknown",IF(OFFSET(BT$55,'Intermediate Data'!$CD113,0)=-99,"N/A",OFFSET(BT$55,'Intermediate Data'!$CD113,0))))</f>
        <v/>
      </c>
      <c r="CW113" s="114" t="str">
        <f ca="1">IF($CD113="","",IF(OFFSET(BU$55,'Intermediate Data'!$CD113,0)=-98,"Unknown",IF(OFFSET(BU$55,'Intermediate Data'!$CD113,0)=-99,"N/A",OFFSET(BU$55,'Intermediate Data'!$CD113,0))))</f>
        <v/>
      </c>
      <c r="CX113" s="114" t="str">
        <f ca="1">IF($CD113="","",IF(OFFSET(BV$55,'Intermediate Data'!$CD113,0)=-98,"Unknown",IF(OFFSET(BV$55,'Intermediate Data'!$CD113,0)=-99,"N/A",OFFSET(BV$55,'Intermediate Data'!$CD113,0))))</f>
        <v/>
      </c>
      <c r="CY113" s="682" t="str">
        <f ca="1">IF($CD113="","",IF(OFFSET(BW$55,'Intermediate Data'!$CD113,0)=-98,"Unknown",IF(OFFSET(BW$55,'Intermediate Data'!$CD113,0)="N/A","",OFFSET(BW$55,'Intermediate Data'!$CD113,0))))</f>
        <v/>
      </c>
      <c r="CZ113" s="682" t="str">
        <f ca="1">IF($CD113="","",IF(OFFSET(BX$55,'Intermediate Data'!$CD113,0)=-98,"Unknown",IF(OFFSET(BX$55,'Intermediate Data'!$CD113,0)="N/A","",OFFSET(BX$55,'Intermediate Data'!$CD113,0))))</f>
        <v/>
      </c>
      <c r="DA113" s="682" t="str">
        <f ca="1">IF($CD113="","",IF(OFFSET(BY$55,'Intermediate Data'!$CD113,0)=-98,"Unknown",IF(OFFSET(BY$55,'Intermediate Data'!$CD113,0)="N/A","",OFFSET(BY$55,'Intermediate Data'!$CD113,0))))</f>
        <v/>
      </c>
      <c r="DB113" s="682" t="str">
        <f ca="1">IF($CD113="","",IF(OFFSET(BZ$55,'Intermediate Data'!$CD113,0)=-98,"Unknown",IF(OFFSET(BZ$55,'Intermediate Data'!$CD113,0)="N/A","",OFFSET(BZ$55,'Intermediate Data'!$CD113,0))))</f>
        <v/>
      </c>
    </row>
    <row r="114" spans="1:106" x14ac:dyDescent="0.2">
      <c r="A114" s="90">
        <f ca="1">IF(OFFSET(DATA!F63,0,$D$48)='Intermediate Data'!$E$48,IF(OR($E$49=$C$27,$E$48=$B$4),DATA!A63,IF($G$49=DATA!D63,DATA!A63,"")),"")</f>
        <v>59</v>
      </c>
      <c r="B114" s="90">
        <f ca="1">IF($A114="","",DATA!EH63)</f>
        <v>123</v>
      </c>
      <c r="C114" s="90" t="str">
        <f ca="1">IF($A114="","",DATA!B63)</f>
        <v>Ceramics - Kiln - Electric</v>
      </c>
      <c r="D114" s="90">
        <f ca="1">IF($A114="","",OFFSET(DATA!$H63,0,($D$50*5)))</f>
        <v>-99</v>
      </c>
      <c r="E114" s="90">
        <f ca="1">IF($A114="","",OFFSET(DATA!$H63,0,($D$50*5)+1))</f>
        <v>1.504527058943011E-2</v>
      </c>
      <c r="F114" s="90">
        <f ca="1">IF($A114="","",OFFSET(DATA!$H63,0,($D$50*5)+2))</f>
        <v>-99</v>
      </c>
      <c r="G114" s="90">
        <f ca="1">IF($A114="","",OFFSET(DATA!$H63,0,($D$50*5)+3))</f>
        <v>1.6986509075526315E-2</v>
      </c>
      <c r="H114" s="90">
        <f ca="1">IF($A114="","",OFFSET(DATA!$H63,0,($D$50*5)+4))</f>
        <v>-99</v>
      </c>
      <c r="I114" s="90">
        <f t="shared" ca="1" si="2"/>
        <v>1.6986509075526315E-2</v>
      </c>
      <c r="J114" s="90" t="str">
        <f t="shared" ca="1" si="3"/>
        <v>RASS</v>
      </c>
      <c r="K114" s="90">
        <f ca="1">IF($A114="","",OFFSET(DATA!$AG63,0,($D$50*5)))</f>
        <v>-99</v>
      </c>
      <c r="L114" s="90">
        <f ca="1">IF($A114="","",OFFSET(DATA!$AG63,0,($D$50*5)+1))</f>
        <v>-99</v>
      </c>
      <c r="M114" s="90">
        <f ca="1">IF($A114="","",OFFSET(DATA!$AG63,0,($D$50*5)+2))</f>
        <v>-99</v>
      </c>
      <c r="N114" s="90">
        <f ca="1">IF($A114="","",OFFSET(DATA!$AG63,0,($D$50*5)+3))</f>
        <v>-99</v>
      </c>
      <c r="O114" s="90">
        <f ca="1">IF($A114="","",OFFSET(DATA!$AG63,0,($D$50*5)+4))</f>
        <v>-99</v>
      </c>
      <c r="P114" s="90">
        <f t="shared" ca="1" si="4"/>
        <v>-99</v>
      </c>
      <c r="Q114" s="90" t="str">
        <f t="shared" ca="1" si="5"/>
        <v/>
      </c>
      <c r="R114" s="699">
        <f ca="1">IF($A114="","",IF(DATA!BF63="",-99,DATA!BF63))</f>
        <v>-99</v>
      </c>
      <c r="S114" s="90">
        <f ca="1">IF($A114="","",IF(DATA!BG63="",-99,DATA!BF63-DATA!BG63))</f>
        <v>-99</v>
      </c>
      <c r="T114" s="90">
        <f ca="1">IF($A114="","",DATA!BH63)</f>
        <v>-99</v>
      </c>
      <c r="U114" s="90">
        <f ca="1">IF($A114="","",OFFSET(DATA!BM63,0,$D$48))</f>
        <v>-99</v>
      </c>
      <c r="V114" s="90">
        <f t="shared" ca="1" si="15"/>
        <v>123</v>
      </c>
      <c r="W114" s="99">
        <f t="shared" ca="1" si="7"/>
        <v>122.99991090604182</v>
      </c>
      <c r="X114" s="112">
        <f t="shared" ca="1" si="8"/>
        <v>72.999910914652531</v>
      </c>
      <c r="Y114" s="90">
        <f t="shared" ca="1" si="9"/>
        <v>74</v>
      </c>
      <c r="AA114" s="90" t="str">
        <f ca="1">IF($Y114="","",IF(OFFSET(C$55,'Intermediate Data'!$Y114,0)=-98,"Unknown",IF(OFFSET(C$55,'Intermediate Data'!$Y114,0)=-99,"N/A",OFFSET(C$55,'Intermediate Data'!$Y114,0))))</f>
        <v>Humidifier</v>
      </c>
      <c r="AB114" s="90" t="str">
        <f ca="1">IF($Y114="","",IF(OFFSET(D$55,'Intermediate Data'!$Y114,0)=-98,"N/A",IF(OFFSET(D$55,'Intermediate Data'!$Y114,0)=-99,"N/A",OFFSET(D$55,'Intermediate Data'!$Y114,0))))</f>
        <v>N/A</v>
      </c>
      <c r="AC114" s="90">
        <f ca="1">IF($Y114="","",IF(OFFSET(E$55,'Intermediate Data'!$Y114,0)=-98,"N/A",IF(OFFSET(E$55,'Intermediate Data'!$Y114,0)=-99,"N/A",OFFSET(E$55,'Intermediate Data'!$Y114,0))))</f>
        <v>4.3762746484937595E-2</v>
      </c>
      <c r="AD114" s="90" t="str">
        <f ca="1">IF($Y114="","",IF(OFFSET(F$55,'Intermediate Data'!$Y114,0)=-98,"N/A",IF(OFFSET(F$55,'Intermediate Data'!$Y114,0)=-99,"N/A",OFFSET(F$55,'Intermediate Data'!$Y114,0))))</f>
        <v>N/A</v>
      </c>
      <c r="AE114" s="90" t="str">
        <f ca="1">IF($Y114="","",IF(OFFSET(G$55,'Intermediate Data'!$Y114,0)=-98,"N/A",IF(OFFSET(G$55,'Intermediate Data'!$Y114,0)=-99,"N/A",OFFSET(G$55,'Intermediate Data'!$Y114,0))))</f>
        <v>N/A</v>
      </c>
      <c r="AF114" s="90" t="str">
        <f ca="1">IF($Y114="","",IF(OFFSET(H$55,'Intermediate Data'!$Y114,0)=-98,"N/A",IF(OFFSET(H$55,'Intermediate Data'!$Y114,0)=-99,"N/A",OFFSET(H$55,'Intermediate Data'!$Y114,0))))</f>
        <v>N/A</v>
      </c>
      <c r="AG114" s="90">
        <f ca="1">IF($Y114="","",IF(OFFSET(I$55,'Intermediate Data'!$Y114,0)=-98,"N/A",IF(OFFSET(I$55,'Intermediate Data'!$Y114,0)=-99,"N/A",OFFSET(I$55,'Intermediate Data'!$Y114,0))))</f>
        <v>4.3762746484937595E-2</v>
      </c>
      <c r="AH114" s="90" t="str">
        <f ca="1">IF($Y114="","",IF(OFFSET(J$55,'Intermediate Data'!$Y114,0)=-98,"N/A",IF(OFFSET(J$55,'Intermediate Data'!$Y114,0)=-99,"N/A",OFFSET(J$55,'Intermediate Data'!$Y114,0))))</f>
        <v>RASS</v>
      </c>
      <c r="AI114" s="90" t="str">
        <f ca="1">IF($Y114="","",IF(OFFSET(K$55,'Intermediate Data'!$Y114,0)=-98,"N/A",IF(OFFSET(K$55,'Intermediate Data'!$Y114,0)=-99,"N/A",OFFSET(K$55,'Intermediate Data'!$Y114,0))))</f>
        <v>N/A</v>
      </c>
      <c r="AJ114" s="90">
        <f ca="1">IF($Y114="","",IF(OFFSET(L$55,'Intermediate Data'!$Y114,0)=-98,"N/A",IF(OFFSET(L$55,'Intermediate Data'!$Y114,0)=-99,"N/A",OFFSET(L$55,'Intermediate Data'!$Y114,0))))</f>
        <v>4.6099773967094367E-2</v>
      </c>
      <c r="AK114" s="90" t="str">
        <f ca="1">IF($Y114="","",IF(OFFSET(M$55,'Intermediate Data'!$Y114,0)=-98,"N/A",IF(OFFSET(M$55,'Intermediate Data'!$Y114,0)=-99,"N/A",OFFSET(M$55,'Intermediate Data'!$Y114,0))))</f>
        <v>N/A</v>
      </c>
      <c r="AL114" s="90" t="str">
        <f ca="1">IF($Y114="","",IF(OFFSET(N$55,'Intermediate Data'!$Y114,0)=-98,"N/A",IF(OFFSET(N$55,'Intermediate Data'!$Y114,0)=-99,"N/A",OFFSET(N$55,'Intermediate Data'!$Y114,0))))</f>
        <v>N/A</v>
      </c>
      <c r="AM114" s="90" t="str">
        <f ca="1">IF($Y114="","",IF(OFFSET(O$55,'Intermediate Data'!$Y114,0)=-98,"N/A",IF(OFFSET(O$55,'Intermediate Data'!$Y114,0)=-99,"N/A",OFFSET(O$55,'Intermediate Data'!$Y114,0))))</f>
        <v>N/A</v>
      </c>
      <c r="AN114" s="90">
        <f ca="1">IF($Y114="","",IF(OFFSET(P$55,'Intermediate Data'!$Y114,0)=-98,"N/A",IF(OFFSET(P$55,'Intermediate Data'!$Y114,0)=-99,"N/A",OFFSET(P$55,'Intermediate Data'!$Y114,0))))</f>
        <v>4.6099773967094367E-2</v>
      </c>
      <c r="AO114" s="90" t="str">
        <f ca="1">IF($Y114="","",IF(OFFSET(Q$55,'Intermediate Data'!$Y114,0)=-98,"N/A",IF(OFFSET(Q$55,'Intermediate Data'!$Y114,0)=-99,"N/A",OFFSET(Q$55,'Intermediate Data'!$Y114,0))))</f>
        <v>RASS</v>
      </c>
      <c r="AP114" s="697" t="str">
        <f ca="1">IF($Y114="","",IF(OFFSET(S$55,'Intermediate Data'!$Y114,0)=-98,"",IF(OFFSET(S$55,'Intermediate Data'!$Y114,0)=-99,"",OFFSET(S$55,'Intermediate Data'!$Y114,0))))</f>
        <v/>
      </c>
      <c r="AQ114" s="90" t="str">
        <f ca="1">IF($Y114="","",IF(OFFSET(T$55,'Intermediate Data'!$Y114,0)=-98,"Not published",IF(OFFSET(T$55,'Intermediate Data'!$Y114,0)=-99,"",OFFSET(T$55,'Intermediate Data'!$Y114,0))))</f>
        <v/>
      </c>
      <c r="AR114" s="90" t="str">
        <f ca="1">IF($Y114="","",IF(OFFSET(U$55,'Intermediate Data'!$Y114,0)=-98,"Unknown",IF(OFFSET(U$55,'Intermediate Data'!$Y114,0)=-99,"",OFFSET(U$55,'Intermediate Data'!$Y114,0))))</f>
        <v/>
      </c>
      <c r="AU114" s="112" t="str">
        <f ca="1">IF(AND(OFFSET(DATA!$F63,0,$AX$48)='Intermediate Data'!$AY$48,DATA!$E63="Tier 1"),IF(OR($AX$49=0,$AX$48=1),DATA!A63,IF(AND($AX$49=1,INDEX('Intermediate Data'!$AY$25:$AY$44,MATCH(DATA!$B63,'Intermediate Data'!$AX$25:$AX$44,0))=TRUE),DATA!A63,"")),"")</f>
        <v/>
      </c>
      <c r="AV114" s="112" t="str">
        <f ca="1">IF($AU114="","",DATA!B63)</f>
        <v/>
      </c>
      <c r="AW114" s="112" t="str">
        <f ca="1">IF(OR($AU114="",DATA!BI63=""),"",DATA!BI63)</f>
        <v/>
      </c>
      <c r="AX114" s="112" t="str">
        <f ca="1">IF(OR($AU114="",OFFSET(DATA!BK63,0,$AX$48)=""),"",OFFSET(DATA!BK63,0,$AX$48))</f>
        <v/>
      </c>
      <c r="AY114" s="112" t="str">
        <f ca="1">IF(OR($AU114="",OFFSET(DATA!BM63,0,$AX$48)=""),"",OFFSET(DATA!BM63,0,$AX$48))</f>
        <v/>
      </c>
      <c r="AZ114" s="112" t="str">
        <f ca="1">IF(OR($AU114="",OFFSET(DATA!BO63,0,'Intermediate Data'!$AX$48)=""),"",OFFSET(DATA!BO63,0,$AX$48))</f>
        <v/>
      </c>
      <c r="BA114" s="112" t="str">
        <f ca="1">IF(OR($AU114="",DATA!BQ63=""),"",DATA!BQ63)</f>
        <v/>
      </c>
      <c r="BB114" s="112" t="str">
        <f ca="1">IF($AU114="","",OFFSET(DATA!BS63,0,$AX$48))</f>
        <v/>
      </c>
      <c r="BC114" s="112" t="str">
        <f ca="1">IF($AU114="","",OFFSET(DATA!BU63,0,$AX$48))</f>
        <v/>
      </c>
      <c r="BD114" s="112" t="str">
        <f ca="1">IF($AU114="","",OFFSET(DATA!BW63,0,$AX$48))</f>
        <v/>
      </c>
      <c r="BE114" s="112" t="str">
        <f ca="1">IF($AU114="","",OFFSET(DATA!BY63,0,$AX$48))</f>
        <v/>
      </c>
      <c r="BF114" s="112" t="str">
        <f ca="1">IF($AU114="","",OFFSET(DATA!CA63,0,$AX$48))</f>
        <v/>
      </c>
      <c r="BG114" s="112" t="str">
        <f ca="1">IF($AU114="","",DATA!CC63)</f>
        <v/>
      </c>
      <c r="BH114" s="112" t="str">
        <f ca="1">IF($AU114="","",OFFSET(DATA!CE63,0,$AX$48))</f>
        <v/>
      </c>
      <c r="BI114" s="112" t="str">
        <f ca="1">IF($AU114="","",OFFSET(DATA!CG63,0,$AX$48))</f>
        <v/>
      </c>
      <c r="BJ114" s="112" t="str">
        <f ca="1">IF($AU114="","",OFFSET(DATA!CI63,0,$AX$48))</f>
        <v/>
      </c>
      <c r="BK114" s="112" t="str">
        <f ca="1">IF($AU114="","",OFFSET(DATA!CK63,0,$AX$48))</f>
        <v/>
      </c>
      <c r="BL114" s="112" t="str">
        <f ca="1">IF($AU114="","",OFFSET(DATA!CM63,0,$AX$48))</f>
        <v/>
      </c>
      <c r="BM114" s="112" t="str">
        <f ca="1">IF($AU114="","",DATA!BH63)</f>
        <v/>
      </c>
      <c r="BN114" s="112" t="str">
        <f ca="1">IF($AU114="","",DATA!DS63)</f>
        <v/>
      </c>
      <c r="BO114" s="112" t="str">
        <f ca="1">IF($AU114="","",DATA!DU63)</f>
        <v/>
      </c>
      <c r="BP114" s="112" t="str">
        <f ca="1">IF($AU114="","",DATA!DV63)</f>
        <v/>
      </c>
      <c r="BQ114" s="112" t="str">
        <f ca="1">IF($AU114="","",DATA!DX63)</f>
        <v/>
      </c>
      <c r="BR114" s="112" t="str">
        <f ca="1">IF($AU114="","",DATA!DZ63)</f>
        <v/>
      </c>
      <c r="BS114" s="171" t="str">
        <f ca="1">IF($AU114="","",DATA!EA63)</f>
        <v/>
      </c>
      <c r="BT114" s="171" t="str">
        <f ca="1">IF($AU114="","",DATA!EC63)</f>
        <v/>
      </c>
      <c r="BU114" s="171" t="str">
        <f ca="1">IF($AU114="","",DATA!EF63)</f>
        <v/>
      </c>
      <c r="BV114" s="113" t="str">
        <f t="shared" ca="1" si="10"/>
        <v/>
      </c>
      <c r="BW114" s="680" t="str">
        <f ca="1">IF(AU114="","",OFFSET(DATA!DC63,0,'Intermediate Data'!$AX$48))</f>
        <v/>
      </c>
      <c r="BX114" s="681" t="str">
        <f ca="1">IF($AU114="","",DATA!DG63)</f>
        <v/>
      </c>
      <c r="BY114" s="680" t="str">
        <f ca="1">IF($AU114="","",OFFSET(DATA!DE63,0,'Intermediate Data'!$AX$48))</f>
        <v/>
      </c>
      <c r="BZ114" s="681" t="str">
        <f ca="1">IF($AU114="","",DATA!DH63)</f>
        <v/>
      </c>
      <c r="CA114" s="90" t="str">
        <f t="shared" ca="1" si="11"/>
        <v/>
      </c>
      <c r="CB114" s="99" t="str">
        <f t="shared" ca="1" si="12"/>
        <v/>
      </c>
      <c r="CC114" s="90" t="str">
        <f t="shared" ca="1" si="13"/>
        <v/>
      </c>
      <c r="CD114" s="90" t="str">
        <f t="shared" ca="1" si="14"/>
        <v/>
      </c>
      <c r="CF114" s="90" t="str">
        <f ca="1">IF($CD114="","",IF(OFFSET(AV$55,'Intermediate Data'!$CD114,0)=-98,"Unknown",IF(OFFSET(AV$55,'Intermediate Data'!$CD114,0)=-99,"N/A",OFFSET(AV$55,'Intermediate Data'!$CD114,0))))</f>
        <v/>
      </c>
      <c r="CG114" s="90" t="str">
        <f ca="1">IF($CD114="","",IF(OFFSET(AW$55,'Intermediate Data'!$CD114,0)=-98,"",IF(OFFSET(AW$55,'Intermediate Data'!$CD114,0)=-99,"N/A",OFFSET(AW$55,'Intermediate Data'!$CD114,0))))</f>
        <v/>
      </c>
      <c r="CH114" s="90" t="str">
        <f ca="1">IF($CD114="","",IF(OFFSET(AX$55,'Intermediate Data'!$CD114,0)=-98,"Unknown",IF(OFFSET(AX$55,'Intermediate Data'!$CD114,0)=-99,"N/A",OFFSET(AX$55,'Intermediate Data'!$CD114,0))))</f>
        <v/>
      </c>
      <c r="CI114" s="125" t="str">
        <f ca="1">IF($CD114="","",IF(OFFSET(AY$55,'Intermediate Data'!$CD114,0)=-98,"Unknown",IF(OFFSET(AY$55,'Intermediate Data'!$CD114,0)=-99,"No spec",OFFSET(AY$55,'Intermediate Data'!$CD114,0))))</f>
        <v/>
      </c>
      <c r="CJ114" s="125" t="str">
        <f ca="1">IF($CD114="","",IF(OFFSET(AZ$55,'Intermediate Data'!$CD114,0)=-98,"Unknown",IF(OFFSET(AZ$55,'Intermediate Data'!$CD114,0)=-99,"N/A",OFFSET(AZ$55,'Intermediate Data'!$CD114,0))))</f>
        <v/>
      </c>
      <c r="CK114" s="90" t="str">
        <f ca="1">IF($CD114="","",IF(OFFSET(BA$55,'Intermediate Data'!$CD114,0)=-98,"Unknown",IF(OFFSET(BA$55,'Intermediate Data'!$CD114,0)=-99,"N/A",OFFSET(BA$55,'Intermediate Data'!$CD114,0))))</f>
        <v/>
      </c>
      <c r="CL114" s="90" t="str">
        <f ca="1">IF($CD114="","",IF(OFFSET(BB$55,'Intermediate Data'!$CD114,$AX$50)=-98,"Unknown",IF(OFFSET(BB$55,'Intermediate Data'!$CD114,$AX$50)="N/A","",OFFSET(BB$55,'Intermediate Data'!$CD114,$AX$50))))</f>
        <v/>
      </c>
      <c r="CM114" s="90" t="str">
        <f ca="1">IF($CD114="","",IF(OFFSET(BG$55,'Intermediate Data'!$CD114,0)="ET","ET",""))</f>
        <v/>
      </c>
      <c r="CN114" s="90" t="str">
        <f ca="1">IF($CD114="","",IF(OFFSET(BH$55,'Intermediate Data'!$CD114,$AX$50)=-98,"Unknown",IF(OFFSET(BH$55,'Intermediate Data'!$CD114,$AX$50)="N/A","",OFFSET(BH$55,'Intermediate Data'!$CD114,$AX$50))))</f>
        <v/>
      </c>
      <c r="CO114" s="90" t="str">
        <f ca="1">IF($CD114="","",IF(OFFSET(BM$55,'Intermediate Data'!$CD114,0)=-98,"Not published",IF(OFFSET(BM$55,'Intermediate Data'!$CD114,0)=-99,"No spec",OFFSET(BM$55,'Intermediate Data'!$CD114,0))))</f>
        <v/>
      </c>
      <c r="CP114" s="114" t="str">
        <f ca="1">IF($CD114="","",IF(OFFSET(BN$55,'Intermediate Data'!$CD114,0)=-98,"Unknown",IF(OFFSET(BN$55,'Intermediate Data'!$CD114,0)=-99,"N/A",OFFSET(BN$55,'Intermediate Data'!$CD114,0))))</f>
        <v/>
      </c>
      <c r="CQ114" s="114" t="str">
        <f ca="1">IF($CD114="","",IF(OFFSET(BO$55,'Intermediate Data'!$CD114,0)=-98,"Unknown",IF(OFFSET(BO$55,'Intermediate Data'!$CD114,0)=-99,"N/A",OFFSET(BO$55,'Intermediate Data'!$CD114,0))))</f>
        <v/>
      </c>
      <c r="CR114" s="114" t="str">
        <f ca="1">IF($CD114="","",IF(OFFSET(BP$55,'Intermediate Data'!$CD114,0)=-98,"Unknown",IF(OFFSET(BP$55,'Intermediate Data'!$CD114,0)=-99,"N/A",OFFSET(BP$55,'Intermediate Data'!$CD114,0))))</f>
        <v/>
      </c>
      <c r="CS114" s="114" t="str">
        <f ca="1">IF($CD114="","",IF(OFFSET(BQ$55,'Intermediate Data'!$CD114,0)=-98,"Unknown",IF(OFFSET(BQ$55,'Intermediate Data'!$CD114,0)=-99,"N/A",OFFSET(BQ$55,'Intermediate Data'!$CD114,0))))</f>
        <v/>
      </c>
      <c r="CT114" s="114" t="str">
        <f ca="1">IF($CD114="","",IF(OFFSET(BR$55,'Intermediate Data'!$CD114,0)=-98,"Unknown",IF(OFFSET(BR$55,'Intermediate Data'!$CD114,0)=-99,"N/A",OFFSET(BR$55,'Intermediate Data'!$CD114,0))))</f>
        <v/>
      </c>
      <c r="CU114" s="114" t="str">
        <f ca="1">IF($CD114="","",IF(OFFSET(BS$55,'Intermediate Data'!$CD114,0)=-98,"Unknown",IF(OFFSET(BS$55,'Intermediate Data'!$CD114,0)=-99,"N/A",OFFSET(BS$55,'Intermediate Data'!$CD114,0))))</f>
        <v/>
      </c>
      <c r="CV114" s="114" t="str">
        <f ca="1">IF($CD114="","",IF(OFFSET(BT$55,'Intermediate Data'!$CD114,0)=-98,"Unknown",IF(OFFSET(BT$55,'Intermediate Data'!$CD114,0)=-99,"N/A",OFFSET(BT$55,'Intermediate Data'!$CD114,0))))</f>
        <v/>
      </c>
      <c r="CW114" s="114" t="str">
        <f ca="1">IF($CD114="","",IF(OFFSET(BU$55,'Intermediate Data'!$CD114,0)=-98,"Unknown",IF(OFFSET(BU$55,'Intermediate Data'!$CD114,0)=-99,"N/A",OFFSET(BU$55,'Intermediate Data'!$CD114,0))))</f>
        <v/>
      </c>
      <c r="CX114" s="114" t="str">
        <f ca="1">IF($CD114="","",IF(OFFSET(BV$55,'Intermediate Data'!$CD114,0)=-98,"Unknown",IF(OFFSET(BV$55,'Intermediate Data'!$CD114,0)=-99,"N/A",OFFSET(BV$55,'Intermediate Data'!$CD114,0))))</f>
        <v/>
      </c>
      <c r="CY114" s="682" t="str">
        <f ca="1">IF($CD114="","",IF(OFFSET(BW$55,'Intermediate Data'!$CD114,0)=-98,"Unknown",IF(OFFSET(BW$55,'Intermediate Data'!$CD114,0)="N/A","",OFFSET(BW$55,'Intermediate Data'!$CD114,0))))</f>
        <v/>
      </c>
      <c r="CZ114" s="682" t="str">
        <f ca="1">IF($CD114="","",IF(OFFSET(BX$55,'Intermediate Data'!$CD114,0)=-98,"Unknown",IF(OFFSET(BX$55,'Intermediate Data'!$CD114,0)="N/A","",OFFSET(BX$55,'Intermediate Data'!$CD114,0))))</f>
        <v/>
      </c>
      <c r="DA114" s="682" t="str">
        <f ca="1">IF($CD114="","",IF(OFFSET(BY$55,'Intermediate Data'!$CD114,0)=-98,"Unknown",IF(OFFSET(BY$55,'Intermediate Data'!$CD114,0)="N/A","",OFFSET(BY$55,'Intermediate Data'!$CD114,0))))</f>
        <v/>
      </c>
      <c r="DB114" s="682" t="str">
        <f ca="1">IF($CD114="","",IF(OFFSET(BZ$55,'Intermediate Data'!$CD114,0)=-98,"Unknown",IF(OFFSET(BZ$55,'Intermediate Data'!$CD114,0)="N/A","",OFFSET(BZ$55,'Intermediate Data'!$CD114,0))))</f>
        <v/>
      </c>
    </row>
    <row r="115" spans="1:106" x14ac:dyDescent="0.2">
      <c r="A115" s="90" t="str">
        <f ca="1">IF(OFFSET(DATA!F64,0,$D$48)='Intermediate Data'!$E$48,IF(OR($E$49=$C$27,$E$48=$B$4),DATA!A64,IF($G$49=DATA!D64,DATA!A64,"")),"")</f>
        <v/>
      </c>
      <c r="B115" s="90" t="str">
        <f ca="1">IF($A115="","",DATA!EH64)</f>
        <v/>
      </c>
      <c r="C115" s="90" t="str">
        <f ca="1">IF($A115="","",DATA!B64)</f>
        <v/>
      </c>
      <c r="D115" s="90" t="str">
        <f ca="1">IF($A115="","",OFFSET(DATA!$H64,0,($D$50*5)))</f>
        <v/>
      </c>
      <c r="E115" s="90" t="str">
        <f ca="1">IF($A115="","",OFFSET(DATA!$H64,0,($D$50*5)+1))</f>
        <v/>
      </c>
      <c r="F115" s="90" t="str">
        <f ca="1">IF($A115="","",OFFSET(DATA!$H64,0,($D$50*5)+2))</f>
        <v/>
      </c>
      <c r="G115" s="90" t="str">
        <f ca="1">IF($A115="","",OFFSET(DATA!$H64,0,($D$50*5)+3))</f>
        <v/>
      </c>
      <c r="H115" s="90" t="str">
        <f ca="1">IF($A115="","",OFFSET(DATA!$H64,0,($D$50*5)+4))</f>
        <v/>
      </c>
      <c r="I115" s="90" t="str">
        <f t="shared" ca="1" si="2"/>
        <v/>
      </c>
      <c r="J115" s="90" t="str">
        <f t="shared" ca="1" si="3"/>
        <v/>
      </c>
      <c r="K115" s="90" t="str">
        <f ca="1">IF($A115="","",OFFSET(DATA!$AG64,0,($D$50*5)))</f>
        <v/>
      </c>
      <c r="L115" s="90" t="str">
        <f ca="1">IF($A115="","",OFFSET(DATA!$AG64,0,($D$50*5)+1))</f>
        <v/>
      </c>
      <c r="M115" s="90" t="str">
        <f ca="1">IF($A115="","",OFFSET(DATA!$AG64,0,($D$50*5)+2))</f>
        <v/>
      </c>
      <c r="N115" s="90" t="str">
        <f ca="1">IF($A115="","",OFFSET(DATA!$AG64,0,($D$50*5)+3))</f>
        <v/>
      </c>
      <c r="O115" s="90" t="str">
        <f ca="1">IF($A115="","",OFFSET(DATA!$AG64,0,($D$50*5)+4))</f>
        <v/>
      </c>
      <c r="P115" s="90" t="str">
        <f t="shared" ca="1" si="4"/>
        <v/>
      </c>
      <c r="Q115" s="90" t="str">
        <f t="shared" ca="1" si="5"/>
        <v/>
      </c>
      <c r="R115" s="699" t="str">
        <f ca="1">IF($A115="","",IF(DATA!BF64="",-99,DATA!BF64))</f>
        <v/>
      </c>
      <c r="S115" s="90" t="str">
        <f ca="1">IF($A115="","",IF(DATA!BG64="",-99,DATA!BF64-DATA!BG64))</f>
        <v/>
      </c>
      <c r="T115" s="90" t="str">
        <f ca="1">IF($A115="","",DATA!BH64)</f>
        <v/>
      </c>
      <c r="U115" s="90" t="str">
        <f ca="1">IF($A115="","",OFFSET(DATA!BM64,0,$D$48))</f>
        <v/>
      </c>
      <c r="V115" s="90" t="str">
        <f t="shared" ca="1" si="15"/>
        <v/>
      </c>
      <c r="W115" s="99" t="str">
        <f t="shared" ca="1" si="7"/>
        <v/>
      </c>
      <c r="X115" s="112">
        <f t="shared" ca="1" si="8"/>
        <v>71.99988120175</v>
      </c>
      <c r="Y115" s="90">
        <f t="shared" ca="1" si="9"/>
        <v>120</v>
      </c>
      <c r="AA115" s="90" t="str">
        <f ca="1">IF($Y115="","",IF(OFFSET(C$55,'Intermediate Data'!$Y115,0)=-98,"Unknown",IF(OFFSET(C$55,'Intermediate Data'!$Y115,0)=-99,"N/A",OFFSET(C$55,'Intermediate Data'!$Y115,0))))</f>
        <v>Ice maker</v>
      </c>
      <c r="AB115" s="90" t="str">
        <f ca="1">IF($Y115="","",IF(OFFSET(D$55,'Intermediate Data'!$Y115,0)=-98,"N/A",IF(OFFSET(D$55,'Intermediate Data'!$Y115,0)=-99,"N/A",OFFSET(D$55,'Intermediate Data'!$Y115,0))))</f>
        <v>N/A</v>
      </c>
      <c r="AC115" s="90" t="str">
        <f ca="1">IF($Y115="","",IF(OFFSET(E$55,'Intermediate Data'!$Y115,0)=-98,"N/A",IF(OFFSET(E$55,'Intermediate Data'!$Y115,0)=-99,"N/A",OFFSET(E$55,'Intermediate Data'!$Y115,0))))</f>
        <v>N/A</v>
      </c>
      <c r="AD115" s="90" t="str">
        <f ca="1">IF($Y115="","",IF(OFFSET(F$55,'Intermediate Data'!$Y115,0)=-98,"N/A",IF(OFFSET(F$55,'Intermediate Data'!$Y115,0)=-99,"N/A",OFFSET(F$55,'Intermediate Data'!$Y115,0))))</f>
        <v>N/A</v>
      </c>
      <c r="AE115" s="90" t="str">
        <f ca="1">IF($Y115="","",IF(OFFSET(G$55,'Intermediate Data'!$Y115,0)=-98,"N/A",IF(OFFSET(G$55,'Intermediate Data'!$Y115,0)=-99,"N/A",OFFSET(G$55,'Intermediate Data'!$Y115,0))))</f>
        <v>N/A</v>
      </c>
      <c r="AF115" s="90" t="str">
        <f ca="1">IF($Y115="","",IF(OFFSET(H$55,'Intermediate Data'!$Y115,0)=-98,"N/A",IF(OFFSET(H$55,'Intermediate Data'!$Y115,0)=-99,"N/A",OFFSET(H$55,'Intermediate Data'!$Y115,0))))</f>
        <v>N/A</v>
      </c>
      <c r="AG115" s="90" t="str">
        <f ca="1">IF($Y115="","",IF(OFFSET(I$55,'Intermediate Data'!$Y115,0)=-98,"N/A",IF(OFFSET(I$55,'Intermediate Data'!$Y115,0)=-99,"N/A",OFFSET(I$55,'Intermediate Data'!$Y115,0))))</f>
        <v>N/A</v>
      </c>
      <c r="AH115" s="90" t="str">
        <f ca="1">IF($Y115="","",IF(OFFSET(J$55,'Intermediate Data'!$Y115,0)=-98,"N/A",IF(OFFSET(J$55,'Intermediate Data'!$Y115,0)=-99,"N/A",OFFSET(J$55,'Intermediate Data'!$Y115,0))))</f>
        <v/>
      </c>
      <c r="AI115" s="90" t="str">
        <f ca="1">IF($Y115="","",IF(OFFSET(K$55,'Intermediate Data'!$Y115,0)=-98,"N/A",IF(OFFSET(K$55,'Intermediate Data'!$Y115,0)=-99,"N/A",OFFSET(K$55,'Intermediate Data'!$Y115,0))))</f>
        <v>N/A</v>
      </c>
      <c r="AJ115" s="90" t="str">
        <f ca="1">IF($Y115="","",IF(OFFSET(L$55,'Intermediate Data'!$Y115,0)=-98,"N/A",IF(OFFSET(L$55,'Intermediate Data'!$Y115,0)=-99,"N/A",OFFSET(L$55,'Intermediate Data'!$Y115,0))))</f>
        <v>N/A</v>
      </c>
      <c r="AK115" s="90" t="str">
        <f ca="1">IF($Y115="","",IF(OFFSET(M$55,'Intermediate Data'!$Y115,0)=-98,"N/A",IF(OFFSET(M$55,'Intermediate Data'!$Y115,0)=-99,"N/A",OFFSET(M$55,'Intermediate Data'!$Y115,0))))</f>
        <v>N/A</v>
      </c>
      <c r="AL115" s="90" t="str">
        <f ca="1">IF($Y115="","",IF(OFFSET(N$55,'Intermediate Data'!$Y115,0)=-98,"N/A",IF(OFFSET(N$55,'Intermediate Data'!$Y115,0)=-99,"N/A",OFFSET(N$55,'Intermediate Data'!$Y115,0))))</f>
        <v>N/A</v>
      </c>
      <c r="AM115" s="90" t="str">
        <f ca="1">IF($Y115="","",IF(OFFSET(O$55,'Intermediate Data'!$Y115,0)=-98,"N/A",IF(OFFSET(O$55,'Intermediate Data'!$Y115,0)=-99,"N/A",OFFSET(O$55,'Intermediate Data'!$Y115,0))))</f>
        <v>N/A</v>
      </c>
      <c r="AN115" s="90" t="str">
        <f ca="1">IF($Y115="","",IF(OFFSET(P$55,'Intermediate Data'!$Y115,0)=-98,"N/A",IF(OFFSET(P$55,'Intermediate Data'!$Y115,0)=-99,"N/A",OFFSET(P$55,'Intermediate Data'!$Y115,0))))</f>
        <v>N/A</v>
      </c>
      <c r="AO115" s="90" t="str">
        <f ca="1">IF($Y115="","",IF(OFFSET(Q$55,'Intermediate Data'!$Y115,0)=-98,"N/A",IF(OFFSET(Q$55,'Intermediate Data'!$Y115,0)=-99,"N/A",OFFSET(Q$55,'Intermediate Data'!$Y115,0))))</f>
        <v/>
      </c>
      <c r="AP115" s="697" t="str">
        <f ca="1">IF($Y115="","",IF(OFFSET(S$55,'Intermediate Data'!$Y115,0)=-98,"",IF(OFFSET(S$55,'Intermediate Data'!$Y115,0)=-99,"",OFFSET(S$55,'Intermediate Data'!$Y115,0))))</f>
        <v/>
      </c>
      <c r="AQ115" s="90" t="str">
        <f ca="1">IF($Y115="","",IF(OFFSET(T$55,'Intermediate Data'!$Y115,0)=-98,"Not published",IF(OFFSET(T$55,'Intermediate Data'!$Y115,0)=-99,"",OFFSET(T$55,'Intermediate Data'!$Y115,0))))</f>
        <v/>
      </c>
      <c r="AR115" s="90" t="str">
        <f ca="1">IF($Y115="","",IF(OFFSET(U$55,'Intermediate Data'!$Y115,0)=-98,"Unknown",IF(OFFSET(U$55,'Intermediate Data'!$Y115,0)=-99,"",OFFSET(U$55,'Intermediate Data'!$Y115,0))))</f>
        <v/>
      </c>
      <c r="AU115" s="112" t="str">
        <f ca="1">IF(AND(OFFSET(DATA!$F64,0,$AX$48)='Intermediate Data'!$AY$48,DATA!$E64="Tier 1"),IF(OR($AX$49=0,$AX$48=1),DATA!A64,IF(AND($AX$49=1,INDEX('Intermediate Data'!$AY$25:$AY$44,MATCH(DATA!$B64,'Intermediate Data'!$AX$25:$AX$44,0))=TRUE),DATA!A64,"")),"")</f>
        <v/>
      </c>
      <c r="AV115" s="112" t="str">
        <f ca="1">IF($AU115="","",DATA!B64)</f>
        <v/>
      </c>
      <c r="AW115" s="112" t="str">
        <f ca="1">IF(OR($AU115="",DATA!BI64=""),"",DATA!BI64)</f>
        <v/>
      </c>
      <c r="AX115" s="112" t="str">
        <f ca="1">IF(OR($AU115="",OFFSET(DATA!BK64,0,$AX$48)=""),"",OFFSET(DATA!BK64,0,$AX$48))</f>
        <v/>
      </c>
      <c r="AY115" s="112" t="str">
        <f ca="1">IF(OR($AU115="",OFFSET(DATA!BM64,0,$AX$48)=""),"",OFFSET(DATA!BM64,0,$AX$48))</f>
        <v/>
      </c>
      <c r="AZ115" s="112" t="str">
        <f ca="1">IF(OR($AU115="",OFFSET(DATA!BO64,0,'Intermediate Data'!$AX$48)=""),"",OFFSET(DATA!BO64,0,$AX$48))</f>
        <v/>
      </c>
      <c r="BA115" s="112" t="str">
        <f ca="1">IF(OR($AU115="",DATA!BQ64=""),"",DATA!BQ64)</f>
        <v/>
      </c>
      <c r="BB115" s="112" t="str">
        <f ca="1">IF($AU115="","",OFFSET(DATA!BS64,0,$AX$48))</f>
        <v/>
      </c>
      <c r="BC115" s="112" t="str">
        <f ca="1">IF($AU115="","",OFFSET(DATA!BU64,0,$AX$48))</f>
        <v/>
      </c>
      <c r="BD115" s="112" t="str">
        <f ca="1">IF($AU115="","",OFFSET(DATA!BW64,0,$AX$48))</f>
        <v/>
      </c>
      <c r="BE115" s="112" t="str">
        <f ca="1">IF($AU115="","",OFFSET(DATA!BY64,0,$AX$48))</f>
        <v/>
      </c>
      <c r="BF115" s="112" t="str">
        <f ca="1">IF($AU115="","",OFFSET(DATA!CA64,0,$AX$48))</f>
        <v/>
      </c>
      <c r="BG115" s="112" t="str">
        <f ca="1">IF($AU115="","",DATA!CC64)</f>
        <v/>
      </c>
      <c r="BH115" s="112" t="str">
        <f ca="1">IF($AU115="","",OFFSET(DATA!CE64,0,$AX$48))</f>
        <v/>
      </c>
      <c r="BI115" s="112" t="str">
        <f ca="1">IF($AU115="","",OFFSET(DATA!CG64,0,$AX$48))</f>
        <v/>
      </c>
      <c r="BJ115" s="112" t="str">
        <f ca="1">IF($AU115="","",OFFSET(DATA!CI64,0,$AX$48))</f>
        <v/>
      </c>
      <c r="BK115" s="112" t="str">
        <f ca="1">IF($AU115="","",OFFSET(DATA!CK64,0,$AX$48))</f>
        <v/>
      </c>
      <c r="BL115" s="112" t="str">
        <f ca="1">IF($AU115="","",OFFSET(DATA!CM64,0,$AX$48))</f>
        <v/>
      </c>
      <c r="BM115" s="112" t="str">
        <f ca="1">IF($AU115="","",DATA!BH64)</f>
        <v/>
      </c>
      <c r="BN115" s="112" t="str">
        <f ca="1">IF($AU115="","",DATA!DS64)</f>
        <v/>
      </c>
      <c r="BO115" s="112" t="str">
        <f ca="1">IF($AU115="","",DATA!DU64)</f>
        <v/>
      </c>
      <c r="BP115" s="112" t="str">
        <f ca="1">IF($AU115="","",DATA!DV64)</f>
        <v/>
      </c>
      <c r="BQ115" s="112" t="str">
        <f ca="1">IF($AU115="","",DATA!DX64)</f>
        <v/>
      </c>
      <c r="BR115" s="112" t="str">
        <f ca="1">IF($AU115="","",DATA!DZ64)</f>
        <v/>
      </c>
      <c r="BS115" s="171" t="str">
        <f ca="1">IF($AU115="","",DATA!EA64)</f>
        <v/>
      </c>
      <c r="BT115" s="171" t="str">
        <f ca="1">IF($AU115="","",DATA!EC64)</f>
        <v/>
      </c>
      <c r="BU115" s="171" t="str">
        <f ca="1">IF($AU115="","",DATA!EF64)</f>
        <v/>
      </c>
      <c r="BV115" s="113" t="str">
        <f t="shared" ca="1" si="10"/>
        <v/>
      </c>
      <c r="BW115" s="680" t="str">
        <f ca="1">IF(AU115="","",OFFSET(DATA!DC64,0,'Intermediate Data'!$AX$48))</f>
        <v/>
      </c>
      <c r="BX115" s="681" t="str">
        <f ca="1">IF($AU115="","",DATA!DG64)</f>
        <v/>
      </c>
      <c r="BY115" s="680" t="str">
        <f ca="1">IF($AU115="","",OFFSET(DATA!DE64,0,'Intermediate Data'!$AX$48))</f>
        <v/>
      </c>
      <c r="BZ115" s="681" t="str">
        <f ca="1">IF($AU115="","",DATA!DH64)</f>
        <v/>
      </c>
      <c r="CA115" s="90" t="str">
        <f t="shared" ca="1" si="11"/>
        <v/>
      </c>
      <c r="CB115" s="99" t="str">
        <f t="shared" ca="1" si="12"/>
        <v/>
      </c>
      <c r="CC115" s="90" t="str">
        <f t="shared" ca="1" si="13"/>
        <v/>
      </c>
      <c r="CD115" s="90" t="str">
        <f t="shared" ca="1" si="14"/>
        <v/>
      </c>
      <c r="CF115" s="90" t="str">
        <f ca="1">IF($CD115="","",IF(OFFSET(AV$55,'Intermediate Data'!$CD115,0)=-98,"Unknown",IF(OFFSET(AV$55,'Intermediate Data'!$CD115,0)=-99,"N/A",OFFSET(AV$55,'Intermediate Data'!$CD115,0))))</f>
        <v/>
      </c>
      <c r="CG115" s="90" t="str">
        <f ca="1">IF($CD115="","",IF(OFFSET(AW$55,'Intermediate Data'!$CD115,0)=-98,"",IF(OFFSET(AW$55,'Intermediate Data'!$CD115,0)=-99,"N/A",OFFSET(AW$55,'Intermediate Data'!$CD115,0))))</f>
        <v/>
      </c>
      <c r="CH115" s="90" t="str">
        <f ca="1">IF($CD115="","",IF(OFFSET(AX$55,'Intermediate Data'!$CD115,0)=-98,"Unknown",IF(OFFSET(AX$55,'Intermediate Data'!$CD115,0)=-99,"N/A",OFFSET(AX$55,'Intermediate Data'!$CD115,0))))</f>
        <v/>
      </c>
      <c r="CI115" s="125" t="str">
        <f ca="1">IF($CD115="","",IF(OFFSET(AY$55,'Intermediate Data'!$CD115,0)=-98,"Unknown",IF(OFFSET(AY$55,'Intermediate Data'!$CD115,0)=-99,"No spec",OFFSET(AY$55,'Intermediate Data'!$CD115,0))))</f>
        <v/>
      </c>
      <c r="CJ115" s="125" t="str">
        <f ca="1">IF($CD115="","",IF(OFFSET(AZ$55,'Intermediate Data'!$CD115,0)=-98,"Unknown",IF(OFFSET(AZ$55,'Intermediate Data'!$CD115,0)=-99,"N/A",OFFSET(AZ$55,'Intermediate Data'!$CD115,0))))</f>
        <v/>
      </c>
      <c r="CK115" s="90" t="str">
        <f ca="1">IF($CD115="","",IF(OFFSET(BA$55,'Intermediate Data'!$CD115,0)=-98,"Unknown",IF(OFFSET(BA$55,'Intermediate Data'!$CD115,0)=-99,"N/A",OFFSET(BA$55,'Intermediate Data'!$CD115,0))))</f>
        <v/>
      </c>
      <c r="CL115" s="90" t="str">
        <f ca="1">IF($CD115="","",IF(OFFSET(BB$55,'Intermediate Data'!$CD115,$AX$50)=-98,"Unknown",IF(OFFSET(BB$55,'Intermediate Data'!$CD115,$AX$50)="N/A","",OFFSET(BB$55,'Intermediate Data'!$CD115,$AX$50))))</f>
        <v/>
      </c>
      <c r="CM115" s="90" t="str">
        <f ca="1">IF($CD115="","",IF(OFFSET(BG$55,'Intermediate Data'!$CD115,0)="ET","ET",""))</f>
        <v/>
      </c>
      <c r="CN115" s="90" t="str">
        <f ca="1">IF($CD115="","",IF(OFFSET(BH$55,'Intermediate Data'!$CD115,$AX$50)=-98,"Unknown",IF(OFFSET(BH$55,'Intermediate Data'!$CD115,$AX$50)="N/A","",OFFSET(BH$55,'Intermediate Data'!$CD115,$AX$50))))</f>
        <v/>
      </c>
      <c r="CO115" s="90" t="str">
        <f ca="1">IF($CD115="","",IF(OFFSET(BM$55,'Intermediate Data'!$CD115,0)=-98,"Not published",IF(OFFSET(BM$55,'Intermediate Data'!$CD115,0)=-99,"No spec",OFFSET(BM$55,'Intermediate Data'!$CD115,0))))</f>
        <v/>
      </c>
      <c r="CP115" s="114" t="str">
        <f ca="1">IF($CD115="","",IF(OFFSET(BN$55,'Intermediate Data'!$CD115,0)=-98,"Unknown",IF(OFFSET(BN$55,'Intermediate Data'!$CD115,0)=-99,"N/A",OFFSET(BN$55,'Intermediate Data'!$CD115,0))))</f>
        <v/>
      </c>
      <c r="CQ115" s="114" t="str">
        <f ca="1">IF($CD115="","",IF(OFFSET(BO$55,'Intermediate Data'!$CD115,0)=-98,"Unknown",IF(OFFSET(BO$55,'Intermediate Data'!$CD115,0)=-99,"N/A",OFFSET(BO$55,'Intermediate Data'!$CD115,0))))</f>
        <v/>
      </c>
      <c r="CR115" s="114" t="str">
        <f ca="1">IF($CD115="","",IF(OFFSET(BP$55,'Intermediate Data'!$CD115,0)=-98,"Unknown",IF(OFFSET(BP$55,'Intermediate Data'!$CD115,0)=-99,"N/A",OFFSET(BP$55,'Intermediate Data'!$CD115,0))))</f>
        <v/>
      </c>
      <c r="CS115" s="114" t="str">
        <f ca="1">IF($CD115="","",IF(OFFSET(BQ$55,'Intermediate Data'!$CD115,0)=-98,"Unknown",IF(OFFSET(BQ$55,'Intermediate Data'!$CD115,0)=-99,"N/A",OFFSET(BQ$55,'Intermediate Data'!$CD115,0))))</f>
        <v/>
      </c>
      <c r="CT115" s="114" t="str">
        <f ca="1">IF($CD115="","",IF(OFFSET(BR$55,'Intermediate Data'!$CD115,0)=-98,"Unknown",IF(OFFSET(BR$55,'Intermediate Data'!$CD115,0)=-99,"N/A",OFFSET(BR$55,'Intermediate Data'!$CD115,0))))</f>
        <v/>
      </c>
      <c r="CU115" s="114" t="str">
        <f ca="1">IF($CD115="","",IF(OFFSET(BS$55,'Intermediate Data'!$CD115,0)=-98,"Unknown",IF(OFFSET(BS$55,'Intermediate Data'!$CD115,0)=-99,"N/A",OFFSET(BS$55,'Intermediate Data'!$CD115,0))))</f>
        <v/>
      </c>
      <c r="CV115" s="114" t="str">
        <f ca="1">IF($CD115="","",IF(OFFSET(BT$55,'Intermediate Data'!$CD115,0)=-98,"Unknown",IF(OFFSET(BT$55,'Intermediate Data'!$CD115,0)=-99,"N/A",OFFSET(BT$55,'Intermediate Data'!$CD115,0))))</f>
        <v/>
      </c>
      <c r="CW115" s="114" t="str">
        <f ca="1">IF($CD115="","",IF(OFFSET(BU$55,'Intermediate Data'!$CD115,0)=-98,"Unknown",IF(OFFSET(BU$55,'Intermediate Data'!$CD115,0)=-99,"N/A",OFFSET(BU$55,'Intermediate Data'!$CD115,0))))</f>
        <v/>
      </c>
      <c r="CX115" s="114" t="str">
        <f ca="1">IF($CD115="","",IF(OFFSET(BV$55,'Intermediate Data'!$CD115,0)=-98,"Unknown",IF(OFFSET(BV$55,'Intermediate Data'!$CD115,0)=-99,"N/A",OFFSET(BV$55,'Intermediate Data'!$CD115,0))))</f>
        <v/>
      </c>
      <c r="CY115" s="682" t="str">
        <f ca="1">IF($CD115="","",IF(OFFSET(BW$55,'Intermediate Data'!$CD115,0)=-98,"Unknown",IF(OFFSET(BW$55,'Intermediate Data'!$CD115,0)="N/A","",OFFSET(BW$55,'Intermediate Data'!$CD115,0))))</f>
        <v/>
      </c>
      <c r="CZ115" s="682" t="str">
        <f ca="1">IF($CD115="","",IF(OFFSET(BX$55,'Intermediate Data'!$CD115,0)=-98,"Unknown",IF(OFFSET(BX$55,'Intermediate Data'!$CD115,0)="N/A","",OFFSET(BX$55,'Intermediate Data'!$CD115,0))))</f>
        <v/>
      </c>
      <c r="DA115" s="682" t="str">
        <f ca="1">IF($CD115="","",IF(OFFSET(BY$55,'Intermediate Data'!$CD115,0)=-98,"Unknown",IF(OFFSET(BY$55,'Intermediate Data'!$CD115,0)="N/A","",OFFSET(BY$55,'Intermediate Data'!$CD115,0))))</f>
        <v/>
      </c>
      <c r="DB115" s="682" t="str">
        <f ca="1">IF($CD115="","",IF(OFFSET(BZ$55,'Intermediate Data'!$CD115,0)=-98,"Unknown",IF(OFFSET(BZ$55,'Intermediate Data'!$CD115,0)="N/A","",OFFSET(BZ$55,'Intermediate Data'!$CD115,0))))</f>
        <v/>
      </c>
    </row>
    <row r="116" spans="1:106" x14ac:dyDescent="0.2">
      <c r="A116" s="90">
        <f ca="1">IF(OFFSET(DATA!F65,0,$D$48)='Intermediate Data'!$E$48,IF(OR($E$49=$C$27,$E$48=$B$4),DATA!A65,IF($G$49=DATA!D65,DATA!A65,"")),"")</f>
        <v>61</v>
      </c>
      <c r="B116" s="90">
        <f ca="1">IF($A116="","",DATA!EH65)</f>
        <v>121</v>
      </c>
      <c r="C116" s="90" t="str">
        <f ca="1">IF($A116="","",DATA!B65)</f>
        <v>Ceramics - Pottery wheel</v>
      </c>
      <c r="D116" s="90">
        <f ca="1">IF($A116="","",OFFSET(DATA!$H65,0,($D$50*5)))</f>
        <v>-99</v>
      </c>
      <c r="E116" s="90">
        <f ca="1">IF($A116="","",OFFSET(DATA!$H65,0,($D$50*5)+1))</f>
        <v>-99</v>
      </c>
      <c r="F116" s="90">
        <f ca="1">IF($A116="","",OFFSET(DATA!$H65,0,($D$50*5)+2))</f>
        <v>-99</v>
      </c>
      <c r="G116" s="90">
        <f ca="1">IF($A116="","",OFFSET(DATA!$H65,0,($D$50*5)+3))</f>
        <v>-99</v>
      </c>
      <c r="H116" s="90">
        <f ca="1">IF($A116="","",OFFSET(DATA!$H65,0,($D$50*5)+4))</f>
        <v>-99</v>
      </c>
      <c r="I116" s="90">
        <f t="shared" ca="1" si="2"/>
        <v>-99</v>
      </c>
      <c r="J116" s="90" t="str">
        <f t="shared" ca="1" si="3"/>
        <v/>
      </c>
      <c r="K116" s="90">
        <f ca="1">IF($A116="","",OFFSET(DATA!$AG65,0,($D$50*5)))</f>
        <v>-99</v>
      </c>
      <c r="L116" s="90">
        <f ca="1">IF($A116="","",OFFSET(DATA!$AG65,0,($D$50*5)+1))</f>
        <v>-99</v>
      </c>
      <c r="M116" s="90">
        <f ca="1">IF($A116="","",OFFSET(DATA!$AG65,0,($D$50*5)+2))</f>
        <v>-99</v>
      </c>
      <c r="N116" s="90">
        <f ca="1">IF($A116="","",OFFSET(DATA!$AG65,0,($D$50*5)+3))</f>
        <v>-99</v>
      </c>
      <c r="O116" s="90">
        <f ca="1">IF($A116="","",OFFSET(DATA!$AG65,0,($D$50*5)+4))</f>
        <v>-99</v>
      </c>
      <c r="P116" s="90">
        <f t="shared" ca="1" si="4"/>
        <v>-99</v>
      </c>
      <c r="Q116" s="90" t="str">
        <f t="shared" ca="1" si="5"/>
        <v/>
      </c>
      <c r="R116" s="699">
        <f ca="1">IF($A116="","",IF(DATA!BF65="",-99,DATA!BF65))</f>
        <v>-99</v>
      </c>
      <c r="S116" s="90">
        <f ca="1">IF($A116="","",IF(DATA!BG65="",-99,DATA!BF65-DATA!BG65))</f>
        <v>-99</v>
      </c>
      <c r="T116" s="90">
        <f ca="1">IF($A116="","",DATA!BH65)</f>
        <v>-99</v>
      </c>
      <c r="U116" s="90">
        <f ca="1">IF($A116="","",OFFSET(DATA!BM65,0,$D$48))</f>
        <v>-99</v>
      </c>
      <c r="V116" s="90">
        <f t="shared" ca="1" si="15"/>
        <v>121</v>
      </c>
      <c r="W116" s="99">
        <f t="shared" ca="1" si="7"/>
        <v>120.99988120116001</v>
      </c>
      <c r="X116" s="112">
        <f t="shared" ca="1" si="8"/>
        <v>70.999881201809998</v>
      </c>
      <c r="Y116" s="90">
        <f t="shared" ca="1" si="9"/>
        <v>126</v>
      </c>
      <c r="AA116" s="90" t="str">
        <f ca="1">IF($Y116="","",IF(OFFSET(C$55,'Intermediate Data'!$Y116,0)=-98,"Unknown",IF(OFFSET(C$55,'Intermediate Data'!$Y116,0)=-99,"N/A",OFFSET(C$55,'Intermediate Data'!$Y116,0))))</f>
        <v>Infant monitor transmitter</v>
      </c>
      <c r="AB116" s="90" t="str">
        <f ca="1">IF($Y116="","",IF(OFFSET(D$55,'Intermediate Data'!$Y116,0)=-98,"N/A",IF(OFFSET(D$55,'Intermediate Data'!$Y116,0)=-99,"N/A",OFFSET(D$55,'Intermediate Data'!$Y116,0))))</f>
        <v>N/A</v>
      </c>
      <c r="AC116" s="90" t="str">
        <f ca="1">IF($Y116="","",IF(OFFSET(E$55,'Intermediate Data'!$Y116,0)=-98,"N/A",IF(OFFSET(E$55,'Intermediate Data'!$Y116,0)=-99,"N/A",OFFSET(E$55,'Intermediate Data'!$Y116,0))))</f>
        <v>N/A</v>
      </c>
      <c r="AD116" s="90" t="str">
        <f ca="1">IF($Y116="","",IF(OFFSET(F$55,'Intermediate Data'!$Y116,0)=-98,"N/A",IF(OFFSET(F$55,'Intermediate Data'!$Y116,0)=-99,"N/A",OFFSET(F$55,'Intermediate Data'!$Y116,0))))</f>
        <v>N/A</v>
      </c>
      <c r="AE116" s="90" t="str">
        <f ca="1">IF($Y116="","",IF(OFFSET(G$55,'Intermediate Data'!$Y116,0)=-98,"N/A",IF(OFFSET(G$55,'Intermediate Data'!$Y116,0)=-99,"N/A",OFFSET(G$55,'Intermediate Data'!$Y116,0))))</f>
        <v>N/A</v>
      </c>
      <c r="AF116" s="90" t="str">
        <f ca="1">IF($Y116="","",IF(OFFSET(H$55,'Intermediate Data'!$Y116,0)=-98,"N/A",IF(OFFSET(H$55,'Intermediate Data'!$Y116,0)=-99,"N/A",OFFSET(H$55,'Intermediate Data'!$Y116,0))))</f>
        <v>N/A</v>
      </c>
      <c r="AG116" s="90" t="str">
        <f ca="1">IF($Y116="","",IF(OFFSET(I$55,'Intermediate Data'!$Y116,0)=-98,"N/A",IF(OFFSET(I$55,'Intermediate Data'!$Y116,0)=-99,"N/A",OFFSET(I$55,'Intermediate Data'!$Y116,0))))</f>
        <v>N/A</v>
      </c>
      <c r="AH116" s="90" t="str">
        <f ca="1">IF($Y116="","",IF(OFFSET(J$55,'Intermediate Data'!$Y116,0)=-98,"N/A",IF(OFFSET(J$55,'Intermediate Data'!$Y116,0)=-99,"N/A",OFFSET(J$55,'Intermediate Data'!$Y116,0))))</f>
        <v/>
      </c>
      <c r="AI116" s="90" t="str">
        <f ca="1">IF($Y116="","",IF(OFFSET(K$55,'Intermediate Data'!$Y116,0)=-98,"N/A",IF(OFFSET(K$55,'Intermediate Data'!$Y116,0)=-99,"N/A",OFFSET(K$55,'Intermediate Data'!$Y116,0))))</f>
        <v>N/A</v>
      </c>
      <c r="AJ116" s="90" t="str">
        <f ca="1">IF($Y116="","",IF(OFFSET(L$55,'Intermediate Data'!$Y116,0)=-98,"N/A",IF(OFFSET(L$55,'Intermediate Data'!$Y116,0)=-99,"N/A",OFFSET(L$55,'Intermediate Data'!$Y116,0))))</f>
        <v>N/A</v>
      </c>
      <c r="AK116" s="90" t="str">
        <f ca="1">IF($Y116="","",IF(OFFSET(M$55,'Intermediate Data'!$Y116,0)=-98,"N/A",IF(OFFSET(M$55,'Intermediate Data'!$Y116,0)=-99,"N/A",OFFSET(M$55,'Intermediate Data'!$Y116,0))))</f>
        <v>N/A</v>
      </c>
      <c r="AL116" s="90" t="str">
        <f ca="1">IF($Y116="","",IF(OFFSET(N$55,'Intermediate Data'!$Y116,0)=-98,"N/A",IF(OFFSET(N$55,'Intermediate Data'!$Y116,0)=-99,"N/A",OFFSET(N$55,'Intermediate Data'!$Y116,0))))</f>
        <v>N/A</v>
      </c>
      <c r="AM116" s="90" t="str">
        <f ca="1">IF($Y116="","",IF(OFFSET(O$55,'Intermediate Data'!$Y116,0)=-98,"N/A",IF(OFFSET(O$55,'Intermediate Data'!$Y116,0)=-99,"N/A",OFFSET(O$55,'Intermediate Data'!$Y116,0))))</f>
        <v>N/A</v>
      </c>
      <c r="AN116" s="90" t="str">
        <f ca="1">IF($Y116="","",IF(OFFSET(P$55,'Intermediate Data'!$Y116,0)=-98,"N/A",IF(OFFSET(P$55,'Intermediate Data'!$Y116,0)=-99,"N/A",OFFSET(P$55,'Intermediate Data'!$Y116,0))))</f>
        <v>N/A</v>
      </c>
      <c r="AO116" s="90" t="str">
        <f ca="1">IF($Y116="","",IF(OFFSET(Q$55,'Intermediate Data'!$Y116,0)=-98,"N/A",IF(OFFSET(Q$55,'Intermediate Data'!$Y116,0)=-99,"N/A",OFFSET(Q$55,'Intermediate Data'!$Y116,0))))</f>
        <v/>
      </c>
      <c r="AP116" s="697" t="str">
        <f ca="1">IF($Y116="","",IF(OFFSET(S$55,'Intermediate Data'!$Y116,0)=-98,"",IF(OFFSET(S$55,'Intermediate Data'!$Y116,0)=-99,"",OFFSET(S$55,'Intermediate Data'!$Y116,0))))</f>
        <v/>
      </c>
      <c r="AQ116" s="90" t="str">
        <f ca="1">IF($Y116="","",IF(OFFSET(T$55,'Intermediate Data'!$Y116,0)=-98,"Not published",IF(OFFSET(T$55,'Intermediate Data'!$Y116,0)=-99,"",OFFSET(T$55,'Intermediate Data'!$Y116,0))))</f>
        <v/>
      </c>
      <c r="AR116" s="90" t="str">
        <f ca="1">IF($Y116="","",IF(OFFSET(U$55,'Intermediate Data'!$Y116,0)=-98,"Unknown",IF(OFFSET(U$55,'Intermediate Data'!$Y116,0)=-99,"",OFFSET(U$55,'Intermediate Data'!$Y116,0))))</f>
        <v/>
      </c>
      <c r="AU116" s="112" t="str">
        <f ca="1">IF(AND(OFFSET(DATA!$F65,0,$AX$48)='Intermediate Data'!$AY$48,DATA!$E65="Tier 1"),IF(OR($AX$49=0,$AX$48=1),DATA!A65,IF(AND($AX$49=1,INDEX('Intermediate Data'!$AY$25:$AY$44,MATCH(DATA!$B65,'Intermediate Data'!$AX$25:$AX$44,0))=TRUE),DATA!A65,"")),"")</f>
        <v/>
      </c>
      <c r="AV116" s="112" t="str">
        <f ca="1">IF($AU116="","",DATA!B65)</f>
        <v/>
      </c>
      <c r="AW116" s="112" t="str">
        <f ca="1">IF(OR($AU116="",DATA!BI65=""),"",DATA!BI65)</f>
        <v/>
      </c>
      <c r="AX116" s="112" t="str">
        <f ca="1">IF(OR($AU116="",OFFSET(DATA!BK65,0,$AX$48)=""),"",OFFSET(DATA!BK65,0,$AX$48))</f>
        <v/>
      </c>
      <c r="AY116" s="112" t="str">
        <f ca="1">IF(OR($AU116="",OFFSET(DATA!BM65,0,$AX$48)=""),"",OFFSET(DATA!BM65,0,$AX$48))</f>
        <v/>
      </c>
      <c r="AZ116" s="112" t="str">
        <f ca="1">IF(OR($AU116="",OFFSET(DATA!BO65,0,'Intermediate Data'!$AX$48)=""),"",OFFSET(DATA!BO65,0,$AX$48))</f>
        <v/>
      </c>
      <c r="BA116" s="112" t="str">
        <f ca="1">IF(OR($AU116="",DATA!BQ65=""),"",DATA!BQ65)</f>
        <v/>
      </c>
      <c r="BB116" s="112" t="str">
        <f ca="1">IF($AU116="","",OFFSET(DATA!BS65,0,$AX$48))</f>
        <v/>
      </c>
      <c r="BC116" s="112" t="str">
        <f ca="1">IF($AU116="","",OFFSET(DATA!BU65,0,$AX$48))</f>
        <v/>
      </c>
      <c r="BD116" s="112" t="str">
        <f ca="1">IF($AU116="","",OFFSET(DATA!BW65,0,$AX$48))</f>
        <v/>
      </c>
      <c r="BE116" s="112" t="str">
        <f ca="1">IF($AU116="","",OFFSET(DATA!BY65,0,$AX$48))</f>
        <v/>
      </c>
      <c r="BF116" s="112" t="str">
        <f ca="1">IF($AU116="","",OFFSET(DATA!CA65,0,$AX$48))</f>
        <v/>
      </c>
      <c r="BG116" s="112" t="str">
        <f ca="1">IF($AU116="","",DATA!CC65)</f>
        <v/>
      </c>
      <c r="BH116" s="112" t="str">
        <f ca="1">IF($AU116="","",OFFSET(DATA!CE65,0,$AX$48))</f>
        <v/>
      </c>
      <c r="BI116" s="112" t="str">
        <f ca="1">IF($AU116="","",OFFSET(DATA!CG65,0,$AX$48))</f>
        <v/>
      </c>
      <c r="BJ116" s="112" t="str">
        <f ca="1">IF($AU116="","",OFFSET(DATA!CI65,0,$AX$48))</f>
        <v/>
      </c>
      <c r="BK116" s="112" t="str">
        <f ca="1">IF($AU116="","",OFFSET(DATA!CK65,0,$AX$48))</f>
        <v/>
      </c>
      <c r="BL116" s="112" t="str">
        <f ca="1">IF($AU116="","",OFFSET(DATA!CM65,0,$AX$48))</f>
        <v/>
      </c>
      <c r="BM116" s="112" t="str">
        <f ca="1">IF($AU116="","",DATA!BH65)</f>
        <v/>
      </c>
      <c r="BN116" s="112" t="str">
        <f ca="1">IF($AU116="","",DATA!DS65)</f>
        <v/>
      </c>
      <c r="BO116" s="112" t="str">
        <f ca="1">IF($AU116="","",DATA!DU65)</f>
        <v/>
      </c>
      <c r="BP116" s="112" t="str">
        <f ca="1">IF($AU116="","",DATA!DV65)</f>
        <v/>
      </c>
      <c r="BQ116" s="112" t="str">
        <f ca="1">IF($AU116="","",DATA!DX65)</f>
        <v/>
      </c>
      <c r="BR116" s="112" t="str">
        <f ca="1">IF($AU116="","",DATA!DZ65)</f>
        <v/>
      </c>
      <c r="BS116" s="171" t="str">
        <f ca="1">IF($AU116="","",DATA!EA65)</f>
        <v/>
      </c>
      <c r="BT116" s="171" t="str">
        <f ca="1">IF($AU116="","",DATA!EC65)</f>
        <v/>
      </c>
      <c r="BU116" s="171" t="str">
        <f ca="1">IF($AU116="","",DATA!EF65)</f>
        <v/>
      </c>
      <c r="BV116" s="113" t="str">
        <f t="shared" ca="1" si="10"/>
        <v/>
      </c>
      <c r="BW116" s="680" t="str">
        <f ca="1">IF(AU116="","",OFFSET(DATA!DC65,0,'Intermediate Data'!$AX$48))</f>
        <v/>
      </c>
      <c r="BX116" s="681" t="str">
        <f ca="1">IF($AU116="","",DATA!DG65)</f>
        <v/>
      </c>
      <c r="BY116" s="680" t="str">
        <f ca="1">IF($AU116="","",OFFSET(DATA!DE65,0,'Intermediate Data'!$AX$48))</f>
        <v/>
      </c>
      <c r="BZ116" s="681" t="str">
        <f ca="1">IF($AU116="","",DATA!DH65)</f>
        <v/>
      </c>
      <c r="CA116" s="90" t="str">
        <f t="shared" ca="1" si="11"/>
        <v/>
      </c>
      <c r="CB116" s="99" t="str">
        <f t="shared" ca="1" si="12"/>
        <v/>
      </c>
      <c r="CC116" s="90" t="str">
        <f t="shared" ca="1" si="13"/>
        <v/>
      </c>
      <c r="CD116" s="90" t="str">
        <f t="shared" ca="1" si="14"/>
        <v/>
      </c>
      <c r="CF116" s="90" t="str">
        <f ca="1">IF($CD116="","",IF(OFFSET(AV$55,'Intermediate Data'!$CD116,0)=-98,"Unknown",IF(OFFSET(AV$55,'Intermediate Data'!$CD116,0)=-99,"N/A",OFFSET(AV$55,'Intermediate Data'!$CD116,0))))</f>
        <v/>
      </c>
      <c r="CG116" s="90" t="str">
        <f ca="1">IF($CD116="","",IF(OFFSET(AW$55,'Intermediate Data'!$CD116,0)=-98,"",IF(OFFSET(AW$55,'Intermediate Data'!$CD116,0)=-99,"N/A",OFFSET(AW$55,'Intermediate Data'!$CD116,0))))</f>
        <v/>
      </c>
      <c r="CH116" s="90" t="str">
        <f ca="1">IF($CD116="","",IF(OFFSET(AX$55,'Intermediate Data'!$CD116,0)=-98,"Unknown",IF(OFFSET(AX$55,'Intermediate Data'!$CD116,0)=-99,"N/A",OFFSET(AX$55,'Intermediate Data'!$CD116,0))))</f>
        <v/>
      </c>
      <c r="CI116" s="125" t="str">
        <f ca="1">IF($CD116="","",IF(OFFSET(AY$55,'Intermediate Data'!$CD116,0)=-98,"Unknown",IF(OFFSET(AY$55,'Intermediate Data'!$CD116,0)=-99,"No spec",OFFSET(AY$55,'Intermediate Data'!$CD116,0))))</f>
        <v/>
      </c>
      <c r="CJ116" s="125" t="str">
        <f ca="1">IF($CD116="","",IF(OFFSET(AZ$55,'Intermediate Data'!$CD116,0)=-98,"Unknown",IF(OFFSET(AZ$55,'Intermediate Data'!$CD116,0)=-99,"N/A",OFFSET(AZ$55,'Intermediate Data'!$CD116,0))))</f>
        <v/>
      </c>
      <c r="CK116" s="90" t="str">
        <f ca="1">IF($CD116="","",IF(OFFSET(BA$55,'Intermediate Data'!$CD116,0)=-98,"Unknown",IF(OFFSET(BA$55,'Intermediate Data'!$CD116,0)=-99,"N/A",OFFSET(BA$55,'Intermediate Data'!$CD116,0))))</f>
        <v/>
      </c>
      <c r="CL116" s="90" t="str">
        <f ca="1">IF($CD116="","",IF(OFFSET(BB$55,'Intermediate Data'!$CD116,$AX$50)=-98,"Unknown",IF(OFFSET(BB$55,'Intermediate Data'!$CD116,$AX$50)="N/A","",OFFSET(BB$55,'Intermediate Data'!$CD116,$AX$50))))</f>
        <v/>
      </c>
      <c r="CM116" s="90" t="str">
        <f ca="1">IF($CD116="","",IF(OFFSET(BG$55,'Intermediate Data'!$CD116,0)="ET","ET",""))</f>
        <v/>
      </c>
      <c r="CN116" s="90" t="str">
        <f ca="1">IF($CD116="","",IF(OFFSET(BH$55,'Intermediate Data'!$CD116,$AX$50)=-98,"Unknown",IF(OFFSET(BH$55,'Intermediate Data'!$CD116,$AX$50)="N/A","",OFFSET(BH$55,'Intermediate Data'!$CD116,$AX$50))))</f>
        <v/>
      </c>
      <c r="CO116" s="90" t="str">
        <f ca="1">IF($CD116="","",IF(OFFSET(BM$55,'Intermediate Data'!$CD116,0)=-98,"Not published",IF(OFFSET(BM$55,'Intermediate Data'!$CD116,0)=-99,"No spec",OFFSET(BM$55,'Intermediate Data'!$CD116,0))))</f>
        <v/>
      </c>
      <c r="CP116" s="114" t="str">
        <f ca="1">IF($CD116="","",IF(OFFSET(BN$55,'Intermediate Data'!$CD116,0)=-98,"Unknown",IF(OFFSET(BN$55,'Intermediate Data'!$CD116,0)=-99,"N/A",OFFSET(BN$55,'Intermediate Data'!$CD116,0))))</f>
        <v/>
      </c>
      <c r="CQ116" s="114" t="str">
        <f ca="1">IF($CD116="","",IF(OFFSET(BO$55,'Intermediate Data'!$CD116,0)=-98,"Unknown",IF(OFFSET(BO$55,'Intermediate Data'!$CD116,0)=-99,"N/A",OFFSET(BO$55,'Intermediate Data'!$CD116,0))))</f>
        <v/>
      </c>
      <c r="CR116" s="114" t="str">
        <f ca="1">IF($CD116="","",IF(OFFSET(BP$55,'Intermediate Data'!$CD116,0)=-98,"Unknown",IF(OFFSET(BP$55,'Intermediate Data'!$CD116,0)=-99,"N/A",OFFSET(BP$55,'Intermediate Data'!$CD116,0))))</f>
        <v/>
      </c>
      <c r="CS116" s="114" t="str">
        <f ca="1">IF($CD116="","",IF(OFFSET(BQ$55,'Intermediate Data'!$CD116,0)=-98,"Unknown",IF(OFFSET(BQ$55,'Intermediate Data'!$CD116,0)=-99,"N/A",OFFSET(BQ$55,'Intermediate Data'!$CD116,0))))</f>
        <v/>
      </c>
      <c r="CT116" s="114" t="str">
        <f ca="1">IF($CD116="","",IF(OFFSET(BR$55,'Intermediate Data'!$CD116,0)=-98,"Unknown",IF(OFFSET(BR$55,'Intermediate Data'!$CD116,0)=-99,"N/A",OFFSET(BR$55,'Intermediate Data'!$CD116,0))))</f>
        <v/>
      </c>
      <c r="CU116" s="114" t="str">
        <f ca="1">IF($CD116="","",IF(OFFSET(BS$55,'Intermediate Data'!$CD116,0)=-98,"Unknown",IF(OFFSET(BS$55,'Intermediate Data'!$CD116,0)=-99,"N/A",OFFSET(BS$55,'Intermediate Data'!$CD116,0))))</f>
        <v/>
      </c>
      <c r="CV116" s="114" t="str">
        <f ca="1">IF($CD116="","",IF(OFFSET(BT$55,'Intermediate Data'!$CD116,0)=-98,"Unknown",IF(OFFSET(BT$55,'Intermediate Data'!$CD116,0)=-99,"N/A",OFFSET(BT$55,'Intermediate Data'!$CD116,0))))</f>
        <v/>
      </c>
      <c r="CW116" s="114" t="str">
        <f ca="1">IF($CD116="","",IF(OFFSET(BU$55,'Intermediate Data'!$CD116,0)=-98,"Unknown",IF(OFFSET(BU$55,'Intermediate Data'!$CD116,0)=-99,"N/A",OFFSET(BU$55,'Intermediate Data'!$CD116,0))))</f>
        <v/>
      </c>
      <c r="CX116" s="114" t="str">
        <f ca="1">IF($CD116="","",IF(OFFSET(BV$55,'Intermediate Data'!$CD116,0)=-98,"Unknown",IF(OFFSET(BV$55,'Intermediate Data'!$CD116,0)=-99,"N/A",OFFSET(BV$55,'Intermediate Data'!$CD116,0))))</f>
        <v/>
      </c>
      <c r="CY116" s="682" t="str">
        <f ca="1">IF($CD116="","",IF(OFFSET(BW$55,'Intermediate Data'!$CD116,0)=-98,"Unknown",IF(OFFSET(BW$55,'Intermediate Data'!$CD116,0)="N/A","",OFFSET(BW$55,'Intermediate Data'!$CD116,0))))</f>
        <v/>
      </c>
      <c r="CZ116" s="682" t="str">
        <f ca="1">IF($CD116="","",IF(OFFSET(BX$55,'Intermediate Data'!$CD116,0)=-98,"Unknown",IF(OFFSET(BX$55,'Intermediate Data'!$CD116,0)="N/A","",OFFSET(BX$55,'Intermediate Data'!$CD116,0))))</f>
        <v/>
      </c>
      <c r="DA116" s="682" t="str">
        <f ca="1">IF($CD116="","",IF(OFFSET(BY$55,'Intermediate Data'!$CD116,0)=-98,"Unknown",IF(OFFSET(BY$55,'Intermediate Data'!$CD116,0)="N/A","",OFFSET(BY$55,'Intermediate Data'!$CD116,0))))</f>
        <v/>
      </c>
      <c r="DB116" s="682" t="str">
        <f ca="1">IF($CD116="","",IF(OFFSET(BZ$55,'Intermediate Data'!$CD116,0)=-98,"Unknown",IF(OFFSET(BZ$55,'Intermediate Data'!$CD116,0)="N/A","",OFFSET(BZ$55,'Intermediate Data'!$CD116,0))))</f>
        <v/>
      </c>
    </row>
    <row r="117" spans="1:106" x14ac:dyDescent="0.2">
      <c r="A117" s="90">
        <f ca="1">IF(OFFSET(DATA!F66,0,$D$48)='Intermediate Data'!$E$48,IF(OR($E$49=$C$27,$E$48=$B$4),DATA!A66,IF($G$49=DATA!D66,DATA!A66,"")),"")</f>
        <v>62</v>
      </c>
      <c r="B117" s="90">
        <f ca="1">IF($A117="","",DATA!EH66)</f>
        <v>80</v>
      </c>
      <c r="C117" s="90" t="str">
        <f ca="1">IF($A117="","",DATA!B66)</f>
        <v>Home shop device</v>
      </c>
      <c r="D117" s="90">
        <f ca="1">IF($A117="","",OFFSET(DATA!$H66,0,($D$50*5)))</f>
        <v>-99</v>
      </c>
      <c r="E117" s="90">
        <f ca="1">IF($A117="","",OFFSET(DATA!$H66,0,($D$50*5)+1))</f>
        <v>0.10302462686472426</v>
      </c>
      <c r="F117" s="90">
        <f ca="1">IF($A117="","",OFFSET(DATA!$H66,0,($D$50*5)+2))</f>
        <v>-99</v>
      </c>
      <c r="G117" s="90">
        <f ca="1">IF($A117="","",OFFSET(DATA!$H66,0,($D$50*5)+3))</f>
        <v>0.1034211599950292</v>
      </c>
      <c r="H117" s="90">
        <f ca="1">IF($A117="","",OFFSET(DATA!$H66,0,($D$50*5)+4))</f>
        <v>-99</v>
      </c>
      <c r="I117" s="90">
        <f t="shared" ca="1" si="2"/>
        <v>0.1034211599950292</v>
      </c>
      <c r="J117" s="90" t="str">
        <f t="shared" ca="1" si="3"/>
        <v>RASS</v>
      </c>
      <c r="K117" s="90">
        <f ca="1">IF($A117="","",OFFSET(DATA!$AG66,0,($D$50*5)))</f>
        <v>-99</v>
      </c>
      <c r="L117" s="90">
        <f ca="1">IF($A117="","",OFFSET(DATA!$AG66,0,($D$50*5)+1))</f>
        <v>-99</v>
      </c>
      <c r="M117" s="90">
        <f ca="1">IF($A117="","",OFFSET(DATA!$AG66,0,($D$50*5)+2))</f>
        <v>-99</v>
      </c>
      <c r="N117" s="90">
        <f ca="1">IF($A117="","",OFFSET(DATA!$AG66,0,($D$50*5)+3))</f>
        <v>-99</v>
      </c>
      <c r="O117" s="90">
        <f ca="1">IF($A117="","",OFFSET(DATA!$AG66,0,($D$50*5)+4))</f>
        <v>-99</v>
      </c>
      <c r="P117" s="90">
        <f t="shared" ca="1" si="4"/>
        <v>-99</v>
      </c>
      <c r="Q117" s="90" t="str">
        <f t="shared" ca="1" si="5"/>
        <v/>
      </c>
      <c r="R117" s="699">
        <f ca="1">IF($A117="","",IF(DATA!BF66="",-99,DATA!BF66))</f>
        <v>-99</v>
      </c>
      <c r="S117" s="90">
        <f ca="1">IF($A117="","",IF(DATA!BG66="",-99,DATA!BF66-DATA!BG66))</f>
        <v>-99</v>
      </c>
      <c r="T117" s="90">
        <f ca="1">IF($A117="","",DATA!BH66)</f>
        <v>-99</v>
      </c>
      <c r="U117" s="90">
        <f ca="1">IF($A117="","",OFFSET(DATA!BM66,0,$D$48))</f>
        <v>-99</v>
      </c>
      <c r="V117" s="90">
        <f t="shared" ca="1" si="15"/>
        <v>80</v>
      </c>
      <c r="W117" s="99">
        <f t="shared" ca="1" si="7"/>
        <v>79.999910932156695</v>
      </c>
      <c r="X117" s="112">
        <f t="shared" ca="1" si="8"/>
        <v>69.99988120142001</v>
      </c>
      <c r="Y117" s="90">
        <f t="shared" ca="1" si="9"/>
        <v>87</v>
      </c>
      <c r="AA117" s="90" t="str">
        <f ca="1">IF($Y117="","",IF(OFFSET(C$55,'Intermediate Data'!$Y117,0)=-98,"Unknown",IF(OFFSET(C$55,'Intermediate Data'!$Y117,0)=-99,"N/A",OFFSET(C$55,'Intermediate Data'!$Y117,0))))</f>
        <v>Interior lighting fixtures</v>
      </c>
      <c r="AB117" s="90" t="str">
        <f ca="1">IF($Y117="","",IF(OFFSET(D$55,'Intermediate Data'!$Y117,0)=-98,"N/A",IF(OFFSET(D$55,'Intermediate Data'!$Y117,0)=-99,"N/A",OFFSET(D$55,'Intermediate Data'!$Y117,0))))</f>
        <v>N/A</v>
      </c>
      <c r="AC117" s="90" t="str">
        <f ca="1">IF($Y117="","",IF(OFFSET(E$55,'Intermediate Data'!$Y117,0)=-98,"N/A",IF(OFFSET(E$55,'Intermediate Data'!$Y117,0)=-99,"N/A",OFFSET(E$55,'Intermediate Data'!$Y117,0))))</f>
        <v>N/A</v>
      </c>
      <c r="AD117" s="90" t="str">
        <f ca="1">IF($Y117="","",IF(OFFSET(F$55,'Intermediate Data'!$Y117,0)=-98,"N/A",IF(OFFSET(F$55,'Intermediate Data'!$Y117,0)=-99,"N/A",OFFSET(F$55,'Intermediate Data'!$Y117,0))))</f>
        <v>N/A</v>
      </c>
      <c r="AE117" s="90" t="str">
        <f ca="1">IF($Y117="","",IF(OFFSET(G$55,'Intermediate Data'!$Y117,0)=-98,"N/A",IF(OFFSET(G$55,'Intermediate Data'!$Y117,0)=-99,"N/A",OFFSET(G$55,'Intermediate Data'!$Y117,0))))</f>
        <v>N/A</v>
      </c>
      <c r="AF117" s="90" t="str">
        <f ca="1">IF($Y117="","",IF(OFFSET(H$55,'Intermediate Data'!$Y117,0)=-98,"N/A",IF(OFFSET(H$55,'Intermediate Data'!$Y117,0)=-99,"N/A",OFFSET(H$55,'Intermediate Data'!$Y117,0))))</f>
        <v>N/A</v>
      </c>
      <c r="AG117" s="90" t="str">
        <f ca="1">IF($Y117="","",IF(OFFSET(I$55,'Intermediate Data'!$Y117,0)=-98,"N/A",IF(OFFSET(I$55,'Intermediate Data'!$Y117,0)=-99,"N/A",OFFSET(I$55,'Intermediate Data'!$Y117,0))))</f>
        <v>N/A</v>
      </c>
      <c r="AH117" s="90" t="str">
        <f ca="1">IF($Y117="","",IF(OFFSET(J$55,'Intermediate Data'!$Y117,0)=-98,"N/A",IF(OFFSET(J$55,'Intermediate Data'!$Y117,0)=-99,"N/A",OFFSET(J$55,'Intermediate Data'!$Y117,0))))</f>
        <v/>
      </c>
      <c r="AI117" s="90" t="str">
        <f ca="1">IF($Y117="","",IF(OFFSET(K$55,'Intermediate Data'!$Y117,0)=-98,"N/A",IF(OFFSET(K$55,'Intermediate Data'!$Y117,0)=-99,"N/A",OFFSET(K$55,'Intermediate Data'!$Y117,0))))</f>
        <v>N/A</v>
      </c>
      <c r="AJ117" s="90" t="str">
        <f ca="1">IF($Y117="","",IF(OFFSET(L$55,'Intermediate Data'!$Y117,0)=-98,"N/A",IF(OFFSET(L$55,'Intermediate Data'!$Y117,0)=-99,"N/A",OFFSET(L$55,'Intermediate Data'!$Y117,0))))</f>
        <v>N/A</v>
      </c>
      <c r="AK117" s="90" t="str">
        <f ca="1">IF($Y117="","",IF(OFFSET(M$55,'Intermediate Data'!$Y117,0)=-98,"N/A",IF(OFFSET(M$55,'Intermediate Data'!$Y117,0)=-99,"N/A",OFFSET(M$55,'Intermediate Data'!$Y117,0))))</f>
        <v>N/A</v>
      </c>
      <c r="AL117" s="90" t="str">
        <f ca="1">IF($Y117="","",IF(OFFSET(N$55,'Intermediate Data'!$Y117,0)=-98,"N/A",IF(OFFSET(N$55,'Intermediate Data'!$Y117,0)=-99,"N/A",OFFSET(N$55,'Intermediate Data'!$Y117,0))))</f>
        <v>N/A</v>
      </c>
      <c r="AM117" s="90" t="str">
        <f ca="1">IF($Y117="","",IF(OFFSET(O$55,'Intermediate Data'!$Y117,0)=-98,"N/A",IF(OFFSET(O$55,'Intermediate Data'!$Y117,0)=-99,"N/A",OFFSET(O$55,'Intermediate Data'!$Y117,0))))</f>
        <v>N/A</v>
      </c>
      <c r="AN117" s="90" t="str">
        <f ca="1">IF($Y117="","",IF(OFFSET(P$55,'Intermediate Data'!$Y117,0)=-98,"N/A",IF(OFFSET(P$55,'Intermediate Data'!$Y117,0)=-99,"N/A",OFFSET(P$55,'Intermediate Data'!$Y117,0))))</f>
        <v>N/A</v>
      </c>
      <c r="AO117" s="90" t="str">
        <f ca="1">IF($Y117="","",IF(OFFSET(Q$55,'Intermediate Data'!$Y117,0)=-98,"N/A",IF(OFFSET(Q$55,'Intermediate Data'!$Y117,0)=-99,"N/A",OFFSET(Q$55,'Intermediate Data'!$Y117,0))))</f>
        <v/>
      </c>
      <c r="AP117" s="697" t="str">
        <f ca="1">IF($Y117="","",IF(OFFSET(S$55,'Intermediate Data'!$Y117,0)=-98,"",IF(OFFSET(S$55,'Intermediate Data'!$Y117,0)=-99,"",OFFSET(S$55,'Intermediate Data'!$Y117,0))))</f>
        <v/>
      </c>
      <c r="AQ117" s="90" t="str">
        <f ca="1">IF($Y117="","",IF(OFFSET(T$55,'Intermediate Data'!$Y117,0)=-98,"Not published",IF(OFFSET(T$55,'Intermediate Data'!$Y117,0)=-99,"",OFFSET(T$55,'Intermediate Data'!$Y117,0))))</f>
        <v/>
      </c>
      <c r="AR117" s="90" t="str">
        <f ca="1">IF($Y117="","",IF(OFFSET(U$55,'Intermediate Data'!$Y117,0)=-98,"Unknown",IF(OFFSET(U$55,'Intermediate Data'!$Y117,0)=-99,"",OFFSET(U$55,'Intermediate Data'!$Y117,0))))</f>
        <v/>
      </c>
      <c r="AU117" s="112" t="str">
        <f ca="1">IF(AND(OFFSET(DATA!$F66,0,$AX$48)='Intermediate Data'!$AY$48,DATA!$E66="Tier 1"),IF(OR($AX$49=0,$AX$48=1),DATA!A66,IF(AND($AX$49=1,INDEX('Intermediate Data'!$AY$25:$AY$44,MATCH(DATA!$B66,'Intermediate Data'!$AX$25:$AX$44,0))=TRUE),DATA!A66,"")),"")</f>
        <v/>
      </c>
      <c r="AV117" s="112" t="str">
        <f ca="1">IF($AU117="","",DATA!B66)</f>
        <v/>
      </c>
      <c r="AW117" s="112" t="str">
        <f ca="1">IF(OR($AU117="",DATA!BI66=""),"",DATA!BI66)</f>
        <v/>
      </c>
      <c r="AX117" s="112" t="str">
        <f ca="1">IF(OR($AU117="",OFFSET(DATA!BK66,0,$AX$48)=""),"",OFFSET(DATA!BK66,0,$AX$48))</f>
        <v/>
      </c>
      <c r="AY117" s="112" t="str">
        <f ca="1">IF(OR($AU117="",OFFSET(DATA!BM66,0,$AX$48)=""),"",OFFSET(DATA!BM66,0,$AX$48))</f>
        <v/>
      </c>
      <c r="AZ117" s="112" t="str">
        <f ca="1">IF(OR($AU117="",OFFSET(DATA!BO66,0,'Intermediate Data'!$AX$48)=""),"",OFFSET(DATA!BO66,0,$AX$48))</f>
        <v/>
      </c>
      <c r="BA117" s="112" t="str">
        <f ca="1">IF(OR($AU117="",DATA!BQ66=""),"",DATA!BQ66)</f>
        <v/>
      </c>
      <c r="BB117" s="112" t="str">
        <f ca="1">IF($AU117="","",OFFSET(DATA!BS66,0,$AX$48))</f>
        <v/>
      </c>
      <c r="BC117" s="112" t="str">
        <f ca="1">IF($AU117="","",OFFSET(DATA!BU66,0,$AX$48))</f>
        <v/>
      </c>
      <c r="BD117" s="112" t="str">
        <f ca="1">IF($AU117="","",OFFSET(DATA!BW66,0,$AX$48))</f>
        <v/>
      </c>
      <c r="BE117" s="112" t="str">
        <f ca="1">IF($AU117="","",OFFSET(DATA!BY66,0,$AX$48))</f>
        <v/>
      </c>
      <c r="BF117" s="112" t="str">
        <f ca="1">IF($AU117="","",OFFSET(DATA!CA66,0,$AX$48))</f>
        <v/>
      </c>
      <c r="BG117" s="112" t="str">
        <f ca="1">IF($AU117="","",DATA!CC66)</f>
        <v/>
      </c>
      <c r="BH117" s="112" t="str">
        <f ca="1">IF($AU117="","",OFFSET(DATA!CE66,0,$AX$48))</f>
        <v/>
      </c>
      <c r="BI117" s="112" t="str">
        <f ca="1">IF($AU117="","",OFFSET(DATA!CG66,0,$AX$48))</f>
        <v/>
      </c>
      <c r="BJ117" s="112" t="str">
        <f ca="1">IF($AU117="","",OFFSET(DATA!CI66,0,$AX$48))</f>
        <v/>
      </c>
      <c r="BK117" s="112" t="str">
        <f ca="1">IF($AU117="","",OFFSET(DATA!CK66,0,$AX$48))</f>
        <v/>
      </c>
      <c r="BL117" s="112" t="str">
        <f ca="1">IF($AU117="","",OFFSET(DATA!CM66,0,$AX$48))</f>
        <v/>
      </c>
      <c r="BM117" s="112" t="str">
        <f ca="1">IF($AU117="","",DATA!BH66)</f>
        <v/>
      </c>
      <c r="BN117" s="112" t="str">
        <f ca="1">IF($AU117="","",DATA!DS66)</f>
        <v/>
      </c>
      <c r="BO117" s="112" t="str">
        <f ca="1">IF($AU117="","",DATA!DU66)</f>
        <v/>
      </c>
      <c r="BP117" s="112" t="str">
        <f ca="1">IF($AU117="","",DATA!DV66)</f>
        <v/>
      </c>
      <c r="BQ117" s="112" t="str">
        <f ca="1">IF($AU117="","",DATA!DX66)</f>
        <v/>
      </c>
      <c r="BR117" s="112" t="str">
        <f ca="1">IF($AU117="","",DATA!DZ66)</f>
        <v/>
      </c>
      <c r="BS117" s="171" t="str">
        <f ca="1">IF($AU117="","",DATA!EA66)</f>
        <v/>
      </c>
      <c r="BT117" s="171" t="str">
        <f ca="1">IF($AU117="","",DATA!EC66)</f>
        <v/>
      </c>
      <c r="BU117" s="171" t="str">
        <f ca="1">IF($AU117="","",DATA!EF66)</f>
        <v/>
      </c>
      <c r="BV117" s="113" t="str">
        <f t="shared" ca="1" si="10"/>
        <v/>
      </c>
      <c r="BW117" s="680" t="str">
        <f ca="1">IF(AU117="","",OFFSET(DATA!DC66,0,'Intermediate Data'!$AX$48))</f>
        <v/>
      </c>
      <c r="BX117" s="681" t="str">
        <f ca="1">IF($AU117="","",DATA!DG66)</f>
        <v/>
      </c>
      <c r="BY117" s="680" t="str">
        <f ca="1">IF($AU117="","",OFFSET(DATA!DE66,0,'Intermediate Data'!$AX$48))</f>
        <v/>
      </c>
      <c r="BZ117" s="681" t="str">
        <f ca="1">IF($AU117="","",DATA!DH66)</f>
        <v/>
      </c>
      <c r="CA117" s="90" t="str">
        <f t="shared" ca="1" si="11"/>
        <v/>
      </c>
      <c r="CB117" s="99" t="str">
        <f t="shared" ca="1" si="12"/>
        <v/>
      </c>
      <c r="CC117" s="90" t="str">
        <f t="shared" ca="1" si="13"/>
        <v/>
      </c>
      <c r="CD117" s="90" t="str">
        <f t="shared" ca="1" si="14"/>
        <v/>
      </c>
      <c r="CF117" s="90" t="str">
        <f ca="1">IF($CD117="","",IF(OFFSET(AV$55,'Intermediate Data'!$CD117,0)=-98,"Unknown",IF(OFFSET(AV$55,'Intermediate Data'!$CD117,0)=-99,"N/A",OFFSET(AV$55,'Intermediate Data'!$CD117,0))))</f>
        <v/>
      </c>
      <c r="CG117" s="90" t="str">
        <f ca="1">IF($CD117="","",IF(OFFSET(AW$55,'Intermediate Data'!$CD117,0)=-98,"",IF(OFFSET(AW$55,'Intermediate Data'!$CD117,0)=-99,"N/A",OFFSET(AW$55,'Intermediate Data'!$CD117,0))))</f>
        <v/>
      </c>
      <c r="CH117" s="90" t="str">
        <f ca="1">IF($CD117="","",IF(OFFSET(AX$55,'Intermediate Data'!$CD117,0)=-98,"Unknown",IF(OFFSET(AX$55,'Intermediate Data'!$CD117,0)=-99,"N/A",OFFSET(AX$55,'Intermediate Data'!$CD117,0))))</f>
        <v/>
      </c>
      <c r="CI117" s="125" t="str">
        <f ca="1">IF($CD117="","",IF(OFFSET(AY$55,'Intermediate Data'!$CD117,0)=-98,"Unknown",IF(OFFSET(AY$55,'Intermediate Data'!$CD117,0)=-99,"No spec",OFFSET(AY$55,'Intermediate Data'!$CD117,0))))</f>
        <v/>
      </c>
      <c r="CJ117" s="125" t="str">
        <f ca="1">IF($CD117="","",IF(OFFSET(AZ$55,'Intermediate Data'!$CD117,0)=-98,"Unknown",IF(OFFSET(AZ$55,'Intermediate Data'!$CD117,0)=-99,"N/A",OFFSET(AZ$55,'Intermediate Data'!$CD117,0))))</f>
        <v/>
      </c>
      <c r="CK117" s="90" t="str">
        <f ca="1">IF($CD117="","",IF(OFFSET(BA$55,'Intermediate Data'!$CD117,0)=-98,"Unknown",IF(OFFSET(BA$55,'Intermediate Data'!$CD117,0)=-99,"N/A",OFFSET(BA$55,'Intermediate Data'!$CD117,0))))</f>
        <v/>
      </c>
      <c r="CL117" s="90" t="str">
        <f ca="1">IF($CD117="","",IF(OFFSET(BB$55,'Intermediate Data'!$CD117,$AX$50)=-98,"Unknown",IF(OFFSET(BB$55,'Intermediate Data'!$CD117,$AX$50)="N/A","",OFFSET(BB$55,'Intermediate Data'!$CD117,$AX$50))))</f>
        <v/>
      </c>
      <c r="CM117" s="90" t="str">
        <f ca="1">IF($CD117="","",IF(OFFSET(BG$55,'Intermediate Data'!$CD117,0)="ET","ET",""))</f>
        <v/>
      </c>
      <c r="CN117" s="90" t="str">
        <f ca="1">IF($CD117="","",IF(OFFSET(BH$55,'Intermediate Data'!$CD117,$AX$50)=-98,"Unknown",IF(OFFSET(BH$55,'Intermediate Data'!$CD117,$AX$50)="N/A","",OFFSET(BH$55,'Intermediate Data'!$CD117,$AX$50))))</f>
        <v/>
      </c>
      <c r="CO117" s="90" t="str">
        <f ca="1">IF($CD117="","",IF(OFFSET(BM$55,'Intermediate Data'!$CD117,0)=-98,"Not published",IF(OFFSET(BM$55,'Intermediate Data'!$CD117,0)=-99,"No spec",OFFSET(BM$55,'Intermediate Data'!$CD117,0))))</f>
        <v/>
      </c>
      <c r="CP117" s="114" t="str">
        <f ca="1">IF($CD117="","",IF(OFFSET(BN$55,'Intermediate Data'!$CD117,0)=-98,"Unknown",IF(OFFSET(BN$55,'Intermediate Data'!$CD117,0)=-99,"N/A",OFFSET(BN$55,'Intermediate Data'!$CD117,0))))</f>
        <v/>
      </c>
      <c r="CQ117" s="114" t="str">
        <f ca="1">IF($CD117="","",IF(OFFSET(BO$55,'Intermediate Data'!$CD117,0)=-98,"Unknown",IF(OFFSET(BO$55,'Intermediate Data'!$CD117,0)=-99,"N/A",OFFSET(BO$55,'Intermediate Data'!$CD117,0))))</f>
        <v/>
      </c>
      <c r="CR117" s="114" t="str">
        <f ca="1">IF($CD117="","",IF(OFFSET(BP$55,'Intermediate Data'!$CD117,0)=-98,"Unknown",IF(OFFSET(BP$55,'Intermediate Data'!$CD117,0)=-99,"N/A",OFFSET(BP$55,'Intermediate Data'!$CD117,0))))</f>
        <v/>
      </c>
      <c r="CS117" s="114" t="str">
        <f ca="1">IF($CD117="","",IF(OFFSET(BQ$55,'Intermediate Data'!$CD117,0)=-98,"Unknown",IF(OFFSET(BQ$55,'Intermediate Data'!$CD117,0)=-99,"N/A",OFFSET(BQ$55,'Intermediate Data'!$CD117,0))))</f>
        <v/>
      </c>
      <c r="CT117" s="114" t="str">
        <f ca="1">IF($CD117="","",IF(OFFSET(BR$55,'Intermediate Data'!$CD117,0)=-98,"Unknown",IF(OFFSET(BR$55,'Intermediate Data'!$CD117,0)=-99,"N/A",OFFSET(BR$55,'Intermediate Data'!$CD117,0))))</f>
        <v/>
      </c>
      <c r="CU117" s="114" t="str">
        <f ca="1">IF($CD117="","",IF(OFFSET(BS$55,'Intermediate Data'!$CD117,0)=-98,"Unknown",IF(OFFSET(BS$55,'Intermediate Data'!$CD117,0)=-99,"N/A",OFFSET(BS$55,'Intermediate Data'!$CD117,0))))</f>
        <v/>
      </c>
      <c r="CV117" s="114" t="str">
        <f ca="1">IF($CD117="","",IF(OFFSET(BT$55,'Intermediate Data'!$CD117,0)=-98,"Unknown",IF(OFFSET(BT$55,'Intermediate Data'!$CD117,0)=-99,"N/A",OFFSET(BT$55,'Intermediate Data'!$CD117,0))))</f>
        <v/>
      </c>
      <c r="CW117" s="114" t="str">
        <f ca="1">IF($CD117="","",IF(OFFSET(BU$55,'Intermediate Data'!$CD117,0)=-98,"Unknown",IF(OFFSET(BU$55,'Intermediate Data'!$CD117,0)=-99,"N/A",OFFSET(BU$55,'Intermediate Data'!$CD117,0))))</f>
        <v/>
      </c>
      <c r="CX117" s="114" t="str">
        <f ca="1">IF($CD117="","",IF(OFFSET(BV$55,'Intermediate Data'!$CD117,0)=-98,"Unknown",IF(OFFSET(BV$55,'Intermediate Data'!$CD117,0)=-99,"N/A",OFFSET(BV$55,'Intermediate Data'!$CD117,0))))</f>
        <v/>
      </c>
      <c r="CY117" s="682" t="str">
        <f ca="1">IF($CD117="","",IF(OFFSET(BW$55,'Intermediate Data'!$CD117,0)=-98,"Unknown",IF(OFFSET(BW$55,'Intermediate Data'!$CD117,0)="N/A","",OFFSET(BW$55,'Intermediate Data'!$CD117,0))))</f>
        <v/>
      </c>
      <c r="CZ117" s="682" t="str">
        <f ca="1">IF($CD117="","",IF(OFFSET(BX$55,'Intermediate Data'!$CD117,0)=-98,"Unknown",IF(OFFSET(BX$55,'Intermediate Data'!$CD117,0)="N/A","",OFFSET(BX$55,'Intermediate Data'!$CD117,0))))</f>
        <v/>
      </c>
      <c r="DA117" s="682" t="str">
        <f ca="1">IF($CD117="","",IF(OFFSET(BY$55,'Intermediate Data'!$CD117,0)=-98,"Unknown",IF(OFFSET(BY$55,'Intermediate Data'!$CD117,0)="N/A","",OFFSET(BY$55,'Intermediate Data'!$CD117,0))))</f>
        <v/>
      </c>
      <c r="DB117" s="682" t="str">
        <f ca="1">IF($CD117="","",IF(OFFSET(BZ$55,'Intermediate Data'!$CD117,0)=-98,"Unknown",IF(OFFSET(BZ$55,'Intermediate Data'!$CD117,0)="N/A","",OFFSET(BZ$55,'Intermediate Data'!$CD117,0))))</f>
        <v/>
      </c>
    </row>
    <row r="118" spans="1:106" x14ac:dyDescent="0.2">
      <c r="A118" s="90">
        <f ca="1">IF(OFFSET(DATA!F67,0,$D$48)='Intermediate Data'!$E$48,IF(OR($E$49=$C$27,$E$48=$B$4),DATA!A67,IF($G$49=DATA!D67,DATA!A67,"")),"")</f>
        <v>63</v>
      </c>
      <c r="B118" s="90">
        <f ca="1">IF($A118="","",DATA!EH67)</f>
        <v>64</v>
      </c>
      <c r="C118" s="90" t="str">
        <f ca="1">IF($A118="","",DATA!B67)</f>
        <v>Musical equipment</v>
      </c>
      <c r="D118" s="90">
        <f ca="1">IF($A118="","",OFFSET(DATA!$H67,0,($D$50*5)))</f>
        <v>-99</v>
      </c>
      <c r="E118" s="90">
        <f ca="1">IF($A118="","",OFFSET(DATA!$H67,0,($D$50*5)+1))</f>
        <v>-99</v>
      </c>
      <c r="F118" s="90">
        <f ca="1">IF($A118="","",OFFSET(DATA!$H67,0,($D$50*5)+2))</f>
        <v>-99</v>
      </c>
      <c r="G118" s="90">
        <f ca="1">IF($A118="","",OFFSET(DATA!$H67,0,($D$50*5)+3))</f>
        <v>-99</v>
      </c>
      <c r="H118" s="90">
        <f ca="1">IF($A118="","",OFFSET(DATA!$H67,0,($D$50*5)+4))</f>
        <v>-99</v>
      </c>
      <c r="I118" s="90">
        <f t="shared" ca="1" si="2"/>
        <v>-99</v>
      </c>
      <c r="J118" s="90" t="str">
        <f t="shared" ca="1" si="3"/>
        <v/>
      </c>
      <c r="K118" s="90">
        <f ca="1">IF($A118="","",OFFSET(DATA!$AG67,0,($D$50*5)))</f>
        <v>-99</v>
      </c>
      <c r="L118" s="90">
        <f ca="1">IF($A118="","",OFFSET(DATA!$AG67,0,($D$50*5)+1))</f>
        <v>-99</v>
      </c>
      <c r="M118" s="90">
        <f ca="1">IF($A118="","",OFFSET(DATA!$AG67,0,($D$50*5)+2))</f>
        <v>-99</v>
      </c>
      <c r="N118" s="90">
        <f ca="1">IF($A118="","",OFFSET(DATA!$AG67,0,($D$50*5)+3))</f>
        <v>-99</v>
      </c>
      <c r="O118" s="90">
        <f ca="1">IF($A118="","",OFFSET(DATA!$AG67,0,($D$50*5)+4))</f>
        <v>-99</v>
      </c>
      <c r="P118" s="90">
        <f t="shared" ca="1" si="4"/>
        <v>-99</v>
      </c>
      <c r="Q118" s="90" t="str">
        <f t="shared" ca="1" si="5"/>
        <v/>
      </c>
      <c r="R118" s="699">
        <f ca="1">IF($A118="","",IF(DATA!BF67="",-99,DATA!BF67))</f>
        <v>-99</v>
      </c>
      <c r="S118" s="90">
        <f ca="1">IF($A118="","",IF(DATA!BG67="",-99,DATA!BF67-DATA!BG67))</f>
        <v>-99</v>
      </c>
      <c r="T118" s="90">
        <f ca="1">IF($A118="","",DATA!BH67)</f>
        <v>-99</v>
      </c>
      <c r="U118" s="90">
        <f ca="1">IF($A118="","",OFFSET(DATA!BM67,0,$D$48))</f>
        <v>-99</v>
      </c>
      <c r="V118" s="90">
        <f t="shared" ca="1" si="15"/>
        <v>64</v>
      </c>
      <c r="W118" s="99">
        <f t="shared" ca="1" si="7"/>
        <v>63.999881201179996</v>
      </c>
      <c r="X118" s="112">
        <f t="shared" ca="1" si="8"/>
        <v>68.999881201860006</v>
      </c>
      <c r="Y118" s="90">
        <f t="shared" ca="1" si="9"/>
        <v>131</v>
      </c>
      <c r="AA118" s="90" t="str">
        <f ca="1">IF($Y118="","",IF(OFFSET(C$55,'Intermediate Data'!$Y118,0)=-98,"Unknown",IF(OFFSET(C$55,'Intermediate Data'!$Y118,0)=-99,"N/A",OFFSET(C$55,'Intermediate Data'!$Y118,0))))</f>
        <v>Irrigation system</v>
      </c>
      <c r="AB118" s="90" t="str">
        <f ca="1">IF($Y118="","",IF(OFFSET(D$55,'Intermediate Data'!$Y118,0)=-98,"N/A",IF(OFFSET(D$55,'Intermediate Data'!$Y118,0)=-99,"N/A",OFFSET(D$55,'Intermediate Data'!$Y118,0))))</f>
        <v>N/A</v>
      </c>
      <c r="AC118" s="90" t="str">
        <f ca="1">IF($Y118="","",IF(OFFSET(E$55,'Intermediate Data'!$Y118,0)=-98,"N/A",IF(OFFSET(E$55,'Intermediate Data'!$Y118,0)=-99,"N/A",OFFSET(E$55,'Intermediate Data'!$Y118,0))))</f>
        <v>N/A</v>
      </c>
      <c r="AD118" s="90" t="str">
        <f ca="1">IF($Y118="","",IF(OFFSET(F$55,'Intermediate Data'!$Y118,0)=-98,"N/A",IF(OFFSET(F$55,'Intermediate Data'!$Y118,0)=-99,"N/A",OFFSET(F$55,'Intermediate Data'!$Y118,0))))</f>
        <v>N/A</v>
      </c>
      <c r="AE118" s="90" t="str">
        <f ca="1">IF($Y118="","",IF(OFFSET(G$55,'Intermediate Data'!$Y118,0)=-98,"N/A",IF(OFFSET(G$55,'Intermediate Data'!$Y118,0)=-99,"N/A",OFFSET(G$55,'Intermediate Data'!$Y118,0))))</f>
        <v>N/A</v>
      </c>
      <c r="AF118" s="90" t="str">
        <f ca="1">IF($Y118="","",IF(OFFSET(H$55,'Intermediate Data'!$Y118,0)=-98,"N/A",IF(OFFSET(H$55,'Intermediate Data'!$Y118,0)=-99,"N/A",OFFSET(H$55,'Intermediate Data'!$Y118,0))))</f>
        <v>N/A</v>
      </c>
      <c r="AG118" s="90" t="str">
        <f ca="1">IF($Y118="","",IF(OFFSET(I$55,'Intermediate Data'!$Y118,0)=-98,"N/A",IF(OFFSET(I$55,'Intermediate Data'!$Y118,0)=-99,"N/A",OFFSET(I$55,'Intermediate Data'!$Y118,0))))</f>
        <v>N/A</v>
      </c>
      <c r="AH118" s="90" t="str">
        <f ca="1">IF($Y118="","",IF(OFFSET(J$55,'Intermediate Data'!$Y118,0)=-98,"N/A",IF(OFFSET(J$55,'Intermediate Data'!$Y118,0)=-99,"N/A",OFFSET(J$55,'Intermediate Data'!$Y118,0))))</f>
        <v/>
      </c>
      <c r="AI118" s="90" t="str">
        <f ca="1">IF($Y118="","",IF(OFFSET(K$55,'Intermediate Data'!$Y118,0)=-98,"N/A",IF(OFFSET(K$55,'Intermediate Data'!$Y118,0)=-99,"N/A",OFFSET(K$55,'Intermediate Data'!$Y118,0))))</f>
        <v>N/A</v>
      </c>
      <c r="AJ118" s="90" t="str">
        <f ca="1">IF($Y118="","",IF(OFFSET(L$55,'Intermediate Data'!$Y118,0)=-98,"N/A",IF(OFFSET(L$55,'Intermediate Data'!$Y118,0)=-99,"N/A",OFFSET(L$55,'Intermediate Data'!$Y118,0))))</f>
        <v>N/A</v>
      </c>
      <c r="AK118" s="90" t="str">
        <f ca="1">IF($Y118="","",IF(OFFSET(M$55,'Intermediate Data'!$Y118,0)=-98,"N/A",IF(OFFSET(M$55,'Intermediate Data'!$Y118,0)=-99,"N/A",OFFSET(M$55,'Intermediate Data'!$Y118,0))))</f>
        <v>N/A</v>
      </c>
      <c r="AL118" s="90" t="str">
        <f ca="1">IF($Y118="","",IF(OFFSET(N$55,'Intermediate Data'!$Y118,0)=-98,"N/A",IF(OFFSET(N$55,'Intermediate Data'!$Y118,0)=-99,"N/A",OFFSET(N$55,'Intermediate Data'!$Y118,0))))</f>
        <v>N/A</v>
      </c>
      <c r="AM118" s="90" t="str">
        <f ca="1">IF($Y118="","",IF(OFFSET(O$55,'Intermediate Data'!$Y118,0)=-98,"N/A",IF(OFFSET(O$55,'Intermediate Data'!$Y118,0)=-99,"N/A",OFFSET(O$55,'Intermediate Data'!$Y118,0))))</f>
        <v>N/A</v>
      </c>
      <c r="AN118" s="90" t="str">
        <f ca="1">IF($Y118="","",IF(OFFSET(P$55,'Intermediate Data'!$Y118,0)=-98,"N/A",IF(OFFSET(P$55,'Intermediate Data'!$Y118,0)=-99,"N/A",OFFSET(P$55,'Intermediate Data'!$Y118,0))))</f>
        <v>N/A</v>
      </c>
      <c r="AO118" s="90" t="str">
        <f ca="1">IF($Y118="","",IF(OFFSET(Q$55,'Intermediate Data'!$Y118,0)=-98,"N/A",IF(OFFSET(Q$55,'Intermediate Data'!$Y118,0)=-99,"N/A",OFFSET(Q$55,'Intermediate Data'!$Y118,0))))</f>
        <v/>
      </c>
      <c r="AP118" s="697" t="str">
        <f ca="1">IF($Y118="","",IF(OFFSET(S$55,'Intermediate Data'!$Y118,0)=-98,"",IF(OFFSET(S$55,'Intermediate Data'!$Y118,0)=-99,"",OFFSET(S$55,'Intermediate Data'!$Y118,0))))</f>
        <v/>
      </c>
      <c r="AQ118" s="90" t="str">
        <f ca="1">IF($Y118="","",IF(OFFSET(T$55,'Intermediate Data'!$Y118,0)=-98,"Not published",IF(OFFSET(T$55,'Intermediate Data'!$Y118,0)=-99,"",OFFSET(T$55,'Intermediate Data'!$Y118,0))))</f>
        <v/>
      </c>
      <c r="AR118" s="90" t="str">
        <f ca="1">IF($Y118="","",IF(OFFSET(U$55,'Intermediate Data'!$Y118,0)=-98,"Unknown",IF(OFFSET(U$55,'Intermediate Data'!$Y118,0)=-99,"",OFFSET(U$55,'Intermediate Data'!$Y118,0))))</f>
        <v/>
      </c>
      <c r="AU118" s="112" t="str">
        <f ca="1">IF(AND(OFFSET(DATA!$F67,0,$AX$48)='Intermediate Data'!$AY$48,DATA!$E67="Tier 1"),IF(OR($AX$49=0,$AX$48=1),DATA!A67,IF(AND($AX$49=1,INDEX('Intermediate Data'!$AY$25:$AY$44,MATCH(DATA!$B67,'Intermediate Data'!$AX$25:$AX$44,0))=TRUE),DATA!A67,"")),"")</f>
        <v/>
      </c>
      <c r="AV118" s="112" t="str">
        <f ca="1">IF($AU118="","",DATA!B67)</f>
        <v/>
      </c>
      <c r="AW118" s="112" t="str">
        <f ca="1">IF(OR($AU118="",DATA!BI67=""),"",DATA!BI67)</f>
        <v/>
      </c>
      <c r="AX118" s="112" t="str">
        <f ca="1">IF(OR($AU118="",OFFSET(DATA!BK67,0,$AX$48)=""),"",OFFSET(DATA!BK67,0,$AX$48))</f>
        <v/>
      </c>
      <c r="AY118" s="112" t="str">
        <f ca="1">IF(OR($AU118="",OFFSET(DATA!BM67,0,$AX$48)=""),"",OFFSET(DATA!BM67,0,$AX$48))</f>
        <v/>
      </c>
      <c r="AZ118" s="112" t="str">
        <f ca="1">IF(OR($AU118="",OFFSET(DATA!BO67,0,'Intermediate Data'!$AX$48)=""),"",OFFSET(DATA!BO67,0,$AX$48))</f>
        <v/>
      </c>
      <c r="BA118" s="112" t="str">
        <f ca="1">IF(OR($AU118="",DATA!BQ67=""),"",DATA!BQ67)</f>
        <v/>
      </c>
      <c r="BB118" s="112" t="str">
        <f ca="1">IF($AU118="","",OFFSET(DATA!BS67,0,$AX$48))</f>
        <v/>
      </c>
      <c r="BC118" s="112" t="str">
        <f ca="1">IF($AU118="","",OFFSET(DATA!BU67,0,$AX$48))</f>
        <v/>
      </c>
      <c r="BD118" s="112" t="str">
        <f ca="1">IF($AU118="","",OFFSET(DATA!BW67,0,$AX$48))</f>
        <v/>
      </c>
      <c r="BE118" s="112" t="str">
        <f ca="1">IF($AU118="","",OFFSET(DATA!BY67,0,$AX$48))</f>
        <v/>
      </c>
      <c r="BF118" s="112" t="str">
        <f ca="1">IF($AU118="","",OFFSET(DATA!CA67,0,$AX$48))</f>
        <v/>
      </c>
      <c r="BG118" s="112" t="str">
        <f ca="1">IF($AU118="","",DATA!CC67)</f>
        <v/>
      </c>
      <c r="BH118" s="112" t="str">
        <f ca="1">IF($AU118="","",OFFSET(DATA!CE67,0,$AX$48))</f>
        <v/>
      </c>
      <c r="BI118" s="112" t="str">
        <f ca="1">IF($AU118="","",OFFSET(DATA!CG67,0,$AX$48))</f>
        <v/>
      </c>
      <c r="BJ118" s="112" t="str">
        <f ca="1">IF($AU118="","",OFFSET(DATA!CI67,0,$AX$48))</f>
        <v/>
      </c>
      <c r="BK118" s="112" t="str">
        <f ca="1">IF($AU118="","",OFFSET(DATA!CK67,0,$AX$48))</f>
        <v/>
      </c>
      <c r="BL118" s="112" t="str">
        <f ca="1">IF($AU118="","",OFFSET(DATA!CM67,0,$AX$48))</f>
        <v/>
      </c>
      <c r="BM118" s="112" t="str">
        <f ca="1">IF($AU118="","",DATA!BH67)</f>
        <v/>
      </c>
      <c r="BN118" s="112" t="str">
        <f ca="1">IF($AU118="","",DATA!DS67)</f>
        <v/>
      </c>
      <c r="BO118" s="112" t="str">
        <f ca="1">IF($AU118="","",DATA!DU67)</f>
        <v/>
      </c>
      <c r="BP118" s="112" t="str">
        <f ca="1">IF($AU118="","",DATA!DV67)</f>
        <v/>
      </c>
      <c r="BQ118" s="112" t="str">
        <f ca="1">IF($AU118="","",DATA!DX67)</f>
        <v/>
      </c>
      <c r="BR118" s="112" t="str">
        <f ca="1">IF($AU118="","",DATA!DZ67)</f>
        <v/>
      </c>
      <c r="BS118" s="171" t="str">
        <f ca="1">IF($AU118="","",DATA!EA67)</f>
        <v/>
      </c>
      <c r="BT118" s="171" t="str">
        <f ca="1">IF($AU118="","",DATA!EC67)</f>
        <v/>
      </c>
      <c r="BU118" s="171" t="str">
        <f ca="1">IF($AU118="","",DATA!EF67)</f>
        <v/>
      </c>
      <c r="BV118" s="113" t="str">
        <f t="shared" ca="1" si="10"/>
        <v/>
      </c>
      <c r="BW118" s="680" t="str">
        <f ca="1">IF(AU118="","",OFFSET(DATA!DC67,0,'Intermediate Data'!$AX$48))</f>
        <v/>
      </c>
      <c r="BX118" s="681" t="str">
        <f ca="1">IF($AU118="","",DATA!DG67)</f>
        <v/>
      </c>
      <c r="BY118" s="680" t="str">
        <f ca="1">IF($AU118="","",OFFSET(DATA!DE67,0,'Intermediate Data'!$AX$48))</f>
        <v/>
      </c>
      <c r="BZ118" s="681" t="str">
        <f ca="1">IF($AU118="","",DATA!DH67)</f>
        <v/>
      </c>
      <c r="CA118" s="90" t="str">
        <f t="shared" ca="1" si="11"/>
        <v/>
      </c>
      <c r="CB118" s="99" t="str">
        <f t="shared" ca="1" si="12"/>
        <v/>
      </c>
      <c r="CC118" s="90" t="str">
        <f t="shared" ca="1" si="13"/>
        <v/>
      </c>
      <c r="CD118" s="90" t="str">
        <f t="shared" ca="1" si="14"/>
        <v/>
      </c>
      <c r="CF118" s="90" t="str">
        <f ca="1">IF($CD118="","",IF(OFFSET(AV$55,'Intermediate Data'!$CD118,0)=-98,"Unknown",IF(OFFSET(AV$55,'Intermediate Data'!$CD118,0)=-99,"N/A",OFFSET(AV$55,'Intermediate Data'!$CD118,0))))</f>
        <v/>
      </c>
      <c r="CG118" s="90" t="str">
        <f ca="1">IF($CD118="","",IF(OFFSET(AW$55,'Intermediate Data'!$CD118,0)=-98,"",IF(OFFSET(AW$55,'Intermediate Data'!$CD118,0)=-99,"N/A",OFFSET(AW$55,'Intermediate Data'!$CD118,0))))</f>
        <v/>
      </c>
      <c r="CH118" s="90" t="str">
        <f ca="1">IF($CD118="","",IF(OFFSET(AX$55,'Intermediate Data'!$CD118,0)=-98,"Unknown",IF(OFFSET(AX$55,'Intermediate Data'!$CD118,0)=-99,"N/A",OFFSET(AX$55,'Intermediate Data'!$CD118,0))))</f>
        <v/>
      </c>
      <c r="CI118" s="125" t="str">
        <f ca="1">IF($CD118="","",IF(OFFSET(AY$55,'Intermediate Data'!$CD118,0)=-98,"Unknown",IF(OFFSET(AY$55,'Intermediate Data'!$CD118,0)=-99,"No spec",OFFSET(AY$55,'Intermediate Data'!$CD118,0))))</f>
        <v/>
      </c>
      <c r="CJ118" s="125" t="str">
        <f ca="1">IF($CD118="","",IF(OFFSET(AZ$55,'Intermediate Data'!$CD118,0)=-98,"Unknown",IF(OFFSET(AZ$55,'Intermediate Data'!$CD118,0)=-99,"N/A",OFFSET(AZ$55,'Intermediate Data'!$CD118,0))))</f>
        <v/>
      </c>
      <c r="CK118" s="90" t="str">
        <f ca="1">IF($CD118="","",IF(OFFSET(BA$55,'Intermediate Data'!$CD118,0)=-98,"Unknown",IF(OFFSET(BA$55,'Intermediate Data'!$CD118,0)=-99,"N/A",OFFSET(BA$55,'Intermediate Data'!$CD118,0))))</f>
        <v/>
      </c>
      <c r="CL118" s="90" t="str">
        <f ca="1">IF($CD118="","",IF(OFFSET(BB$55,'Intermediate Data'!$CD118,$AX$50)=-98,"Unknown",IF(OFFSET(BB$55,'Intermediate Data'!$CD118,$AX$50)="N/A","",OFFSET(BB$55,'Intermediate Data'!$CD118,$AX$50))))</f>
        <v/>
      </c>
      <c r="CM118" s="90" t="str">
        <f ca="1">IF($CD118="","",IF(OFFSET(BG$55,'Intermediate Data'!$CD118,0)="ET","ET",""))</f>
        <v/>
      </c>
      <c r="CN118" s="90" t="str">
        <f ca="1">IF($CD118="","",IF(OFFSET(BH$55,'Intermediate Data'!$CD118,$AX$50)=-98,"Unknown",IF(OFFSET(BH$55,'Intermediate Data'!$CD118,$AX$50)="N/A","",OFFSET(BH$55,'Intermediate Data'!$CD118,$AX$50))))</f>
        <v/>
      </c>
      <c r="CO118" s="90" t="str">
        <f ca="1">IF($CD118="","",IF(OFFSET(BM$55,'Intermediate Data'!$CD118,0)=-98,"Not published",IF(OFFSET(BM$55,'Intermediate Data'!$CD118,0)=-99,"No spec",OFFSET(BM$55,'Intermediate Data'!$CD118,0))))</f>
        <v/>
      </c>
      <c r="CP118" s="114" t="str">
        <f ca="1">IF($CD118="","",IF(OFFSET(BN$55,'Intermediate Data'!$CD118,0)=-98,"Unknown",IF(OFFSET(BN$55,'Intermediate Data'!$CD118,0)=-99,"N/A",OFFSET(BN$55,'Intermediate Data'!$CD118,0))))</f>
        <v/>
      </c>
      <c r="CQ118" s="114" t="str">
        <f ca="1">IF($CD118="","",IF(OFFSET(BO$55,'Intermediate Data'!$CD118,0)=-98,"Unknown",IF(OFFSET(BO$55,'Intermediate Data'!$CD118,0)=-99,"N/A",OFFSET(BO$55,'Intermediate Data'!$CD118,0))))</f>
        <v/>
      </c>
      <c r="CR118" s="114" t="str">
        <f ca="1">IF($CD118="","",IF(OFFSET(BP$55,'Intermediate Data'!$CD118,0)=-98,"Unknown",IF(OFFSET(BP$55,'Intermediate Data'!$CD118,0)=-99,"N/A",OFFSET(BP$55,'Intermediate Data'!$CD118,0))))</f>
        <v/>
      </c>
      <c r="CS118" s="114" t="str">
        <f ca="1">IF($CD118="","",IF(OFFSET(BQ$55,'Intermediate Data'!$CD118,0)=-98,"Unknown",IF(OFFSET(BQ$55,'Intermediate Data'!$CD118,0)=-99,"N/A",OFFSET(BQ$55,'Intermediate Data'!$CD118,0))))</f>
        <v/>
      </c>
      <c r="CT118" s="114" t="str">
        <f ca="1">IF($CD118="","",IF(OFFSET(BR$55,'Intermediate Data'!$CD118,0)=-98,"Unknown",IF(OFFSET(BR$55,'Intermediate Data'!$CD118,0)=-99,"N/A",OFFSET(BR$55,'Intermediate Data'!$CD118,0))))</f>
        <v/>
      </c>
      <c r="CU118" s="114" t="str">
        <f ca="1">IF($CD118="","",IF(OFFSET(BS$55,'Intermediate Data'!$CD118,0)=-98,"Unknown",IF(OFFSET(BS$55,'Intermediate Data'!$CD118,0)=-99,"N/A",OFFSET(BS$55,'Intermediate Data'!$CD118,0))))</f>
        <v/>
      </c>
      <c r="CV118" s="114" t="str">
        <f ca="1">IF($CD118="","",IF(OFFSET(BT$55,'Intermediate Data'!$CD118,0)=-98,"Unknown",IF(OFFSET(BT$55,'Intermediate Data'!$CD118,0)=-99,"N/A",OFFSET(BT$55,'Intermediate Data'!$CD118,0))))</f>
        <v/>
      </c>
      <c r="CW118" s="114" t="str">
        <f ca="1">IF($CD118="","",IF(OFFSET(BU$55,'Intermediate Data'!$CD118,0)=-98,"Unknown",IF(OFFSET(BU$55,'Intermediate Data'!$CD118,0)=-99,"N/A",OFFSET(BU$55,'Intermediate Data'!$CD118,0))))</f>
        <v/>
      </c>
      <c r="CX118" s="114" t="str">
        <f ca="1">IF($CD118="","",IF(OFFSET(BV$55,'Intermediate Data'!$CD118,0)=-98,"Unknown",IF(OFFSET(BV$55,'Intermediate Data'!$CD118,0)=-99,"N/A",OFFSET(BV$55,'Intermediate Data'!$CD118,0))))</f>
        <v/>
      </c>
      <c r="CY118" s="682" t="str">
        <f ca="1">IF($CD118="","",IF(OFFSET(BW$55,'Intermediate Data'!$CD118,0)=-98,"Unknown",IF(OFFSET(BW$55,'Intermediate Data'!$CD118,0)="N/A","",OFFSET(BW$55,'Intermediate Data'!$CD118,0))))</f>
        <v/>
      </c>
      <c r="CZ118" s="682" t="str">
        <f ca="1">IF($CD118="","",IF(OFFSET(BX$55,'Intermediate Data'!$CD118,0)=-98,"Unknown",IF(OFFSET(BX$55,'Intermediate Data'!$CD118,0)="N/A","",OFFSET(BX$55,'Intermediate Data'!$CD118,0))))</f>
        <v/>
      </c>
      <c r="DA118" s="682" t="str">
        <f ca="1">IF($CD118="","",IF(OFFSET(BY$55,'Intermediate Data'!$CD118,0)=-98,"Unknown",IF(OFFSET(BY$55,'Intermediate Data'!$CD118,0)="N/A","",OFFSET(BY$55,'Intermediate Data'!$CD118,0))))</f>
        <v/>
      </c>
      <c r="DB118" s="682" t="str">
        <f ca="1">IF($CD118="","",IF(OFFSET(BZ$55,'Intermediate Data'!$CD118,0)=-98,"Unknown",IF(OFFSET(BZ$55,'Intermediate Data'!$CD118,0)="N/A","",OFFSET(BZ$55,'Intermediate Data'!$CD118,0))))</f>
        <v/>
      </c>
    </row>
    <row r="119" spans="1:106" x14ac:dyDescent="0.2">
      <c r="A119" s="90">
        <f ca="1">IF(OFFSET(DATA!F68,0,$D$48)='Intermediate Data'!$E$48,IF(OR($E$49=$C$27,$E$48=$B$4),DATA!A68,IF($G$49=DATA!D68,DATA!A68,"")),"")</f>
        <v>64</v>
      </c>
      <c r="B119" s="90">
        <f ca="1">IF($A119="","",DATA!EH68)</f>
        <v>48</v>
      </c>
      <c r="C119" s="90" t="str">
        <f ca="1">IF($A119="","",DATA!B68)</f>
        <v>Power tool</v>
      </c>
      <c r="D119" s="90">
        <f ca="1">IF($A119="","",OFFSET(DATA!$H68,0,($D$50*5)))</f>
        <v>-99</v>
      </c>
      <c r="E119" s="90">
        <f ca="1">IF($A119="","",OFFSET(DATA!$H68,0,($D$50*5)+1))</f>
        <v>-99</v>
      </c>
      <c r="F119" s="90">
        <f ca="1">IF($A119="","",OFFSET(DATA!$H68,0,($D$50*5)+2))</f>
        <v>-99</v>
      </c>
      <c r="G119" s="90">
        <f ca="1">IF($A119="","",OFFSET(DATA!$H68,0,($D$50*5)+3))</f>
        <v>-99</v>
      </c>
      <c r="H119" s="90">
        <f ca="1">IF($A119="","",OFFSET(DATA!$H68,0,($D$50*5)+4))</f>
        <v>-99</v>
      </c>
      <c r="I119" s="90">
        <f t="shared" ca="1" si="2"/>
        <v>-99</v>
      </c>
      <c r="J119" s="90" t="str">
        <f t="shared" ca="1" si="3"/>
        <v/>
      </c>
      <c r="K119" s="90">
        <f ca="1">IF($A119="","",OFFSET(DATA!$AG68,0,($D$50*5)))</f>
        <v>-99</v>
      </c>
      <c r="L119" s="90">
        <f ca="1">IF($A119="","",OFFSET(DATA!$AG68,0,($D$50*5)+1))</f>
        <v>-99</v>
      </c>
      <c r="M119" s="90">
        <f ca="1">IF($A119="","",OFFSET(DATA!$AG68,0,($D$50*5)+2))</f>
        <v>-99</v>
      </c>
      <c r="N119" s="90">
        <f ca="1">IF($A119="","",OFFSET(DATA!$AG68,0,($D$50*5)+3))</f>
        <v>-99</v>
      </c>
      <c r="O119" s="90">
        <f ca="1">IF($A119="","",OFFSET(DATA!$AG68,0,($D$50*5)+4))</f>
        <v>-99</v>
      </c>
      <c r="P119" s="90">
        <f t="shared" ca="1" si="4"/>
        <v>-99</v>
      </c>
      <c r="Q119" s="90" t="str">
        <f t="shared" ca="1" si="5"/>
        <v/>
      </c>
      <c r="R119" s="699">
        <f ca="1">IF($A119="","",IF(DATA!BF68="",-99,DATA!BF68))</f>
        <v>-99</v>
      </c>
      <c r="S119" s="90">
        <f ca="1">IF($A119="","",IF(DATA!BG68="",-99,DATA!BF68-DATA!BG68))</f>
        <v>-99</v>
      </c>
      <c r="T119" s="90">
        <f ca="1">IF($A119="","",DATA!BH68)</f>
        <v>-99</v>
      </c>
      <c r="U119" s="90">
        <f ca="1">IF($A119="","",OFFSET(DATA!BM68,0,$D$48))</f>
        <v>-99</v>
      </c>
      <c r="V119" s="90">
        <f t="shared" ca="1" si="15"/>
        <v>48</v>
      </c>
      <c r="W119" s="99">
        <f t="shared" ca="1" si="7"/>
        <v>47.99988120119</v>
      </c>
      <c r="X119" s="112">
        <f t="shared" ca="1" si="8"/>
        <v>67.99988120094001</v>
      </c>
      <c r="Y119" s="90">
        <f t="shared" ca="1" si="9"/>
        <v>39</v>
      </c>
      <c r="AA119" s="90" t="str">
        <f ca="1">IF($Y119="","",IF(OFFSET(C$55,'Intermediate Data'!$Y119,0)=-98,"Unknown",IF(OFFSET(C$55,'Intermediate Data'!$Y119,0)=-99,"N/A",OFFSET(C$55,'Intermediate Data'!$Y119,0))))</f>
        <v>Knife sharpener</v>
      </c>
      <c r="AB119" s="90" t="str">
        <f ca="1">IF($Y119="","",IF(OFFSET(D$55,'Intermediate Data'!$Y119,0)=-98,"N/A",IF(OFFSET(D$55,'Intermediate Data'!$Y119,0)=-99,"N/A",OFFSET(D$55,'Intermediate Data'!$Y119,0))))</f>
        <v>N/A</v>
      </c>
      <c r="AC119" s="90" t="str">
        <f ca="1">IF($Y119="","",IF(OFFSET(E$55,'Intermediate Data'!$Y119,0)=-98,"N/A",IF(OFFSET(E$55,'Intermediate Data'!$Y119,0)=-99,"N/A",OFFSET(E$55,'Intermediate Data'!$Y119,0))))</f>
        <v>N/A</v>
      </c>
      <c r="AD119" s="90" t="str">
        <f ca="1">IF($Y119="","",IF(OFFSET(F$55,'Intermediate Data'!$Y119,0)=-98,"N/A",IF(OFFSET(F$55,'Intermediate Data'!$Y119,0)=-99,"N/A",OFFSET(F$55,'Intermediate Data'!$Y119,0))))</f>
        <v>N/A</v>
      </c>
      <c r="AE119" s="90" t="str">
        <f ca="1">IF($Y119="","",IF(OFFSET(G$55,'Intermediate Data'!$Y119,0)=-98,"N/A",IF(OFFSET(G$55,'Intermediate Data'!$Y119,0)=-99,"N/A",OFFSET(G$55,'Intermediate Data'!$Y119,0))))</f>
        <v>N/A</v>
      </c>
      <c r="AF119" s="90" t="str">
        <f ca="1">IF($Y119="","",IF(OFFSET(H$55,'Intermediate Data'!$Y119,0)=-98,"N/A",IF(OFFSET(H$55,'Intermediate Data'!$Y119,0)=-99,"N/A",OFFSET(H$55,'Intermediate Data'!$Y119,0))))</f>
        <v>N/A</v>
      </c>
      <c r="AG119" s="90" t="str">
        <f ca="1">IF($Y119="","",IF(OFFSET(I$55,'Intermediate Data'!$Y119,0)=-98,"N/A",IF(OFFSET(I$55,'Intermediate Data'!$Y119,0)=-99,"N/A",OFFSET(I$55,'Intermediate Data'!$Y119,0))))</f>
        <v>N/A</v>
      </c>
      <c r="AH119" s="90" t="str">
        <f ca="1">IF($Y119="","",IF(OFFSET(J$55,'Intermediate Data'!$Y119,0)=-98,"N/A",IF(OFFSET(J$55,'Intermediate Data'!$Y119,0)=-99,"N/A",OFFSET(J$55,'Intermediate Data'!$Y119,0))))</f>
        <v/>
      </c>
      <c r="AI119" s="90" t="str">
        <f ca="1">IF($Y119="","",IF(OFFSET(K$55,'Intermediate Data'!$Y119,0)=-98,"N/A",IF(OFFSET(K$55,'Intermediate Data'!$Y119,0)=-99,"N/A",OFFSET(K$55,'Intermediate Data'!$Y119,0))))</f>
        <v>N/A</v>
      </c>
      <c r="AJ119" s="90" t="str">
        <f ca="1">IF($Y119="","",IF(OFFSET(L$55,'Intermediate Data'!$Y119,0)=-98,"N/A",IF(OFFSET(L$55,'Intermediate Data'!$Y119,0)=-99,"N/A",OFFSET(L$55,'Intermediate Data'!$Y119,0))))</f>
        <v>N/A</v>
      </c>
      <c r="AK119" s="90" t="str">
        <f ca="1">IF($Y119="","",IF(OFFSET(M$55,'Intermediate Data'!$Y119,0)=-98,"N/A",IF(OFFSET(M$55,'Intermediate Data'!$Y119,0)=-99,"N/A",OFFSET(M$55,'Intermediate Data'!$Y119,0))))</f>
        <v>N/A</v>
      </c>
      <c r="AL119" s="90" t="str">
        <f ca="1">IF($Y119="","",IF(OFFSET(N$55,'Intermediate Data'!$Y119,0)=-98,"N/A",IF(OFFSET(N$55,'Intermediate Data'!$Y119,0)=-99,"N/A",OFFSET(N$55,'Intermediate Data'!$Y119,0))))</f>
        <v>N/A</v>
      </c>
      <c r="AM119" s="90" t="str">
        <f ca="1">IF($Y119="","",IF(OFFSET(O$55,'Intermediate Data'!$Y119,0)=-98,"N/A",IF(OFFSET(O$55,'Intermediate Data'!$Y119,0)=-99,"N/A",OFFSET(O$55,'Intermediate Data'!$Y119,0))))</f>
        <v>N/A</v>
      </c>
      <c r="AN119" s="90" t="str">
        <f ca="1">IF($Y119="","",IF(OFFSET(P$55,'Intermediate Data'!$Y119,0)=-98,"N/A",IF(OFFSET(P$55,'Intermediate Data'!$Y119,0)=-99,"N/A",OFFSET(P$55,'Intermediate Data'!$Y119,0))))</f>
        <v>N/A</v>
      </c>
      <c r="AO119" s="90" t="str">
        <f ca="1">IF($Y119="","",IF(OFFSET(Q$55,'Intermediate Data'!$Y119,0)=-98,"N/A",IF(OFFSET(Q$55,'Intermediate Data'!$Y119,0)=-99,"N/A",OFFSET(Q$55,'Intermediate Data'!$Y119,0))))</f>
        <v/>
      </c>
      <c r="AP119" s="697" t="str">
        <f ca="1">IF($Y119="","",IF(OFFSET(S$55,'Intermediate Data'!$Y119,0)=-98,"",IF(OFFSET(S$55,'Intermediate Data'!$Y119,0)=-99,"",OFFSET(S$55,'Intermediate Data'!$Y119,0))))</f>
        <v/>
      </c>
      <c r="AQ119" s="90" t="str">
        <f ca="1">IF($Y119="","",IF(OFFSET(T$55,'Intermediate Data'!$Y119,0)=-98,"Not published",IF(OFFSET(T$55,'Intermediate Data'!$Y119,0)=-99,"",OFFSET(T$55,'Intermediate Data'!$Y119,0))))</f>
        <v/>
      </c>
      <c r="AR119" s="90" t="str">
        <f ca="1">IF($Y119="","",IF(OFFSET(U$55,'Intermediate Data'!$Y119,0)=-98,"Unknown",IF(OFFSET(U$55,'Intermediate Data'!$Y119,0)=-99,"",OFFSET(U$55,'Intermediate Data'!$Y119,0))))</f>
        <v/>
      </c>
      <c r="AU119" s="112" t="str">
        <f ca="1">IF(AND(OFFSET(DATA!$F68,0,$AX$48)='Intermediate Data'!$AY$48,DATA!$E68="Tier 1"),IF(OR($AX$49=0,$AX$48=1),DATA!A68,IF(AND($AX$49=1,INDEX('Intermediate Data'!$AY$25:$AY$44,MATCH(DATA!$B68,'Intermediate Data'!$AX$25:$AX$44,0))=TRUE),DATA!A68,"")),"")</f>
        <v/>
      </c>
      <c r="AV119" s="112" t="str">
        <f ca="1">IF($AU119="","",DATA!B68)</f>
        <v/>
      </c>
      <c r="AW119" s="112" t="str">
        <f ca="1">IF(OR($AU119="",DATA!BI68=""),"",DATA!BI68)</f>
        <v/>
      </c>
      <c r="AX119" s="112" t="str">
        <f ca="1">IF(OR($AU119="",OFFSET(DATA!BK68,0,$AX$48)=""),"",OFFSET(DATA!BK68,0,$AX$48))</f>
        <v/>
      </c>
      <c r="AY119" s="112" t="str">
        <f ca="1">IF(OR($AU119="",OFFSET(DATA!BM68,0,$AX$48)=""),"",OFFSET(DATA!BM68,0,$AX$48))</f>
        <v/>
      </c>
      <c r="AZ119" s="112" t="str">
        <f ca="1">IF(OR($AU119="",OFFSET(DATA!BO68,0,'Intermediate Data'!$AX$48)=""),"",OFFSET(DATA!BO68,0,$AX$48))</f>
        <v/>
      </c>
      <c r="BA119" s="112" t="str">
        <f ca="1">IF(OR($AU119="",DATA!BQ68=""),"",DATA!BQ68)</f>
        <v/>
      </c>
      <c r="BB119" s="112" t="str">
        <f ca="1">IF($AU119="","",OFFSET(DATA!BS68,0,$AX$48))</f>
        <v/>
      </c>
      <c r="BC119" s="112" t="str">
        <f ca="1">IF($AU119="","",OFFSET(DATA!BU68,0,$AX$48))</f>
        <v/>
      </c>
      <c r="BD119" s="112" t="str">
        <f ca="1">IF($AU119="","",OFFSET(DATA!BW68,0,$AX$48))</f>
        <v/>
      </c>
      <c r="BE119" s="112" t="str">
        <f ca="1">IF($AU119="","",OFFSET(DATA!BY68,0,$AX$48))</f>
        <v/>
      </c>
      <c r="BF119" s="112" t="str">
        <f ca="1">IF($AU119="","",OFFSET(DATA!CA68,0,$AX$48))</f>
        <v/>
      </c>
      <c r="BG119" s="112" t="str">
        <f ca="1">IF($AU119="","",DATA!CC68)</f>
        <v/>
      </c>
      <c r="BH119" s="112" t="str">
        <f ca="1">IF($AU119="","",OFFSET(DATA!CE68,0,$AX$48))</f>
        <v/>
      </c>
      <c r="BI119" s="112" t="str">
        <f ca="1">IF($AU119="","",OFFSET(DATA!CG68,0,$AX$48))</f>
        <v/>
      </c>
      <c r="BJ119" s="112" t="str">
        <f ca="1">IF($AU119="","",OFFSET(DATA!CI68,0,$AX$48))</f>
        <v/>
      </c>
      <c r="BK119" s="112" t="str">
        <f ca="1">IF($AU119="","",OFFSET(DATA!CK68,0,$AX$48))</f>
        <v/>
      </c>
      <c r="BL119" s="112" t="str">
        <f ca="1">IF($AU119="","",OFFSET(DATA!CM68,0,$AX$48))</f>
        <v/>
      </c>
      <c r="BM119" s="112" t="str">
        <f ca="1">IF($AU119="","",DATA!BH68)</f>
        <v/>
      </c>
      <c r="BN119" s="112" t="str">
        <f ca="1">IF($AU119="","",DATA!DS68)</f>
        <v/>
      </c>
      <c r="BO119" s="112" t="str">
        <f ca="1">IF($AU119="","",DATA!DU68)</f>
        <v/>
      </c>
      <c r="BP119" s="112" t="str">
        <f ca="1">IF($AU119="","",DATA!DV68)</f>
        <v/>
      </c>
      <c r="BQ119" s="112" t="str">
        <f ca="1">IF($AU119="","",DATA!DX68)</f>
        <v/>
      </c>
      <c r="BR119" s="112" t="str">
        <f ca="1">IF($AU119="","",DATA!DZ68)</f>
        <v/>
      </c>
      <c r="BS119" s="171" t="str">
        <f ca="1">IF($AU119="","",DATA!EA68)</f>
        <v/>
      </c>
      <c r="BT119" s="171" t="str">
        <f ca="1">IF($AU119="","",DATA!EC68)</f>
        <v/>
      </c>
      <c r="BU119" s="171" t="str">
        <f ca="1">IF($AU119="","",DATA!EF68)</f>
        <v/>
      </c>
      <c r="BV119" s="113" t="str">
        <f t="shared" ca="1" si="10"/>
        <v/>
      </c>
      <c r="BW119" s="680" t="str">
        <f ca="1">IF(AU119="","",OFFSET(DATA!DC68,0,'Intermediate Data'!$AX$48))</f>
        <v/>
      </c>
      <c r="BX119" s="681" t="str">
        <f ca="1">IF($AU119="","",DATA!DG68)</f>
        <v/>
      </c>
      <c r="BY119" s="680" t="str">
        <f ca="1">IF($AU119="","",OFFSET(DATA!DE68,0,'Intermediate Data'!$AX$48))</f>
        <v/>
      </c>
      <c r="BZ119" s="681" t="str">
        <f ca="1">IF($AU119="","",DATA!DH68)</f>
        <v/>
      </c>
      <c r="CA119" s="90" t="str">
        <f t="shared" ca="1" si="11"/>
        <v/>
      </c>
      <c r="CB119" s="99" t="str">
        <f t="shared" ca="1" si="12"/>
        <v/>
      </c>
      <c r="CC119" s="90" t="str">
        <f t="shared" ca="1" si="13"/>
        <v/>
      </c>
      <c r="CD119" s="90" t="str">
        <f t="shared" ca="1" si="14"/>
        <v/>
      </c>
      <c r="CF119" s="90" t="str">
        <f ca="1">IF($CD119="","",IF(OFFSET(AV$55,'Intermediate Data'!$CD119,0)=-98,"Unknown",IF(OFFSET(AV$55,'Intermediate Data'!$CD119,0)=-99,"N/A",OFFSET(AV$55,'Intermediate Data'!$CD119,0))))</f>
        <v/>
      </c>
      <c r="CG119" s="90" t="str">
        <f ca="1">IF($CD119="","",IF(OFFSET(AW$55,'Intermediate Data'!$CD119,0)=-98,"",IF(OFFSET(AW$55,'Intermediate Data'!$CD119,0)=-99,"N/A",OFFSET(AW$55,'Intermediate Data'!$CD119,0))))</f>
        <v/>
      </c>
      <c r="CH119" s="90" t="str">
        <f ca="1">IF($CD119="","",IF(OFFSET(AX$55,'Intermediate Data'!$CD119,0)=-98,"Unknown",IF(OFFSET(AX$55,'Intermediate Data'!$CD119,0)=-99,"N/A",OFFSET(AX$55,'Intermediate Data'!$CD119,0))))</f>
        <v/>
      </c>
      <c r="CI119" s="125" t="str">
        <f ca="1">IF($CD119="","",IF(OFFSET(AY$55,'Intermediate Data'!$CD119,0)=-98,"Unknown",IF(OFFSET(AY$55,'Intermediate Data'!$CD119,0)=-99,"No spec",OFFSET(AY$55,'Intermediate Data'!$CD119,0))))</f>
        <v/>
      </c>
      <c r="CJ119" s="125" t="str">
        <f ca="1">IF($CD119="","",IF(OFFSET(AZ$55,'Intermediate Data'!$CD119,0)=-98,"Unknown",IF(OFFSET(AZ$55,'Intermediate Data'!$CD119,0)=-99,"N/A",OFFSET(AZ$55,'Intermediate Data'!$CD119,0))))</f>
        <v/>
      </c>
      <c r="CK119" s="90" t="str">
        <f ca="1">IF($CD119="","",IF(OFFSET(BA$55,'Intermediate Data'!$CD119,0)=-98,"Unknown",IF(OFFSET(BA$55,'Intermediate Data'!$CD119,0)=-99,"N/A",OFFSET(BA$55,'Intermediate Data'!$CD119,0))))</f>
        <v/>
      </c>
      <c r="CL119" s="90" t="str">
        <f ca="1">IF($CD119="","",IF(OFFSET(BB$55,'Intermediate Data'!$CD119,$AX$50)=-98,"Unknown",IF(OFFSET(BB$55,'Intermediate Data'!$CD119,$AX$50)="N/A","",OFFSET(BB$55,'Intermediate Data'!$CD119,$AX$50))))</f>
        <v/>
      </c>
      <c r="CM119" s="90" t="str">
        <f ca="1">IF($CD119="","",IF(OFFSET(BG$55,'Intermediate Data'!$CD119,0)="ET","ET",""))</f>
        <v/>
      </c>
      <c r="CN119" s="90" t="str">
        <f ca="1">IF($CD119="","",IF(OFFSET(BH$55,'Intermediate Data'!$CD119,$AX$50)=-98,"Unknown",IF(OFFSET(BH$55,'Intermediate Data'!$CD119,$AX$50)="N/A","",OFFSET(BH$55,'Intermediate Data'!$CD119,$AX$50))))</f>
        <v/>
      </c>
      <c r="CO119" s="90" t="str">
        <f ca="1">IF($CD119="","",IF(OFFSET(BM$55,'Intermediate Data'!$CD119,0)=-98,"Not published",IF(OFFSET(BM$55,'Intermediate Data'!$CD119,0)=-99,"No spec",OFFSET(BM$55,'Intermediate Data'!$CD119,0))))</f>
        <v/>
      </c>
      <c r="CP119" s="114" t="str">
        <f ca="1">IF($CD119="","",IF(OFFSET(BN$55,'Intermediate Data'!$CD119,0)=-98,"Unknown",IF(OFFSET(BN$55,'Intermediate Data'!$CD119,0)=-99,"N/A",OFFSET(BN$55,'Intermediate Data'!$CD119,0))))</f>
        <v/>
      </c>
      <c r="CQ119" s="114" t="str">
        <f ca="1">IF($CD119="","",IF(OFFSET(BO$55,'Intermediate Data'!$CD119,0)=-98,"Unknown",IF(OFFSET(BO$55,'Intermediate Data'!$CD119,0)=-99,"N/A",OFFSET(BO$55,'Intermediate Data'!$CD119,0))))</f>
        <v/>
      </c>
      <c r="CR119" s="114" t="str">
        <f ca="1">IF($CD119="","",IF(OFFSET(BP$55,'Intermediate Data'!$CD119,0)=-98,"Unknown",IF(OFFSET(BP$55,'Intermediate Data'!$CD119,0)=-99,"N/A",OFFSET(BP$55,'Intermediate Data'!$CD119,0))))</f>
        <v/>
      </c>
      <c r="CS119" s="114" t="str">
        <f ca="1">IF($CD119="","",IF(OFFSET(BQ$55,'Intermediate Data'!$CD119,0)=-98,"Unknown",IF(OFFSET(BQ$55,'Intermediate Data'!$CD119,0)=-99,"N/A",OFFSET(BQ$55,'Intermediate Data'!$CD119,0))))</f>
        <v/>
      </c>
      <c r="CT119" s="114" t="str">
        <f ca="1">IF($CD119="","",IF(OFFSET(BR$55,'Intermediate Data'!$CD119,0)=-98,"Unknown",IF(OFFSET(BR$55,'Intermediate Data'!$CD119,0)=-99,"N/A",OFFSET(BR$55,'Intermediate Data'!$CD119,0))))</f>
        <v/>
      </c>
      <c r="CU119" s="114" t="str">
        <f ca="1">IF($CD119="","",IF(OFFSET(BS$55,'Intermediate Data'!$CD119,0)=-98,"Unknown",IF(OFFSET(BS$55,'Intermediate Data'!$CD119,0)=-99,"N/A",OFFSET(BS$55,'Intermediate Data'!$CD119,0))))</f>
        <v/>
      </c>
      <c r="CV119" s="114" t="str">
        <f ca="1">IF($CD119="","",IF(OFFSET(BT$55,'Intermediate Data'!$CD119,0)=-98,"Unknown",IF(OFFSET(BT$55,'Intermediate Data'!$CD119,0)=-99,"N/A",OFFSET(BT$55,'Intermediate Data'!$CD119,0))))</f>
        <v/>
      </c>
      <c r="CW119" s="114" t="str">
        <f ca="1">IF($CD119="","",IF(OFFSET(BU$55,'Intermediate Data'!$CD119,0)=-98,"Unknown",IF(OFFSET(BU$55,'Intermediate Data'!$CD119,0)=-99,"N/A",OFFSET(BU$55,'Intermediate Data'!$CD119,0))))</f>
        <v/>
      </c>
      <c r="CX119" s="114" t="str">
        <f ca="1">IF($CD119="","",IF(OFFSET(BV$55,'Intermediate Data'!$CD119,0)=-98,"Unknown",IF(OFFSET(BV$55,'Intermediate Data'!$CD119,0)=-99,"N/A",OFFSET(BV$55,'Intermediate Data'!$CD119,0))))</f>
        <v/>
      </c>
      <c r="CY119" s="682" t="str">
        <f ca="1">IF($CD119="","",IF(OFFSET(BW$55,'Intermediate Data'!$CD119,0)=-98,"Unknown",IF(OFFSET(BW$55,'Intermediate Data'!$CD119,0)="N/A","",OFFSET(BW$55,'Intermediate Data'!$CD119,0))))</f>
        <v/>
      </c>
      <c r="CZ119" s="682" t="str">
        <f ca="1">IF($CD119="","",IF(OFFSET(BX$55,'Intermediate Data'!$CD119,0)=-98,"Unknown",IF(OFFSET(BX$55,'Intermediate Data'!$CD119,0)="N/A","",OFFSET(BX$55,'Intermediate Data'!$CD119,0))))</f>
        <v/>
      </c>
      <c r="DA119" s="682" t="str">
        <f ca="1">IF($CD119="","",IF(OFFSET(BY$55,'Intermediate Data'!$CD119,0)=-98,"Unknown",IF(OFFSET(BY$55,'Intermediate Data'!$CD119,0)="N/A","",OFFSET(BY$55,'Intermediate Data'!$CD119,0))))</f>
        <v/>
      </c>
      <c r="DB119" s="682" t="str">
        <f ca="1">IF($CD119="","",IF(OFFSET(BZ$55,'Intermediate Data'!$CD119,0)=-98,"Unknown",IF(OFFSET(BZ$55,'Intermediate Data'!$CD119,0)="N/A","",OFFSET(BZ$55,'Intermediate Data'!$CD119,0))))</f>
        <v/>
      </c>
    </row>
    <row r="120" spans="1:106" x14ac:dyDescent="0.2">
      <c r="A120" s="90">
        <f ca="1">IF(OFFSET(DATA!F69,0,$D$48)='Intermediate Data'!$E$48,IF(OR($E$49=$C$27,$E$48=$B$4),DATA!A69,IF($G$49=DATA!D69,DATA!A69,"")),"")</f>
        <v>65</v>
      </c>
      <c r="B120" s="90">
        <f ca="1">IF($A120="","",DATA!EH69)</f>
        <v>34</v>
      </c>
      <c r="C120" s="90" t="str">
        <f ca="1">IF($A120="","",DATA!B69)</f>
        <v>Sewing machine &amp; peripherals</v>
      </c>
      <c r="D120" s="90">
        <f ca="1">IF($A120="","",OFFSET(DATA!$H69,0,($D$50*5)))</f>
        <v>-99</v>
      </c>
      <c r="E120" s="90">
        <f ca="1">IF($A120="","",OFFSET(DATA!$H69,0,($D$50*5)+1))</f>
        <v>-99</v>
      </c>
      <c r="F120" s="90">
        <f ca="1">IF($A120="","",OFFSET(DATA!$H69,0,($D$50*5)+2))</f>
        <v>-99</v>
      </c>
      <c r="G120" s="90">
        <f ca="1">IF($A120="","",OFFSET(DATA!$H69,0,($D$50*5)+3))</f>
        <v>-99</v>
      </c>
      <c r="H120" s="90">
        <f ca="1">IF($A120="","",OFFSET(DATA!$H69,0,($D$50*5)+4))</f>
        <v>-99</v>
      </c>
      <c r="I120" s="90">
        <f t="shared" ca="1" si="2"/>
        <v>-99</v>
      </c>
      <c r="J120" s="90" t="str">
        <f t="shared" ca="1" si="3"/>
        <v/>
      </c>
      <c r="K120" s="90">
        <f ca="1">IF($A120="","",OFFSET(DATA!$AG69,0,($D$50*5)))</f>
        <v>-99</v>
      </c>
      <c r="L120" s="90">
        <f ca="1">IF($A120="","",OFFSET(DATA!$AG69,0,($D$50*5)+1))</f>
        <v>-99</v>
      </c>
      <c r="M120" s="90">
        <f ca="1">IF($A120="","",OFFSET(DATA!$AG69,0,($D$50*5)+2))</f>
        <v>-99</v>
      </c>
      <c r="N120" s="90">
        <f ca="1">IF($A120="","",OFFSET(DATA!$AG69,0,($D$50*5)+3))</f>
        <v>-99</v>
      </c>
      <c r="O120" s="90">
        <f ca="1">IF($A120="","",OFFSET(DATA!$AG69,0,($D$50*5)+4))</f>
        <v>-99</v>
      </c>
      <c r="P120" s="90">
        <f t="shared" ca="1" si="4"/>
        <v>-99</v>
      </c>
      <c r="Q120" s="90" t="str">
        <f t="shared" ca="1" si="5"/>
        <v/>
      </c>
      <c r="R120" s="699">
        <f ca="1">IF($A120="","",IF(DATA!BF69="",-99,DATA!BF69))</f>
        <v>-99</v>
      </c>
      <c r="S120" s="90">
        <f ca="1">IF($A120="","",IF(DATA!BG69="",-99,DATA!BF69-DATA!BG69))</f>
        <v>-99</v>
      </c>
      <c r="T120" s="90">
        <f ca="1">IF($A120="","",DATA!BH69)</f>
        <v>-99</v>
      </c>
      <c r="U120" s="90">
        <f ca="1">IF($A120="","",OFFSET(DATA!BM69,0,$D$48))</f>
        <v>-99</v>
      </c>
      <c r="V120" s="90">
        <f t="shared" ref="V120:V151" ca="1" si="16">OFFSET(B120,0,MATCH($E$51,$B$54:$U$54,0)-1)</f>
        <v>34</v>
      </c>
      <c r="W120" s="99">
        <f t="shared" ca="1" si="7"/>
        <v>33.999881201199997</v>
      </c>
      <c r="X120" s="112">
        <f t="shared" ca="1" si="8"/>
        <v>66.999952095787208</v>
      </c>
      <c r="Y120" s="90">
        <f t="shared" ca="1" si="9"/>
        <v>54</v>
      </c>
      <c r="AA120" s="90" t="str">
        <f ca="1">IF($Y120="","",IF(OFFSET(C$55,'Intermediate Data'!$Y120,0)=-98,"Unknown",IF(OFFSET(C$55,'Intermediate Data'!$Y120,0)=-99,"N/A",OFFSET(C$55,'Intermediate Data'!$Y120,0))))</f>
        <v>Media player/recorder</v>
      </c>
      <c r="AB120" s="90" t="str">
        <f ca="1">IF($Y120="","",IF(OFFSET(D$55,'Intermediate Data'!$Y120,0)=-98,"N/A",IF(OFFSET(D$55,'Intermediate Data'!$Y120,0)=-99,"N/A",OFFSET(D$55,'Intermediate Data'!$Y120,0))))</f>
        <v>N/A</v>
      </c>
      <c r="AC120" s="90" t="str">
        <f ca="1">IF($Y120="","",IF(OFFSET(E$55,'Intermediate Data'!$Y120,0)=-98,"N/A",IF(OFFSET(E$55,'Intermediate Data'!$Y120,0)=-99,"N/A",OFFSET(E$55,'Intermediate Data'!$Y120,0))))</f>
        <v>N/A</v>
      </c>
      <c r="AD120" s="90" t="str">
        <f ca="1">IF($Y120="","",IF(OFFSET(F$55,'Intermediate Data'!$Y120,0)=-98,"N/A",IF(OFFSET(F$55,'Intermediate Data'!$Y120,0)=-99,"N/A",OFFSET(F$55,'Intermediate Data'!$Y120,0))))</f>
        <v>N/A</v>
      </c>
      <c r="AE120" s="90">
        <f ca="1">IF($Y120="","",IF(OFFSET(G$55,'Intermediate Data'!$Y120,0)=-98,"N/A",IF(OFFSET(G$55,'Intermediate Data'!$Y120,0)=-99,"N/A",OFFSET(G$55,'Intermediate Data'!$Y120,0))))</f>
        <v>0.71909487210975553</v>
      </c>
      <c r="AF120" s="90" t="str">
        <f ca="1">IF($Y120="","",IF(OFFSET(H$55,'Intermediate Data'!$Y120,0)=-98,"N/A",IF(OFFSET(H$55,'Intermediate Data'!$Y120,0)=-99,"N/A",OFFSET(H$55,'Intermediate Data'!$Y120,0))))</f>
        <v>N/A</v>
      </c>
      <c r="AG120" s="90">
        <f ca="1">IF($Y120="","",IF(OFFSET(I$55,'Intermediate Data'!$Y120,0)=-98,"N/A",IF(OFFSET(I$55,'Intermediate Data'!$Y120,0)=-99,"N/A",OFFSET(I$55,'Intermediate Data'!$Y120,0))))</f>
        <v>0.71909487210975553</v>
      </c>
      <c r="AH120" s="90" t="str">
        <f ca="1">IF($Y120="","",IF(OFFSET(J$55,'Intermediate Data'!$Y120,0)=-98,"N/A",IF(OFFSET(J$55,'Intermediate Data'!$Y120,0)=-99,"N/A",OFFSET(J$55,'Intermediate Data'!$Y120,0))))</f>
        <v>RASS</v>
      </c>
      <c r="AI120" s="90" t="str">
        <f ca="1">IF($Y120="","",IF(OFFSET(K$55,'Intermediate Data'!$Y120,0)=-98,"N/A",IF(OFFSET(K$55,'Intermediate Data'!$Y120,0)=-99,"N/A",OFFSET(K$55,'Intermediate Data'!$Y120,0))))</f>
        <v>N/A</v>
      </c>
      <c r="AJ120" s="90">
        <f ca="1">IF($Y120="","",IF(OFFSET(L$55,'Intermediate Data'!$Y120,0)=-98,"N/A",IF(OFFSET(L$55,'Intermediate Data'!$Y120,0)=-99,"N/A",OFFSET(L$55,'Intermediate Data'!$Y120,0))))</f>
        <v>1.8775888734689006</v>
      </c>
      <c r="AK120" s="90" t="str">
        <f ca="1">IF($Y120="","",IF(OFFSET(M$55,'Intermediate Data'!$Y120,0)=-98,"N/A",IF(OFFSET(M$55,'Intermediate Data'!$Y120,0)=-99,"N/A",OFFSET(M$55,'Intermediate Data'!$Y120,0))))</f>
        <v>N/A</v>
      </c>
      <c r="AL120" s="90">
        <f ca="1">IF($Y120="","",IF(OFFSET(N$55,'Intermediate Data'!$Y120,0)=-98,"N/A",IF(OFFSET(N$55,'Intermediate Data'!$Y120,0)=-99,"N/A",OFFSET(N$55,'Intermediate Data'!$Y120,0))))</f>
        <v>1.1251934270888684</v>
      </c>
      <c r="AM120" s="90">
        <f ca="1">IF($Y120="","",IF(OFFSET(O$55,'Intermediate Data'!$Y120,0)=-98,"N/A",IF(OFFSET(O$55,'Intermediate Data'!$Y120,0)=-99,"N/A",OFFSET(O$55,'Intermediate Data'!$Y120,0))))</f>
        <v>1.9060000000000001</v>
      </c>
      <c r="AN120" s="90">
        <f ca="1">IF($Y120="","",IF(OFFSET(P$55,'Intermediate Data'!$Y120,0)=-98,"N/A",IF(OFFSET(P$55,'Intermediate Data'!$Y120,0)=-99,"N/A",OFFSET(P$55,'Intermediate Data'!$Y120,0))))</f>
        <v>1.9060000000000001</v>
      </c>
      <c r="AO120" s="90" t="str">
        <f ca="1">IF($Y120="","",IF(OFFSET(Q$55,'Intermediate Data'!$Y120,0)=-98,"N/A",IF(OFFSET(Q$55,'Intermediate Data'!$Y120,0)=-99,"N/A",OFFSET(Q$55,'Intermediate Data'!$Y120,0))))</f>
        <v>CLASS</v>
      </c>
      <c r="AP120" s="697" t="str">
        <f ca="1">IF($Y120="","",IF(OFFSET(S$55,'Intermediate Data'!$Y120,0)=-98,"",IF(OFFSET(S$55,'Intermediate Data'!$Y120,0)=-99,"",OFFSET(S$55,'Intermediate Data'!$Y120,0))))</f>
        <v/>
      </c>
      <c r="AQ120" s="90">
        <f ca="1">IF($Y120="","",IF(OFFSET(T$55,'Intermediate Data'!$Y120,0)=-98,"Not published",IF(OFFSET(T$55,'Intermediate Data'!$Y120,0)=-99,"",OFFSET(T$55,'Intermediate Data'!$Y120,0))))</f>
        <v>0.6</v>
      </c>
      <c r="AR120" s="90">
        <f ca="1">IF($Y120="","",IF(OFFSET(U$55,'Intermediate Data'!$Y120,0)=-98,"Unknown",IF(OFFSET(U$55,'Intermediate Data'!$Y120,0)=-99,"",OFFSET(U$55,'Intermediate Data'!$Y120,0))))</f>
        <v>7</v>
      </c>
      <c r="AU120" s="112" t="str">
        <f ca="1">IF(AND(OFFSET(DATA!$F69,0,$AX$48)='Intermediate Data'!$AY$48,DATA!$E69="Tier 1"),IF(OR($AX$49=0,$AX$48=1),DATA!A69,IF(AND($AX$49=1,INDEX('Intermediate Data'!$AY$25:$AY$44,MATCH(DATA!$B69,'Intermediate Data'!$AX$25:$AX$44,0))=TRUE),DATA!A69,"")),"")</f>
        <v/>
      </c>
      <c r="AV120" s="112" t="str">
        <f ca="1">IF($AU120="","",DATA!B69)</f>
        <v/>
      </c>
      <c r="AW120" s="112" t="str">
        <f ca="1">IF(OR($AU120="",DATA!BI69=""),"",DATA!BI69)</f>
        <v/>
      </c>
      <c r="AX120" s="112" t="str">
        <f ca="1">IF(OR($AU120="",OFFSET(DATA!BK69,0,$AX$48)=""),"",OFFSET(DATA!BK69,0,$AX$48))</f>
        <v/>
      </c>
      <c r="AY120" s="112" t="str">
        <f ca="1">IF(OR($AU120="",OFFSET(DATA!BM69,0,$AX$48)=""),"",OFFSET(DATA!BM69,0,$AX$48))</f>
        <v/>
      </c>
      <c r="AZ120" s="112" t="str">
        <f ca="1">IF(OR($AU120="",OFFSET(DATA!BO69,0,'Intermediate Data'!$AX$48)=""),"",OFFSET(DATA!BO69,0,$AX$48))</f>
        <v/>
      </c>
      <c r="BA120" s="112" t="str">
        <f ca="1">IF(OR($AU120="",DATA!BQ69=""),"",DATA!BQ69)</f>
        <v/>
      </c>
      <c r="BB120" s="112" t="str">
        <f ca="1">IF($AU120="","",OFFSET(DATA!BS69,0,$AX$48))</f>
        <v/>
      </c>
      <c r="BC120" s="112" t="str">
        <f ca="1">IF($AU120="","",OFFSET(DATA!BU69,0,$AX$48))</f>
        <v/>
      </c>
      <c r="BD120" s="112" t="str">
        <f ca="1">IF($AU120="","",OFFSET(DATA!BW69,0,$AX$48))</f>
        <v/>
      </c>
      <c r="BE120" s="112" t="str">
        <f ca="1">IF($AU120="","",OFFSET(DATA!BY69,0,$AX$48))</f>
        <v/>
      </c>
      <c r="BF120" s="112" t="str">
        <f ca="1">IF($AU120="","",OFFSET(DATA!CA69,0,$AX$48))</f>
        <v/>
      </c>
      <c r="BG120" s="112" t="str">
        <f ca="1">IF($AU120="","",DATA!CC69)</f>
        <v/>
      </c>
      <c r="BH120" s="112" t="str">
        <f ca="1">IF($AU120="","",OFFSET(DATA!CE69,0,$AX$48))</f>
        <v/>
      </c>
      <c r="BI120" s="112" t="str">
        <f ca="1">IF($AU120="","",OFFSET(DATA!CG69,0,$AX$48))</f>
        <v/>
      </c>
      <c r="BJ120" s="112" t="str">
        <f ca="1">IF($AU120="","",OFFSET(DATA!CI69,0,$AX$48))</f>
        <v/>
      </c>
      <c r="BK120" s="112" t="str">
        <f ca="1">IF($AU120="","",OFFSET(DATA!CK69,0,$AX$48))</f>
        <v/>
      </c>
      <c r="BL120" s="112" t="str">
        <f ca="1">IF($AU120="","",OFFSET(DATA!CM69,0,$AX$48))</f>
        <v/>
      </c>
      <c r="BM120" s="112" t="str">
        <f ca="1">IF($AU120="","",DATA!BH69)</f>
        <v/>
      </c>
      <c r="BN120" s="112" t="str">
        <f ca="1">IF($AU120="","",DATA!DS69)</f>
        <v/>
      </c>
      <c r="BO120" s="112" t="str">
        <f ca="1">IF($AU120="","",DATA!DU69)</f>
        <v/>
      </c>
      <c r="BP120" s="112" t="str">
        <f ca="1">IF($AU120="","",DATA!DV69)</f>
        <v/>
      </c>
      <c r="BQ120" s="112" t="str">
        <f ca="1">IF($AU120="","",DATA!DX69)</f>
        <v/>
      </c>
      <c r="BR120" s="112" t="str">
        <f ca="1">IF($AU120="","",DATA!DZ69)</f>
        <v/>
      </c>
      <c r="BS120" s="171" t="str">
        <f ca="1">IF($AU120="","",DATA!EA69)</f>
        <v/>
      </c>
      <c r="BT120" s="171" t="str">
        <f ca="1">IF($AU120="","",DATA!EC69)</f>
        <v/>
      </c>
      <c r="BU120" s="171" t="str">
        <f ca="1">IF($AU120="","",DATA!EF69)</f>
        <v/>
      </c>
      <c r="BV120" s="113" t="str">
        <f t="shared" ca="1" si="10"/>
        <v/>
      </c>
      <c r="BW120" s="680" t="str">
        <f ca="1">IF(AU120="","",OFFSET(DATA!DC69,0,'Intermediate Data'!$AX$48))</f>
        <v/>
      </c>
      <c r="BX120" s="681" t="str">
        <f ca="1">IF($AU120="","",DATA!DG69)</f>
        <v/>
      </c>
      <c r="BY120" s="680" t="str">
        <f ca="1">IF($AU120="","",OFFSET(DATA!DE69,0,'Intermediate Data'!$AX$48))</f>
        <v/>
      </c>
      <c r="BZ120" s="681" t="str">
        <f ca="1">IF($AU120="","",DATA!DH69)</f>
        <v/>
      </c>
      <c r="CA120" s="90" t="str">
        <f t="shared" ca="1" si="11"/>
        <v/>
      </c>
      <c r="CB120" s="99" t="str">
        <f t="shared" ca="1" si="12"/>
        <v/>
      </c>
      <c r="CC120" s="90" t="str">
        <f t="shared" ca="1" si="13"/>
        <v/>
      </c>
      <c r="CD120" s="90" t="str">
        <f t="shared" ca="1" si="14"/>
        <v/>
      </c>
      <c r="CF120" s="90" t="str">
        <f ca="1">IF($CD120="","",IF(OFFSET(AV$55,'Intermediate Data'!$CD120,0)=-98,"Unknown",IF(OFFSET(AV$55,'Intermediate Data'!$CD120,0)=-99,"N/A",OFFSET(AV$55,'Intermediate Data'!$CD120,0))))</f>
        <v/>
      </c>
      <c r="CG120" s="90" t="str">
        <f ca="1">IF($CD120="","",IF(OFFSET(AW$55,'Intermediate Data'!$CD120,0)=-98,"",IF(OFFSET(AW$55,'Intermediate Data'!$CD120,0)=-99,"N/A",OFFSET(AW$55,'Intermediate Data'!$CD120,0))))</f>
        <v/>
      </c>
      <c r="CH120" s="90" t="str">
        <f ca="1">IF($CD120="","",IF(OFFSET(AX$55,'Intermediate Data'!$CD120,0)=-98,"Unknown",IF(OFFSET(AX$55,'Intermediate Data'!$CD120,0)=-99,"N/A",OFFSET(AX$55,'Intermediate Data'!$CD120,0))))</f>
        <v/>
      </c>
      <c r="CI120" s="125" t="str">
        <f ca="1">IF($CD120="","",IF(OFFSET(AY$55,'Intermediate Data'!$CD120,0)=-98,"Unknown",IF(OFFSET(AY$55,'Intermediate Data'!$CD120,0)=-99,"No spec",OFFSET(AY$55,'Intermediate Data'!$CD120,0))))</f>
        <v/>
      </c>
      <c r="CJ120" s="125" t="str">
        <f ca="1">IF($CD120="","",IF(OFFSET(AZ$55,'Intermediate Data'!$CD120,0)=-98,"Unknown",IF(OFFSET(AZ$55,'Intermediate Data'!$CD120,0)=-99,"N/A",OFFSET(AZ$55,'Intermediate Data'!$CD120,0))))</f>
        <v/>
      </c>
      <c r="CK120" s="90" t="str">
        <f ca="1">IF($CD120="","",IF(OFFSET(BA$55,'Intermediate Data'!$CD120,0)=-98,"Unknown",IF(OFFSET(BA$55,'Intermediate Data'!$CD120,0)=-99,"N/A",OFFSET(BA$55,'Intermediate Data'!$CD120,0))))</f>
        <v/>
      </c>
      <c r="CL120" s="90" t="str">
        <f ca="1">IF($CD120="","",IF(OFFSET(BB$55,'Intermediate Data'!$CD120,$AX$50)=-98,"Unknown",IF(OFFSET(BB$55,'Intermediate Data'!$CD120,$AX$50)="N/A","",OFFSET(BB$55,'Intermediate Data'!$CD120,$AX$50))))</f>
        <v/>
      </c>
      <c r="CM120" s="90" t="str">
        <f ca="1">IF($CD120="","",IF(OFFSET(BG$55,'Intermediate Data'!$CD120,0)="ET","ET",""))</f>
        <v/>
      </c>
      <c r="CN120" s="90" t="str">
        <f ca="1">IF($CD120="","",IF(OFFSET(BH$55,'Intermediate Data'!$CD120,$AX$50)=-98,"Unknown",IF(OFFSET(BH$55,'Intermediate Data'!$CD120,$AX$50)="N/A","",OFFSET(BH$55,'Intermediate Data'!$CD120,$AX$50))))</f>
        <v/>
      </c>
      <c r="CO120" s="90" t="str">
        <f ca="1">IF($CD120="","",IF(OFFSET(BM$55,'Intermediate Data'!$CD120,0)=-98,"Not published",IF(OFFSET(BM$55,'Intermediate Data'!$CD120,0)=-99,"No spec",OFFSET(BM$55,'Intermediate Data'!$CD120,0))))</f>
        <v/>
      </c>
      <c r="CP120" s="114" t="str">
        <f ca="1">IF($CD120="","",IF(OFFSET(BN$55,'Intermediate Data'!$CD120,0)=-98,"Unknown",IF(OFFSET(BN$55,'Intermediate Data'!$CD120,0)=-99,"N/A",OFFSET(BN$55,'Intermediate Data'!$CD120,0))))</f>
        <v/>
      </c>
      <c r="CQ120" s="114" t="str">
        <f ca="1">IF($CD120="","",IF(OFFSET(BO$55,'Intermediate Data'!$CD120,0)=-98,"Unknown",IF(OFFSET(BO$55,'Intermediate Data'!$CD120,0)=-99,"N/A",OFFSET(BO$55,'Intermediate Data'!$CD120,0))))</f>
        <v/>
      </c>
      <c r="CR120" s="114" t="str">
        <f ca="1">IF($CD120="","",IF(OFFSET(BP$55,'Intermediate Data'!$CD120,0)=-98,"Unknown",IF(OFFSET(BP$55,'Intermediate Data'!$CD120,0)=-99,"N/A",OFFSET(BP$55,'Intermediate Data'!$CD120,0))))</f>
        <v/>
      </c>
      <c r="CS120" s="114" t="str">
        <f ca="1">IF($CD120="","",IF(OFFSET(BQ$55,'Intermediate Data'!$CD120,0)=-98,"Unknown",IF(OFFSET(BQ$55,'Intermediate Data'!$CD120,0)=-99,"N/A",OFFSET(BQ$55,'Intermediate Data'!$CD120,0))))</f>
        <v/>
      </c>
      <c r="CT120" s="114" t="str">
        <f ca="1">IF($CD120="","",IF(OFFSET(BR$55,'Intermediate Data'!$CD120,0)=-98,"Unknown",IF(OFFSET(BR$55,'Intermediate Data'!$CD120,0)=-99,"N/A",OFFSET(BR$55,'Intermediate Data'!$CD120,0))))</f>
        <v/>
      </c>
      <c r="CU120" s="114" t="str">
        <f ca="1">IF($CD120="","",IF(OFFSET(BS$55,'Intermediate Data'!$CD120,0)=-98,"Unknown",IF(OFFSET(BS$55,'Intermediate Data'!$CD120,0)=-99,"N/A",OFFSET(BS$55,'Intermediate Data'!$CD120,0))))</f>
        <v/>
      </c>
      <c r="CV120" s="114" t="str">
        <f ca="1">IF($CD120="","",IF(OFFSET(BT$55,'Intermediate Data'!$CD120,0)=-98,"Unknown",IF(OFFSET(BT$55,'Intermediate Data'!$CD120,0)=-99,"N/A",OFFSET(BT$55,'Intermediate Data'!$CD120,0))))</f>
        <v/>
      </c>
      <c r="CW120" s="114" t="str">
        <f ca="1">IF($CD120="","",IF(OFFSET(BU$55,'Intermediate Data'!$CD120,0)=-98,"Unknown",IF(OFFSET(BU$55,'Intermediate Data'!$CD120,0)=-99,"N/A",OFFSET(BU$55,'Intermediate Data'!$CD120,0))))</f>
        <v/>
      </c>
      <c r="CX120" s="114" t="str">
        <f ca="1">IF($CD120="","",IF(OFFSET(BV$55,'Intermediate Data'!$CD120,0)=-98,"Unknown",IF(OFFSET(BV$55,'Intermediate Data'!$CD120,0)=-99,"N/A",OFFSET(BV$55,'Intermediate Data'!$CD120,0))))</f>
        <v/>
      </c>
      <c r="CY120" s="682" t="str">
        <f ca="1">IF($CD120="","",IF(OFFSET(BW$55,'Intermediate Data'!$CD120,0)=-98,"Unknown",IF(OFFSET(BW$55,'Intermediate Data'!$CD120,0)="N/A","",OFFSET(BW$55,'Intermediate Data'!$CD120,0))))</f>
        <v/>
      </c>
      <c r="CZ120" s="682" t="str">
        <f ca="1">IF($CD120="","",IF(OFFSET(BX$55,'Intermediate Data'!$CD120,0)=-98,"Unknown",IF(OFFSET(BX$55,'Intermediate Data'!$CD120,0)="N/A","",OFFSET(BX$55,'Intermediate Data'!$CD120,0))))</f>
        <v/>
      </c>
      <c r="DA120" s="682" t="str">
        <f ca="1">IF($CD120="","",IF(OFFSET(BY$55,'Intermediate Data'!$CD120,0)=-98,"Unknown",IF(OFFSET(BY$55,'Intermediate Data'!$CD120,0)="N/A","",OFFSET(BY$55,'Intermediate Data'!$CD120,0))))</f>
        <v/>
      </c>
      <c r="DB120" s="682" t="str">
        <f ca="1">IF($CD120="","",IF(OFFSET(BZ$55,'Intermediate Data'!$CD120,0)=-98,"Unknown",IF(OFFSET(BZ$55,'Intermediate Data'!$CD120,0)="N/A","",OFFSET(BZ$55,'Intermediate Data'!$CD120,0))))</f>
        <v/>
      </c>
    </row>
    <row r="121" spans="1:106" x14ac:dyDescent="0.2">
      <c r="A121" s="90">
        <f ca="1">IF(OFFSET(DATA!F70,0,$D$48)='Intermediate Data'!$E$48,IF(OR($E$49=$C$27,$E$48=$B$4),DATA!A70,IF($G$49=DATA!D70,DATA!A70,"")),"")</f>
        <v>66</v>
      </c>
      <c r="B121" s="90">
        <f ca="1">IF($A121="","",DATA!EH70)</f>
        <v>137</v>
      </c>
      <c r="C121" s="90" t="str">
        <f ca="1">IF($A121="","",DATA!B70)</f>
        <v>Air cleaner</v>
      </c>
      <c r="D121" s="90">
        <f ca="1">IF($A121="","",OFFSET(DATA!$H70,0,($D$50*5)))</f>
        <v>-99</v>
      </c>
      <c r="E121" s="90">
        <f ca="1">IF($A121="","",OFFSET(DATA!$H70,0,($D$50*5)+1))</f>
        <v>5.4521266888862913E-2</v>
      </c>
      <c r="F121" s="90">
        <f ca="1">IF($A121="","",OFFSET(DATA!$H70,0,($D$50*5)+2))</f>
        <v>-99</v>
      </c>
      <c r="G121" s="90">
        <f ca="1">IF($A121="","",OFFSET(DATA!$H70,0,($D$50*5)+3))</f>
        <v>7.1832805136575473E-2</v>
      </c>
      <c r="H121" s="90">
        <f ca="1">IF($A121="","",OFFSET(DATA!$H70,0,($D$50*5)+4))</f>
        <v>-99</v>
      </c>
      <c r="I121" s="90">
        <f t="shared" ref="I121:I184" ca="1" si="17">IF(A121="","",IF(SUM(D121:H121)&lt;-490,-99,IF(OR(H121=-99,H121=-98),IF(OR(G121=-99,G121=-98),E121,G121),H121)))</f>
        <v>7.1832805136575473E-2</v>
      </c>
      <c r="J121" s="90" t="str">
        <f t="shared" ref="J121:J184" ca="1" si="18">IF(OR(I121="",I121=-99),"",IF(I121=H121,"CLASS","RASS"))</f>
        <v>RASS</v>
      </c>
      <c r="K121" s="90">
        <f ca="1">IF($A121="","",OFFSET(DATA!$AG70,0,($D$50*5)))</f>
        <v>-99</v>
      </c>
      <c r="L121" s="90">
        <f ca="1">IF($A121="","",OFFSET(DATA!$AG70,0,($D$50*5)+1))</f>
        <v>6.6804335947603863E-2</v>
      </c>
      <c r="M121" s="90">
        <f ca="1">IF($A121="","",OFFSET(DATA!$AG70,0,($D$50*5)+2))</f>
        <v>-99</v>
      </c>
      <c r="N121" s="90">
        <f ca="1">IF($A121="","",OFFSET(DATA!$AG70,0,($D$50*5)+3))</f>
        <v>8.8005503055022055E-2</v>
      </c>
      <c r="O121" s="90">
        <f ca="1">IF($A121="","",OFFSET(DATA!$AG70,0,($D$50*5)+4))</f>
        <v>-99</v>
      </c>
      <c r="P121" s="90">
        <f t="shared" ref="P121:P184" ca="1" si="19">IF(I121="","",IF(SUM(K121:O121)&lt;-490,-99,IF(O121=-99,IF(N121=-99,L121,N121),O121)))</f>
        <v>8.8005503055022055E-2</v>
      </c>
      <c r="Q121" s="90" t="str">
        <f t="shared" ref="Q121:Q184" ca="1" si="20">IF(OR(P121="",P121=-99),"",IF(P121=O121,"CLASS","RASS"))</f>
        <v>RASS</v>
      </c>
      <c r="R121" s="699">
        <f ca="1">IF($A121="","",IF(DATA!BF70="",-99,DATA!BF70))</f>
        <v>-99</v>
      </c>
      <c r="S121" s="90">
        <f ca="1">IF($A121="","",IF(DATA!BG70="",-99,DATA!BF70-DATA!BG70))</f>
        <v>-99</v>
      </c>
      <c r="T121" s="90">
        <f ca="1">IF($A121="","",DATA!BH70)</f>
        <v>0.31</v>
      </c>
      <c r="U121" s="90">
        <f ca="1">IF($A121="","",OFFSET(DATA!BM70,0,$D$48))</f>
        <v>225</v>
      </c>
      <c r="V121" s="90">
        <f t="shared" ca="1" si="16"/>
        <v>137</v>
      </c>
      <c r="W121" s="99">
        <f t="shared" ref="W121:W184" ca="1" si="21">IF(C121="","",V121+(SUM(E121:O121,T121:U121)/10000000)+(ROW()/100000000000))</f>
        <v>136.99997306750967</v>
      </c>
      <c r="X121" s="112">
        <f t="shared" ref="X121:X184" ca="1" si="22">IFERROR(LARGE($W$56:$W$192,ROW()-ROW($X$55)),"")</f>
        <v>65.999910914658969</v>
      </c>
      <c r="Y121" s="90">
        <f t="shared" ref="Y121:Y184" ca="1" si="23">IF(X121="","",MATCH(X121,$W$56:$W$192,0))</f>
        <v>114</v>
      </c>
      <c r="AA121" s="90" t="str">
        <f ca="1">IF($Y121="","",IF(OFFSET(C$55,'Intermediate Data'!$Y121,0)=-98,"Unknown",IF(OFFSET(C$55,'Intermediate Data'!$Y121,0)=-99,"N/A",OFFSET(C$55,'Intermediate Data'!$Y121,0))))</f>
        <v>Medical equipment</v>
      </c>
      <c r="AB121" s="90" t="str">
        <f ca="1">IF($Y121="","",IF(OFFSET(D$55,'Intermediate Data'!$Y121,0)=-98,"N/A",IF(OFFSET(D$55,'Intermediate Data'!$Y121,0)=-99,"N/A",OFFSET(D$55,'Intermediate Data'!$Y121,0))))</f>
        <v>N/A</v>
      </c>
      <c r="AC121" s="90">
        <f ca="1">IF($Y121="","",IF(OFFSET(E$55,'Intermediate Data'!$Y121,0)=-98,"N/A",IF(OFFSET(E$55,'Intermediate Data'!$Y121,0)=-99,"N/A",OFFSET(E$55,'Intermediate Data'!$Y121,0))))</f>
        <v>2.9803524043684457E-2</v>
      </c>
      <c r="AD121" s="90" t="str">
        <f ca="1">IF($Y121="","",IF(OFFSET(F$55,'Intermediate Data'!$Y121,0)=-98,"N/A",IF(OFFSET(F$55,'Intermediate Data'!$Y121,0)=-99,"N/A",OFFSET(F$55,'Intermediate Data'!$Y121,0))))</f>
        <v>N/A</v>
      </c>
      <c r="AE121" s="90">
        <f ca="1">IF($Y121="","",IF(OFFSET(G$55,'Intermediate Data'!$Y121,0)=-98,"N/A",IF(OFFSET(G$55,'Intermediate Data'!$Y121,0)=-99,"N/A",OFFSET(G$55,'Intermediate Data'!$Y121,0))))</f>
        <v>4.9943091726367433E-2</v>
      </c>
      <c r="AF121" s="90" t="str">
        <f ca="1">IF($Y121="","",IF(OFFSET(H$55,'Intermediate Data'!$Y121,0)=-98,"N/A",IF(OFFSET(H$55,'Intermediate Data'!$Y121,0)=-99,"N/A",OFFSET(H$55,'Intermediate Data'!$Y121,0))))</f>
        <v>N/A</v>
      </c>
      <c r="AG121" s="90">
        <f ca="1">IF($Y121="","",IF(OFFSET(I$55,'Intermediate Data'!$Y121,0)=-98,"N/A",IF(OFFSET(I$55,'Intermediate Data'!$Y121,0)=-99,"N/A",OFFSET(I$55,'Intermediate Data'!$Y121,0))))</f>
        <v>4.9943091726367433E-2</v>
      </c>
      <c r="AH121" s="90" t="str">
        <f ca="1">IF($Y121="","",IF(OFFSET(J$55,'Intermediate Data'!$Y121,0)=-98,"N/A",IF(OFFSET(J$55,'Intermediate Data'!$Y121,0)=-99,"N/A",OFFSET(J$55,'Intermediate Data'!$Y121,0))))</f>
        <v>RASS</v>
      </c>
      <c r="AI121" s="90" t="str">
        <f ca="1">IF($Y121="","",IF(OFFSET(K$55,'Intermediate Data'!$Y121,0)=-98,"N/A",IF(OFFSET(K$55,'Intermediate Data'!$Y121,0)=-99,"N/A",OFFSET(K$55,'Intermediate Data'!$Y121,0))))</f>
        <v>N/A</v>
      </c>
      <c r="AJ121" s="90" t="str">
        <f ca="1">IF($Y121="","",IF(OFFSET(L$55,'Intermediate Data'!$Y121,0)=-98,"N/A",IF(OFFSET(L$55,'Intermediate Data'!$Y121,0)=-99,"N/A",OFFSET(L$55,'Intermediate Data'!$Y121,0))))</f>
        <v>N/A</v>
      </c>
      <c r="AK121" s="90" t="str">
        <f ca="1">IF($Y121="","",IF(OFFSET(M$55,'Intermediate Data'!$Y121,0)=-98,"N/A",IF(OFFSET(M$55,'Intermediate Data'!$Y121,0)=-99,"N/A",OFFSET(M$55,'Intermediate Data'!$Y121,0))))</f>
        <v>N/A</v>
      </c>
      <c r="AL121" s="90" t="str">
        <f ca="1">IF($Y121="","",IF(OFFSET(N$55,'Intermediate Data'!$Y121,0)=-98,"N/A",IF(OFFSET(N$55,'Intermediate Data'!$Y121,0)=-99,"N/A",OFFSET(N$55,'Intermediate Data'!$Y121,0))))</f>
        <v>N/A</v>
      </c>
      <c r="AM121" s="90" t="str">
        <f ca="1">IF($Y121="","",IF(OFFSET(O$55,'Intermediate Data'!$Y121,0)=-98,"N/A",IF(OFFSET(O$55,'Intermediate Data'!$Y121,0)=-99,"N/A",OFFSET(O$55,'Intermediate Data'!$Y121,0))))</f>
        <v>N/A</v>
      </c>
      <c r="AN121" s="90" t="str">
        <f ca="1">IF($Y121="","",IF(OFFSET(P$55,'Intermediate Data'!$Y121,0)=-98,"N/A",IF(OFFSET(P$55,'Intermediate Data'!$Y121,0)=-99,"N/A",OFFSET(P$55,'Intermediate Data'!$Y121,0))))</f>
        <v>N/A</v>
      </c>
      <c r="AO121" s="90" t="str">
        <f ca="1">IF($Y121="","",IF(OFFSET(Q$55,'Intermediate Data'!$Y121,0)=-98,"N/A",IF(OFFSET(Q$55,'Intermediate Data'!$Y121,0)=-99,"N/A",OFFSET(Q$55,'Intermediate Data'!$Y121,0))))</f>
        <v/>
      </c>
      <c r="AP121" s="697" t="str">
        <f ca="1">IF($Y121="","",IF(OFFSET(S$55,'Intermediate Data'!$Y121,0)=-98,"",IF(OFFSET(S$55,'Intermediate Data'!$Y121,0)=-99,"",OFFSET(S$55,'Intermediate Data'!$Y121,0))))</f>
        <v/>
      </c>
      <c r="AQ121" s="90" t="str">
        <f ca="1">IF($Y121="","",IF(OFFSET(T$55,'Intermediate Data'!$Y121,0)=-98,"Not published",IF(OFFSET(T$55,'Intermediate Data'!$Y121,0)=-99,"",OFFSET(T$55,'Intermediate Data'!$Y121,0))))</f>
        <v/>
      </c>
      <c r="AR121" s="90" t="str">
        <f ca="1">IF($Y121="","",IF(OFFSET(U$55,'Intermediate Data'!$Y121,0)=-98,"Unknown",IF(OFFSET(U$55,'Intermediate Data'!$Y121,0)=-99,"",OFFSET(U$55,'Intermediate Data'!$Y121,0))))</f>
        <v/>
      </c>
      <c r="AU121" s="112" t="str">
        <f ca="1">IF(AND(OFFSET(DATA!$F70,0,$AX$48)='Intermediate Data'!$AY$48,DATA!$E70="Tier 1"),IF(OR($AX$49=0,$AX$48=1),DATA!A70,IF(AND($AX$49=1,INDEX('Intermediate Data'!$AY$25:$AY$44,MATCH(DATA!$B70,'Intermediate Data'!$AX$25:$AX$44,0))=TRUE),DATA!A70,"")),"")</f>
        <v/>
      </c>
      <c r="AV121" s="112" t="str">
        <f ca="1">IF($AU121="","",DATA!B70)</f>
        <v/>
      </c>
      <c r="AW121" s="112" t="str">
        <f ca="1">IF(OR($AU121="",DATA!BI70=""),"",DATA!BI70)</f>
        <v/>
      </c>
      <c r="AX121" s="112" t="str">
        <f ca="1">IF(OR($AU121="",OFFSET(DATA!BK70,0,$AX$48)=""),"",OFFSET(DATA!BK70,0,$AX$48))</f>
        <v/>
      </c>
      <c r="AY121" s="112" t="str">
        <f ca="1">IF(OR($AU121="",OFFSET(DATA!BM70,0,$AX$48)=""),"",OFFSET(DATA!BM70,0,$AX$48))</f>
        <v/>
      </c>
      <c r="AZ121" s="112" t="str">
        <f ca="1">IF(OR($AU121="",OFFSET(DATA!BO70,0,'Intermediate Data'!$AX$48)=""),"",OFFSET(DATA!BO70,0,$AX$48))</f>
        <v/>
      </c>
      <c r="BA121" s="112" t="str">
        <f ca="1">IF(OR($AU121="",DATA!BQ70=""),"",DATA!BQ70)</f>
        <v/>
      </c>
      <c r="BB121" s="112" t="str">
        <f ca="1">IF($AU121="","",OFFSET(DATA!BS70,0,$AX$48))</f>
        <v/>
      </c>
      <c r="BC121" s="112" t="str">
        <f ca="1">IF($AU121="","",OFFSET(DATA!BU70,0,$AX$48))</f>
        <v/>
      </c>
      <c r="BD121" s="112" t="str">
        <f ca="1">IF($AU121="","",OFFSET(DATA!BW70,0,$AX$48))</f>
        <v/>
      </c>
      <c r="BE121" s="112" t="str">
        <f ca="1">IF($AU121="","",OFFSET(DATA!BY70,0,$AX$48))</f>
        <v/>
      </c>
      <c r="BF121" s="112" t="str">
        <f ca="1">IF($AU121="","",OFFSET(DATA!CA70,0,$AX$48))</f>
        <v/>
      </c>
      <c r="BG121" s="112" t="str">
        <f ca="1">IF($AU121="","",DATA!CC70)</f>
        <v/>
      </c>
      <c r="BH121" s="112" t="str">
        <f ca="1">IF($AU121="","",OFFSET(DATA!CE70,0,$AX$48))</f>
        <v/>
      </c>
      <c r="BI121" s="112" t="str">
        <f ca="1">IF($AU121="","",OFFSET(DATA!CG70,0,$AX$48))</f>
        <v/>
      </c>
      <c r="BJ121" s="112" t="str">
        <f ca="1">IF($AU121="","",OFFSET(DATA!CI70,0,$AX$48))</f>
        <v/>
      </c>
      <c r="BK121" s="112" t="str">
        <f ca="1">IF($AU121="","",OFFSET(DATA!CK70,0,$AX$48))</f>
        <v/>
      </c>
      <c r="BL121" s="112" t="str">
        <f ca="1">IF($AU121="","",OFFSET(DATA!CM70,0,$AX$48))</f>
        <v/>
      </c>
      <c r="BM121" s="112" t="str">
        <f ca="1">IF($AU121="","",DATA!BH70)</f>
        <v/>
      </c>
      <c r="BN121" s="112" t="str">
        <f ca="1">IF($AU121="","",DATA!DS70)</f>
        <v/>
      </c>
      <c r="BO121" s="112" t="str">
        <f ca="1">IF($AU121="","",DATA!DU70)</f>
        <v/>
      </c>
      <c r="BP121" s="112" t="str">
        <f ca="1">IF($AU121="","",DATA!DV70)</f>
        <v/>
      </c>
      <c r="BQ121" s="112" t="str">
        <f ca="1">IF($AU121="","",DATA!DX70)</f>
        <v/>
      </c>
      <c r="BR121" s="112" t="str">
        <f ca="1">IF($AU121="","",DATA!DZ70)</f>
        <v/>
      </c>
      <c r="BS121" s="171" t="str">
        <f ca="1">IF($AU121="","",DATA!EA70)</f>
        <v/>
      </c>
      <c r="BT121" s="171" t="str">
        <f ca="1">IF($AU121="","",DATA!EC70)</f>
        <v/>
      </c>
      <c r="BU121" s="171" t="str">
        <f ca="1">IF($AU121="","",DATA!EF70)</f>
        <v/>
      </c>
      <c r="BV121" s="113" t="str">
        <f t="shared" ref="BV121:BV184" ca="1" si="24">IF(MAX(BP121,BS121,BU121)=0,"",MAX(BP121,BS121,BU121))</f>
        <v/>
      </c>
      <c r="BW121" s="680" t="str">
        <f ca="1">IF(AU121="","",OFFSET(DATA!DC70,0,'Intermediate Data'!$AX$48))</f>
        <v/>
      </c>
      <c r="BX121" s="681" t="str">
        <f ca="1">IF($AU121="","",DATA!DG70)</f>
        <v/>
      </c>
      <c r="BY121" s="680" t="str">
        <f ca="1">IF($AU121="","",OFFSET(DATA!DE70,0,'Intermediate Data'!$AX$48))</f>
        <v/>
      </c>
      <c r="BZ121" s="681" t="str">
        <f ca="1">IF($AU121="","",DATA!DH70)</f>
        <v/>
      </c>
      <c r="CA121" s="90" t="str">
        <f t="shared" ref="CA121:CA184" ca="1" si="25">IFERROR(OFFSET(AV121,0,MATCH($AY$51,$AW$54:$BZ$54,0)),"")</f>
        <v/>
      </c>
      <c r="CB121" s="99" t="str">
        <f t="shared" ref="CB121:CB184" ca="1" si="26">IFERROR(IF(AU121="","",CA121+ROW()/100000),ROW()/1000000)</f>
        <v/>
      </c>
      <c r="CC121" s="90" t="str">
        <f t="shared" ref="CC121:CC184" ca="1" si="27">IFERROR(LARGE($CB$56:$CB$192,ROW()-ROW($CC$55)),"")</f>
        <v/>
      </c>
      <c r="CD121" s="90" t="str">
        <f t="shared" ref="CD121:CD184" ca="1" si="28">IF(CC121="","",MATCH(CC121,$CB$56:$CB$192,0))</f>
        <v/>
      </c>
      <c r="CF121" s="90" t="str">
        <f ca="1">IF($CD121="","",IF(OFFSET(AV$55,'Intermediate Data'!$CD121,0)=-98,"Unknown",IF(OFFSET(AV$55,'Intermediate Data'!$CD121,0)=-99,"N/A",OFFSET(AV$55,'Intermediate Data'!$CD121,0))))</f>
        <v/>
      </c>
      <c r="CG121" s="90" t="str">
        <f ca="1">IF($CD121="","",IF(OFFSET(AW$55,'Intermediate Data'!$CD121,0)=-98,"",IF(OFFSET(AW$55,'Intermediate Data'!$CD121,0)=-99,"N/A",OFFSET(AW$55,'Intermediate Data'!$CD121,0))))</f>
        <v/>
      </c>
      <c r="CH121" s="90" t="str">
        <f ca="1">IF($CD121="","",IF(OFFSET(AX$55,'Intermediate Data'!$CD121,0)=-98,"Unknown",IF(OFFSET(AX$55,'Intermediate Data'!$CD121,0)=-99,"N/A",OFFSET(AX$55,'Intermediate Data'!$CD121,0))))</f>
        <v/>
      </c>
      <c r="CI121" s="125" t="str">
        <f ca="1">IF($CD121="","",IF(OFFSET(AY$55,'Intermediate Data'!$CD121,0)=-98,"Unknown",IF(OFFSET(AY$55,'Intermediate Data'!$CD121,0)=-99,"No spec",OFFSET(AY$55,'Intermediate Data'!$CD121,0))))</f>
        <v/>
      </c>
      <c r="CJ121" s="125" t="str">
        <f ca="1">IF($CD121="","",IF(OFFSET(AZ$55,'Intermediate Data'!$CD121,0)=-98,"Unknown",IF(OFFSET(AZ$55,'Intermediate Data'!$CD121,0)=-99,"N/A",OFFSET(AZ$55,'Intermediate Data'!$CD121,0))))</f>
        <v/>
      </c>
      <c r="CK121" s="90" t="str">
        <f ca="1">IF($CD121="","",IF(OFFSET(BA$55,'Intermediate Data'!$CD121,0)=-98,"Unknown",IF(OFFSET(BA$55,'Intermediate Data'!$CD121,0)=-99,"N/A",OFFSET(BA$55,'Intermediate Data'!$CD121,0))))</f>
        <v/>
      </c>
      <c r="CL121" s="90" t="str">
        <f ca="1">IF($CD121="","",IF(OFFSET(BB$55,'Intermediate Data'!$CD121,$AX$50)=-98,"Unknown",IF(OFFSET(BB$55,'Intermediate Data'!$CD121,$AX$50)="N/A","",OFFSET(BB$55,'Intermediate Data'!$CD121,$AX$50))))</f>
        <v/>
      </c>
      <c r="CM121" s="90" t="str">
        <f ca="1">IF($CD121="","",IF(OFFSET(BG$55,'Intermediate Data'!$CD121,0)="ET","ET",""))</f>
        <v/>
      </c>
      <c r="CN121" s="90" t="str">
        <f ca="1">IF($CD121="","",IF(OFFSET(BH$55,'Intermediate Data'!$CD121,$AX$50)=-98,"Unknown",IF(OFFSET(BH$55,'Intermediate Data'!$CD121,$AX$50)="N/A","",OFFSET(BH$55,'Intermediate Data'!$CD121,$AX$50))))</f>
        <v/>
      </c>
      <c r="CO121" s="90" t="str">
        <f ca="1">IF($CD121="","",IF(OFFSET(BM$55,'Intermediate Data'!$CD121,0)=-98,"Not published",IF(OFFSET(BM$55,'Intermediate Data'!$CD121,0)=-99,"No spec",OFFSET(BM$55,'Intermediate Data'!$CD121,0))))</f>
        <v/>
      </c>
      <c r="CP121" s="114" t="str">
        <f ca="1">IF($CD121="","",IF(OFFSET(BN$55,'Intermediate Data'!$CD121,0)=-98,"Unknown",IF(OFFSET(BN$55,'Intermediate Data'!$CD121,0)=-99,"N/A",OFFSET(BN$55,'Intermediate Data'!$CD121,0))))</f>
        <v/>
      </c>
      <c r="CQ121" s="114" t="str">
        <f ca="1">IF($CD121="","",IF(OFFSET(BO$55,'Intermediate Data'!$CD121,0)=-98,"Unknown",IF(OFFSET(BO$55,'Intermediate Data'!$CD121,0)=-99,"N/A",OFFSET(BO$55,'Intermediate Data'!$CD121,0))))</f>
        <v/>
      </c>
      <c r="CR121" s="114" t="str">
        <f ca="1">IF($CD121="","",IF(OFFSET(BP$55,'Intermediate Data'!$CD121,0)=-98,"Unknown",IF(OFFSET(BP$55,'Intermediate Data'!$CD121,0)=-99,"N/A",OFFSET(BP$55,'Intermediate Data'!$CD121,0))))</f>
        <v/>
      </c>
      <c r="CS121" s="114" t="str">
        <f ca="1">IF($CD121="","",IF(OFFSET(BQ$55,'Intermediate Data'!$CD121,0)=-98,"Unknown",IF(OFFSET(BQ$55,'Intermediate Data'!$CD121,0)=-99,"N/A",OFFSET(BQ$55,'Intermediate Data'!$CD121,0))))</f>
        <v/>
      </c>
      <c r="CT121" s="114" t="str">
        <f ca="1">IF($CD121="","",IF(OFFSET(BR$55,'Intermediate Data'!$CD121,0)=-98,"Unknown",IF(OFFSET(BR$55,'Intermediate Data'!$CD121,0)=-99,"N/A",OFFSET(BR$55,'Intermediate Data'!$CD121,0))))</f>
        <v/>
      </c>
      <c r="CU121" s="114" t="str">
        <f ca="1">IF($CD121="","",IF(OFFSET(BS$55,'Intermediate Data'!$CD121,0)=-98,"Unknown",IF(OFFSET(BS$55,'Intermediate Data'!$CD121,0)=-99,"N/A",OFFSET(BS$55,'Intermediate Data'!$CD121,0))))</f>
        <v/>
      </c>
      <c r="CV121" s="114" t="str">
        <f ca="1">IF($CD121="","",IF(OFFSET(BT$55,'Intermediate Data'!$CD121,0)=-98,"Unknown",IF(OFFSET(BT$55,'Intermediate Data'!$CD121,0)=-99,"N/A",OFFSET(BT$55,'Intermediate Data'!$CD121,0))))</f>
        <v/>
      </c>
      <c r="CW121" s="114" t="str">
        <f ca="1">IF($CD121="","",IF(OFFSET(BU$55,'Intermediate Data'!$CD121,0)=-98,"Unknown",IF(OFFSET(BU$55,'Intermediate Data'!$CD121,0)=-99,"N/A",OFFSET(BU$55,'Intermediate Data'!$CD121,0))))</f>
        <v/>
      </c>
      <c r="CX121" s="114" t="str">
        <f ca="1">IF($CD121="","",IF(OFFSET(BV$55,'Intermediate Data'!$CD121,0)=-98,"Unknown",IF(OFFSET(BV$55,'Intermediate Data'!$CD121,0)=-99,"N/A",OFFSET(BV$55,'Intermediate Data'!$CD121,0))))</f>
        <v/>
      </c>
      <c r="CY121" s="682" t="str">
        <f ca="1">IF($CD121="","",IF(OFFSET(BW$55,'Intermediate Data'!$CD121,0)=-98,"Unknown",IF(OFFSET(BW$55,'Intermediate Data'!$CD121,0)="N/A","",OFFSET(BW$55,'Intermediate Data'!$CD121,0))))</f>
        <v/>
      </c>
      <c r="CZ121" s="682" t="str">
        <f ca="1">IF($CD121="","",IF(OFFSET(BX$55,'Intermediate Data'!$CD121,0)=-98,"Unknown",IF(OFFSET(BX$55,'Intermediate Data'!$CD121,0)="N/A","",OFFSET(BX$55,'Intermediate Data'!$CD121,0))))</f>
        <v/>
      </c>
      <c r="DA121" s="682" t="str">
        <f ca="1">IF($CD121="","",IF(OFFSET(BY$55,'Intermediate Data'!$CD121,0)=-98,"Unknown",IF(OFFSET(BY$55,'Intermediate Data'!$CD121,0)="N/A","",OFFSET(BY$55,'Intermediate Data'!$CD121,0))))</f>
        <v/>
      </c>
      <c r="DB121" s="682" t="str">
        <f ca="1">IF($CD121="","",IF(OFFSET(BZ$55,'Intermediate Data'!$CD121,0)=-98,"Unknown",IF(OFFSET(BZ$55,'Intermediate Data'!$CD121,0)="N/A","",OFFSET(BZ$55,'Intermediate Data'!$CD121,0))))</f>
        <v/>
      </c>
    </row>
    <row r="122" spans="1:106" x14ac:dyDescent="0.2">
      <c r="A122" s="90">
        <f ca="1">IF(OFFSET(DATA!F71,0,$D$48)='Intermediate Data'!$E$48,IF(OR($E$49=$C$27,$E$48=$B$4),DATA!A71,IF($G$49=DATA!D71,DATA!A71,"")),"")</f>
        <v>67</v>
      </c>
      <c r="B122" s="90">
        <f ca="1">IF($A122="","",DATA!EH71)</f>
        <v>134</v>
      </c>
      <c r="C122" s="90" t="str">
        <f ca="1">IF($A122="","",DATA!B71)</f>
        <v>Attic fan</v>
      </c>
      <c r="D122" s="90">
        <f ca="1">IF($A122="","",OFFSET(DATA!$H71,0,($D$50*5)))</f>
        <v>-99</v>
      </c>
      <c r="E122" s="90">
        <f ca="1">IF($A122="","",OFFSET(DATA!$H71,0,($D$50*5)+1))</f>
        <v>5.9898197375220903E-2</v>
      </c>
      <c r="F122" s="90">
        <f ca="1">IF($A122="","",OFFSET(DATA!$H71,0,($D$50*5)+2))</f>
        <v>-99</v>
      </c>
      <c r="G122" s="90">
        <f ca="1">IF($A122="","",OFFSET(DATA!$H71,0,($D$50*5)+3))</f>
        <v>7.9451480391947105E-2</v>
      </c>
      <c r="H122" s="90">
        <f ca="1">IF($A122="","",OFFSET(DATA!$H71,0,($D$50*5)+4))</f>
        <v>-99</v>
      </c>
      <c r="I122" s="90">
        <f t="shared" ca="1" si="17"/>
        <v>7.9451480391947105E-2</v>
      </c>
      <c r="J122" s="90" t="str">
        <f t="shared" ca="1" si="18"/>
        <v>RASS</v>
      </c>
      <c r="K122" s="90">
        <f ca="1">IF($A122="","",OFFSET(DATA!$AG71,0,($D$50*5)))</f>
        <v>-99</v>
      </c>
      <c r="L122" s="90">
        <f ca="1">IF($A122="","",OFFSET(DATA!$AG71,0,($D$50*5)+1))</f>
        <v>6.9779706229129435E-2</v>
      </c>
      <c r="M122" s="90">
        <f ca="1">IF($A122="","",OFFSET(DATA!$AG71,0,($D$50*5)+2))</f>
        <v>-99</v>
      </c>
      <c r="N122" s="90">
        <f ca="1">IF($A122="","",OFFSET(DATA!$AG71,0,($D$50*5)+3))</f>
        <v>9.4017850539612605E-2</v>
      </c>
      <c r="O122" s="90">
        <f ca="1">IF($A122="","",OFFSET(DATA!$AG71,0,($D$50*5)+4))</f>
        <v>-99</v>
      </c>
      <c r="P122" s="90">
        <f t="shared" ca="1" si="19"/>
        <v>9.4017850539612605E-2</v>
      </c>
      <c r="Q122" s="90" t="str">
        <f t="shared" ca="1" si="20"/>
        <v>RASS</v>
      </c>
      <c r="R122" s="699">
        <f ca="1">IF($A122="","",IF(DATA!BF71="",-99,DATA!BF71))</f>
        <v>-99</v>
      </c>
      <c r="S122" s="90">
        <f ca="1">IF($A122="","",IF(DATA!BG71="",-99,DATA!BF71-DATA!BG71))</f>
        <v>-99</v>
      </c>
      <c r="T122" s="90">
        <f ca="1">IF($A122="","",DATA!BH71)</f>
        <v>-99</v>
      </c>
      <c r="U122" s="90">
        <f ca="1">IF($A122="","",OFFSET(DATA!BM71,0,$D$48))</f>
        <v>-99</v>
      </c>
      <c r="V122" s="90">
        <f t="shared" ca="1" si="16"/>
        <v>134</v>
      </c>
      <c r="W122" s="99">
        <f t="shared" ca="1" si="21"/>
        <v>133.99993073947988</v>
      </c>
      <c r="X122" s="112">
        <f t="shared" ca="1" si="22"/>
        <v>64.999911168587147</v>
      </c>
      <c r="Y122" s="90">
        <f t="shared" ca="1" si="23"/>
        <v>8</v>
      </c>
      <c r="AA122" s="90" t="str">
        <f ca="1">IF($Y122="","",IF(OFFSET(C$55,'Intermediate Data'!$Y122,0)=-98,"Unknown",IF(OFFSET(C$55,'Intermediate Data'!$Y122,0)=-99,"N/A",OFFSET(C$55,'Intermediate Data'!$Y122,0))))</f>
        <v>Microwave oven</v>
      </c>
      <c r="AB122" s="90" t="str">
        <f ca="1">IF($Y122="","",IF(OFFSET(D$55,'Intermediate Data'!$Y122,0)=-98,"N/A",IF(OFFSET(D$55,'Intermediate Data'!$Y122,0)=-99,"N/A",OFFSET(D$55,'Intermediate Data'!$Y122,0))))</f>
        <v>N/A</v>
      </c>
      <c r="AC122" s="90">
        <f ca="1">IF($Y122="","",IF(OFFSET(E$55,'Intermediate Data'!$Y122,0)=-98,"N/A",IF(OFFSET(E$55,'Intermediate Data'!$Y122,0)=-99,"N/A",OFFSET(E$55,'Intermediate Data'!$Y122,0))))</f>
        <v>0.95128559283769853</v>
      </c>
      <c r="AD122" s="90" t="str">
        <f ca="1">IF($Y122="","",IF(OFFSET(F$55,'Intermediate Data'!$Y122,0)=-98,"N/A",IF(OFFSET(F$55,'Intermediate Data'!$Y122,0)=-99,"N/A",OFFSET(F$55,'Intermediate Data'!$Y122,0))))</f>
        <v>N/A</v>
      </c>
      <c r="AE122" s="90">
        <f ca="1">IF($Y122="","",IF(OFFSET(G$55,'Intermediate Data'!$Y122,0)=-98,"N/A",IF(OFFSET(G$55,'Intermediate Data'!$Y122,0)=-99,"N/A",OFFSET(G$55,'Intermediate Data'!$Y122,0))))</f>
        <v>0.86414298720496718</v>
      </c>
      <c r="AF122" s="90" t="str">
        <f ca="1">IF($Y122="","",IF(OFFSET(H$55,'Intermediate Data'!$Y122,0)=-98,"N/A",IF(OFFSET(H$55,'Intermediate Data'!$Y122,0)=-99,"N/A",OFFSET(H$55,'Intermediate Data'!$Y122,0))))</f>
        <v>N/A</v>
      </c>
      <c r="AG122" s="90">
        <f ca="1">IF($Y122="","",IF(OFFSET(I$55,'Intermediate Data'!$Y122,0)=-98,"N/A",IF(OFFSET(I$55,'Intermediate Data'!$Y122,0)=-99,"N/A",OFFSET(I$55,'Intermediate Data'!$Y122,0))))</f>
        <v>0.86414298720496718</v>
      </c>
      <c r="AH122" s="90" t="str">
        <f ca="1">IF($Y122="","",IF(OFFSET(J$55,'Intermediate Data'!$Y122,0)=-98,"N/A",IF(OFFSET(J$55,'Intermediate Data'!$Y122,0)=-99,"N/A",OFFSET(J$55,'Intermediate Data'!$Y122,0))))</f>
        <v>RASS</v>
      </c>
      <c r="AI122" s="90" t="str">
        <f ca="1">IF($Y122="","",IF(OFFSET(K$55,'Intermediate Data'!$Y122,0)=-98,"N/A",IF(OFFSET(K$55,'Intermediate Data'!$Y122,0)=-99,"N/A",OFFSET(K$55,'Intermediate Data'!$Y122,0))))</f>
        <v>N/A</v>
      </c>
      <c r="AJ122" s="90" t="str">
        <f ca="1">IF($Y122="","",IF(OFFSET(L$55,'Intermediate Data'!$Y122,0)=-98,"N/A",IF(OFFSET(L$55,'Intermediate Data'!$Y122,0)=-99,"N/A",OFFSET(L$55,'Intermediate Data'!$Y122,0))))</f>
        <v>N/A</v>
      </c>
      <c r="AK122" s="90" t="str">
        <f ca="1">IF($Y122="","",IF(OFFSET(M$55,'Intermediate Data'!$Y122,0)=-98,"N/A",IF(OFFSET(M$55,'Intermediate Data'!$Y122,0)=-99,"N/A",OFFSET(M$55,'Intermediate Data'!$Y122,0))))</f>
        <v>N/A</v>
      </c>
      <c r="AL122" s="90" t="str">
        <f ca="1">IF($Y122="","",IF(OFFSET(N$55,'Intermediate Data'!$Y122,0)=-98,"N/A",IF(OFFSET(N$55,'Intermediate Data'!$Y122,0)=-99,"N/A",OFFSET(N$55,'Intermediate Data'!$Y122,0))))</f>
        <v>N/A</v>
      </c>
      <c r="AM122" s="90" t="str">
        <f ca="1">IF($Y122="","",IF(OFFSET(O$55,'Intermediate Data'!$Y122,0)=-98,"N/A",IF(OFFSET(O$55,'Intermediate Data'!$Y122,0)=-99,"N/A",OFFSET(O$55,'Intermediate Data'!$Y122,0))))</f>
        <v>N/A</v>
      </c>
      <c r="AN122" s="90" t="str">
        <f ca="1">IF($Y122="","",IF(OFFSET(P$55,'Intermediate Data'!$Y122,0)=-98,"N/A",IF(OFFSET(P$55,'Intermediate Data'!$Y122,0)=-99,"N/A",OFFSET(P$55,'Intermediate Data'!$Y122,0))))</f>
        <v>N/A</v>
      </c>
      <c r="AO122" s="90" t="str">
        <f ca="1">IF($Y122="","",IF(OFFSET(Q$55,'Intermediate Data'!$Y122,0)=-98,"N/A",IF(OFFSET(Q$55,'Intermediate Data'!$Y122,0)=-99,"N/A",OFFSET(Q$55,'Intermediate Data'!$Y122,0))))</f>
        <v/>
      </c>
      <c r="AP122" s="697" t="str">
        <f ca="1">IF($Y122="","",IF(OFFSET(S$55,'Intermediate Data'!$Y122,0)=-98,"",IF(OFFSET(S$55,'Intermediate Data'!$Y122,0)=-99,"",OFFSET(S$55,'Intermediate Data'!$Y122,0))))</f>
        <v/>
      </c>
      <c r="AQ122" s="90" t="str">
        <f ca="1">IF($Y122="","",IF(OFFSET(T$55,'Intermediate Data'!$Y122,0)=-98,"Not published",IF(OFFSET(T$55,'Intermediate Data'!$Y122,0)=-99,"",OFFSET(T$55,'Intermediate Data'!$Y122,0))))</f>
        <v/>
      </c>
      <c r="AR122" s="90" t="str">
        <f ca="1">IF($Y122="","",IF(OFFSET(U$55,'Intermediate Data'!$Y122,0)=-98,"Unknown",IF(OFFSET(U$55,'Intermediate Data'!$Y122,0)=-99,"",OFFSET(U$55,'Intermediate Data'!$Y122,0))))</f>
        <v/>
      </c>
      <c r="AU122" s="112" t="str">
        <f ca="1">IF(AND(OFFSET(DATA!$F71,0,$AX$48)='Intermediate Data'!$AY$48,DATA!$E71="Tier 1"),IF(OR($AX$49=0,$AX$48=1),DATA!A71,IF(AND($AX$49=1,INDEX('Intermediate Data'!$AY$25:$AY$44,MATCH(DATA!$B71,'Intermediate Data'!$AX$25:$AX$44,0))=TRUE),DATA!A71,"")),"")</f>
        <v/>
      </c>
      <c r="AV122" s="112" t="str">
        <f ca="1">IF($AU122="","",DATA!B71)</f>
        <v/>
      </c>
      <c r="AW122" s="112" t="str">
        <f ca="1">IF(OR($AU122="",DATA!BI71=""),"",DATA!BI71)</f>
        <v/>
      </c>
      <c r="AX122" s="112" t="str">
        <f ca="1">IF(OR($AU122="",OFFSET(DATA!BK71,0,$AX$48)=""),"",OFFSET(DATA!BK71,0,$AX$48))</f>
        <v/>
      </c>
      <c r="AY122" s="112" t="str">
        <f ca="1">IF(OR($AU122="",OFFSET(DATA!BM71,0,$AX$48)=""),"",OFFSET(DATA!BM71,0,$AX$48))</f>
        <v/>
      </c>
      <c r="AZ122" s="112" t="str">
        <f ca="1">IF(OR($AU122="",OFFSET(DATA!BO71,0,'Intermediate Data'!$AX$48)=""),"",OFFSET(DATA!BO71,0,$AX$48))</f>
        <v/>
      </c>
      <c r="BA122" s="112" t="str">
        <f ca="1">IF(OR($AU122="",DATA!BQ71=""),"",DATA!BQ71)</f>
        <v/>
      </c>
      <c r="BB122" s="112" t="str">
        <f ca="1">IF($AU122="","",OFFSET(DATA!BS71,0,$AX$48))</f>
        <v/>
      </c>
      <c r="BC122" s="112" t="str">
        <f ca="1">IF($AU122="","",OFFSET(DATA!BU71,0,$AX$48))</f>
        <v/>
      </c>
      <c r="BD122" s="112" t="str">
        <f ca="1">IF($AU122="","",OFFSET(DATA!BW71,0,$AX$48))</f>
        <v/>
      </c>
      <c r="BE122" s="112" t="str">
        <f ca="1">IF($AU122="","",OFFSET(DATA!BY71,0,$AX$48))</f>
        <v/>
      </c>
      <c r="BF122" s="112" t="str">
        <f ca="1">IF($AU122="","",OFFSET(DATA!CA71,0,$AX$48))</f>
        <v/>
      </c>
      <c r="BG122" s="112" t="str">
        <f ca="1">IF($AU122="","",DATA!CC71)</f>
        <v/>
      </c>
      <c r="BH122" s="112" t="str">
        <f ca="1">IF($AU122="","",OFFSET(DATA!CE71,0,$AX$48))</f>
        <v/>
      </c>
      <c r="BI122" s="112" t="str">
        <f ca="1">IF($AU122="","",OFFSET(DATA!CG71,0,$AX$48))</f>
        <v/>
      </c>
      <c r="BJ122" s="112" t="str">
        <f ca="1">IF($AU122="","",OFFSET(DATA!CI71,0,$AX$48))</f>
        <v/>
      </c>
      <c r="BK122" s="112" t="str">
        <f ca="1">IF($AU122="","",OFFSET(DATA!CK71,0,$AX$48))</f>
        <v/>
      </c>
      <c r="BL122" s="112" t="str">
        <f ca="1">IF($AU122="","",OFFSET(DATA!CM71,0,$AX$48))</f>
        <v/>
      </c>
      <c r="BM122" s="112" t="str">
        <f ca="1">IF($AU122="","",DATA!BH71)</f>
        <v/>
      </c>
      <c r="BN122" s="112" t="str">
        <f ca="1">IF($AU122="","",DATA!DS71)</f>
        <v/>
      </c>
      <c r="BO122" s="112" t="str">
        <f ca="1">IF($AU122="","",DATA!DU71)</f>
        <v/>
      </c>
      <c r="BP122" s="112" t="str">
        <f ca="1">IF($AU122="","",DATA!DV71)</f>
        <v/>
      </c>
      <c r="BQ122" s="112" t="str">
        <f ca="1">IF($AU122="","",DATA!DX71)</f>
        <v/>
      </c>
      <c r="BR122" s="112" t="str">
        <f ca="1">IF($AU122="","",DATA!DZ71)</f>
        <v/>
      </c>
      <c r="BS122" s="171" t="str">
        <f ca="1">IF($AU122="","",DATA!EA71)</f>
        <v/>
      </c>
      <c r="BT122" s="171" t="str">
        <f ca="1">IF($AU122="","",DATA!EC71)</f>
        <v/>
      </c>
      <c r="BU122" s="171" t="str">
        <f ca="1">IF($AU122="","",DATA!EF71)</f>
        <v/>
      </c>
      <c r="BV122" s="113" t="str">
        <f t="shared" ca="1" si="24"/>
        <v/>
      </c>
      <c r="BW122" s="680" t="str">
        <f ca="1">IF(AU122="","",OFFSET(DATA!DC71,0,'Intermediate Data'!$AX$48))</f>
        <v/>
      </c>
      <c r="BX122" s="681" t="str">
        <f ca="1">IF($AU122="","",DATA!DG71)</f>
        <v/>
      </c>
      <c r="BY122" s="680" t="str">
        <f ca="1">IF($AU122="","",OFFSET(DATA!DE71,0,'Intermediate Data'!$AX$48))</f>
        <v/>
      </c>
      <c r="BZ122" s="681" t="str">
        <f ca="1">IF($AU122="","",DATA!DH71)</f>
        <v/>
      </c>
      <c r="CA122" s="90" t="str">
        <f t="shared" ca="1" si="25"/>
        <v/>
      </c>
      <c r="CB122" s="99" t="str">
        <f t="shared" ca="1" si="26"/>
        <v/>
      </c>
      <c r="CC122" s="90" t="str">
        <f t="shared" ca="1" si="27"/>
        <v/>
      </c>
      <c r="CD122" s="90" t="str">
        <f t="shared" ca="1" si="28"/>
        <v/>
      </c>
      <c r="CF122" s="90" t="str">
        <f ca="1">IF($CD122="","",IF(OFFSET(AV$55,'Intermediate Data'!$CD122,0)=-98,"Unknown",IF(OFFSET(AV$55,'Intermediate Data'!$CD122,0)=-99,"N/A",OFFSET(AV$55,'Intermediate Data'!$CD122,0))))</f>
        <v/>
      </c>
      <c r="CG122" s="90" t="str">
        <f ca="1">IF($CD122="","",IF(OFFSET(AW$55,'Intermediate Data'!$CD122,0)=-98,"",IF(OFFSET(AW$55,'Intermediate Data'!$CD122,0)=-99,"N/A",OFFSET(AW$55,'Intermediate Data'!$CD122,0))))</f>
        <v/>
      </c>
      <c r="CH122" s="90" t="str">
        <f ca="1">IF($CD122="","",IF(OFFSET(AX$55,'Intermediate Data'!$CD122,0)=-98,"Unknown",IF(OFFSET(AX$55,'Intermediate Data'!$CD122,0)=-99,"N/A",OFFSET(AX$55,'Intermediate Data'!$CD122,0))))</f>
        <v/>
      </c>
      <c r="CI122" s="125" t="str">
        <f ca="1">IF($CD122="","",IF(OFFSET(AY$55,'Intermediate Data'!$CD122,0)=-98,"Unknown",IF(OFFSET(AY$55,'Intermediate Data'!$CD122,0)=-99,"No spec",OFFSET(AY$55,'Intermediate Data'!$CD122,0))))</f>
        <v/>
      </c>
      <c r="CJ122" s="125" t="str">
        <f ca="1">IF($CD122="","",IF(OFFSET(AZ$55,'Intermediate Data'!$CD122,0)=-98,"Unknown",IF(OFFSET(AZ$55,'Intermediate Data'!$CD122,0)=-99,"N/A",OFFSET(AZ$55,'Intermediate Data'!$CD122,0))))</f>
        <v/>
      </c>
      <c r="CK122" s="90" t="str">
        <f ca="1">IF($CD122="","",IF(OFFSET(BA$55,'Intermediate Data'!$CD122,0)=-98,"Unknown",IF(OFFSET(BA$55,'Intermediate Data'!$CD122,0)=-99,"N/A",OFFSET(BA$55,'Intermediate Data'!$CD122,0))))</f>
        <v/>
      </c>
      <c r="CL122" s="90" t="str">
        <f ca="1">IF($CD122="","",IF(OFFSET(BB$55,'Intermediate Data'!$CD122,$AX$50)=-98,"Unknown",IF(OFFSET(BB$55,'Intermediate Data'!$CD122,$AX$50)="N/A","",OFFSET(BB$55,'Intermediate Data'!$CD122,$AX$50))))</f>
        <v/>
      </c>
      <c r="CM122" s="90" t="str">
        <f ca="1">IF($CD122="","",IF(OFFSET(BG$55,'Intermediate Data'!$CD122,0)="ET","ET",""))</f>
        <v/>
      </c>
      <c r="CN122" s="90" t="str">
        <f ca="1">IF($CD122="","",IF(OFFSET(BH$55,'Intermediate Data'!$CD122,$AX$50)=-98,"Unknown",IF(OFFSET(BH$55,'Intermediate Data'!$CD122,$AX$50)="N/A","",OFFSET(BH$55,'Intermediate Data'!$CD122,$AX$50))))</f>
        <v/>
      </c>
      <c r="CO122" s="90" t="str">
        <f ca="1">IF($CD122="","",IF(OFFSET(BM$55,'Intermediate Data'!$CD122,0)=-98,"Not published",IF(OFFSET(BM$55,'Intermediate Data'!$CD122,0)=-99,"No spec",OFFSET(BM$55,'Intermediate Data'!$CD122,0))))</f>
        <v/>
      </c>
      <c r="CP122" s="114" t="str">
        <f ca="1">IF($CD122="","",IF(OFFSET(BN$55,'Intermediate Data'!$CD122,0)=-98,"Unknown",IF(OFFSET(BN$55,'Intermediate Data'!$CD122,0)=-99,"N/A",OFFSET(BN$55,'Intermediate Data'!$CD122,0))))</f>
        <v/>
      </c>
      <c r="CQ122" s="114" t="str">
        <f ca="1">IF($CD122="","",IF(OFFSET(BO$55,'Intermediate Data'!$CD122,0)=-98,"Unknown",IF(OFFSET(BO$55,'Intermediate Data'!$CD122,0)=-99,"N/A",OFFSET(BO$55,'Intermediate Data'!$CD122,0))))</f>
        <v/>
      </c>
      <c r="CR122" s="114" t="str">
        <f ca="1">IF($CD122="","",IF(OFFSET(BP$55,'Intermediate Data'!$CD122,0)=-98,"Unknown",IF(OFFSET(BP$55,'Intermediate Data'!$CD122,0)=-99,"N/A",OFFSET(BP$55,'Intermediate Data'!$CD122,0))))</f>
        <v/>
      </c>
      <c r="CS122" s="114" t="str">
        <f ca="1">IF($CD122="","",IF(OFFSET(BQ$55,'Intermediate Data'!$CD122,0)=-98,"Unknown",IF(OFFSET(BQ$55,'Intermediate Data'!$CD122,0)=-99,"N/A",OFFSET(BQ$55,'Intermediate Data'!$CD122,0))))</f>
        <v/>
      </c>
      <c r="CT122" s="114" t="str">
        <f ca="1">IF($CD122="","",IF(OFFSET(BR$55,'Intermediate Data'!$CD122,0)=-98,"Unknown",IF(OFFSET(BR$55,'Intermediate Data'!$CD122,0)=-99,"N/A",OFFSET(BR$55,'Intermediate Data'!$CD122,0))))</f>
        <v/>
      </c>
      <c r="CU122" s="114" t="str">
        <f ca="1">IF($CD122="","",IF(OFFSET(BS$55,'Intermediate Data'!$CD122,0)=-98,"Unknown",IF(OFFSET(BS$55,'Intermediate Data'!$CD122,0)=-99,"N/A",OFFSET(BS$55,'Intermediate Data'!$CD122,0))))</f>
        <v/>
      </c>
      <c r="CV122" s="114" t="str">
        <f ca="1">IF($CD122="","",IF(OFFSET(BT$55,'Intermediate Data'!$CD122,0)=-98,"Unknown",IF(OFFSET(BT$55,'Intermediate Data'!$CD122,0)=-99,"N/A",OFFSET(BT$55,'Intermediate Data'!$CD122,0))))</f>
        <v/>
      </c>
      <c r="CW122" s="114" t="str">
        <f ca="1">IF($CD122="","",IF(OFFSET(BU$55,'Intermediate Data'!$CD122,0)=-98,"Unknown",IF(OFFSET(BU$55,'Intermediate Data'!$CD122,0)=-99,"N/A",OFFSET(BU$55,'Intermediate Data'!$CD122,0))))</f>
        <v/>
      </c>
      <c r="CX122" s="114" t="str">
        <f ca="1">IF($CD122="","",IF(OFFSET(BV$55,'Intermediate Data'!$CD122,0)=-98,"Unknown",IF(OFFSET(BV$55,'Intermediate Data'!$CD122,0)=-99,"N/A",OFFSET(BV$55,'Intermediate Data'!$CD122,0))))</f>
        <v/>
      </c>
      <c r="CY122" s="682" t="str">
        <f ca="1">IF($CD122="","",IF(OFFSET(BW$55,'Intermediate Data'!$CD122,0)=-98,"Unknown",IF(OFFSET(BW$55,'Intermediate Data'!$CD122,0)="N/A","",OFFSET(BW$55,'Intermediate Data'!$CD122,0))))</f>
        <v/>
      </c>
      <c r="CZ122" s="682" t="str">
        <f ca="1">IF($CD122="","",IF(OFFSET(BX$55,'Intermediate Data'!$CD122,0)=-98,"Unknown",IF(OFFSET(BX$55,'Intermediate Data'!$CD122,0)="N/A","",OFFSET(BX$55,'Intermediate Data'!$CD122,0))))</f>
        <v/>
      </c>
      <c r="DA122" s="682" t="str">
        <f ca="1">IF($CD122="","",IF(OFFSET(BY$55,'Intermediate Data'!$CD122,0)=-98,"Unknown",IF(OFFSET(BY$55,'Intermediate Data'!$CD122,0)="N/A","",OFFSET(BY$55,'Intermediate Data'!$CD122,0))))</f>
        <v/>
      </c>
      <c r="DB122" s="682" t="str">
        <f ca="1">IF($CD122="","",IF(OFFSET(BZ$55,'Intermediate Data'!$CD122,0)=-98,"Unknown",IF(OFFSET(BZ$55,'Intermediate Data'!$CD122,0)="N/A","",OFFSET(BZ$55,'Intermediate Data'!$CD122,0))))</f>
        <v/>
      </c>
    </row>
    <row r="123" spans="1:106" x14ac:dyDescent="0.2">
      <c r="A123" s="90">
        <f ca="1">IF(OFFSET(DATA!F72,0,$D$48)='Intermediate Data'!$E$48,IF(OR($E$49=$C$27,$E$48=$B$4),DATA!A72,IF($G$49=DATA!D72,DATA!A72,"")),"")</f>
        <v>68</v>
      </c>
      <c r="B123" s="90">
        <f ca="1">IF($A123="","",DATA!EH72)</f>
        <v>128</v>
      </c>
      <c r="C123" s="90" t="str">
        <f ca="1">IF($A123="","",DATA!B72)</f>
        <v>Boiler</v>
      </c>
      <c r="D123" s="90">
        <f ca="1">IF($A123="","",OFFSET(DATA!$H72,0,($D$50*5)))</f>
        <v>7.5239999999999994E-3</v>
      </c>
      <c r="E123" s="90">
        <f ca="1">IF($A123="","",OFFSET(DATA!$H72,0,($D$50*5)+1))</f>
        <v>8.1721377068936611E-3</v>
      </c>
      <c r="F123" s="90">
        <f ca="1">IF($A123="","",OFFSET(DATA!$H72,0,($D$50*5)+2))</f>
        <v>5.9820000000000003E-3</v>
      </c>
      <c r="G123" s="90">
        <f ca="1">IF($A123="","",OFFSET(DATA!$H72,0,($D$50*5)+3))</f>
        <v>1.1238458891811822E-2</v>
      </c>
      <c r="H123" s="90">
        <f ca="1">IF($A123="","",OFFSET(DATA!$H72,0,($D$50*5)+4))</f>
        <v>1.473E-2</v>
      </c>
      <c r="I123" s="90">
        <f t="shared" ca="1" si="17"/>
        <v>1.473E-2</v>
      </c>
      <c r="J123" s="90" t="str">
        <f t="shared" ca="1" si="18"/>
        <v>CLASS</v>
      </c>
      <c r="K123" s="90">
        <f ca="1">IF($A123="","",OFFSET(DATA!$AG72,0,($D$50*5)))</f>
        <v>-99</v>
      </c>
      <c r="L123" s="90">
        <f ca="1">IF($A123="","",OFFSET(DATA!$AG72,0,($D$50*5)+1))</f>
        <v>-99</v>
      </c>
      <c r="M123" s="90">
        <f ca="1">IF($A123="","",OFFSET(DATA!$AG72,0,($D$50*5)+2))</f>
        <v>-99</v>
      </c>
      <c r="N123" s="90">
        <f ca="1">IF($A123="","",OFFSET(DATA!$AG72,0,($D$50*5)+3))</f>
        <v>-99</v>
      </c>
      <c r="O123" s="90">
        <f ca="1">IF($A123="","",OFFSET(DATA!$AG72,0,($D$50*5)+4))</f>
        <v>-99</v>
      </c>
      <c r="P123" s="90">
        <f t="shared" ca="1" si="19"/>
        <v>-99</v>
      </c>
      <c r="Q123" s="90" t="str">
        <f t="shared" ca="1" si="20"/>
        <v/>
      </c>
      <c r="R123" s="699">
        <f ca="1">IF($A123="","",IF(DATA!BF72="",-99,DATA!BF72))</f>
        <v>-99</v>
      </c>
      <c r="S123" s="90">
        <f ca="1">IF($A123="","",IF(DATA!BG72="",-99,DATA!BF72-DATA!BG72))</f>
        <v>-99</v>
      </c>
      <c r="T123" s="90">
        <f ca="1">IF($A123="","",DATA!BH72)</f>
        <v>0.57999999999999996</v>
      </c>
      <c r="U123" s="90">
        <f ca="1">IF($A123="","",OFFSET(DATA!BM72,0,$D$48))</f>
        <v>13</v>
      </c>
      <c r="V123" s="90">
        <f t="shared" ca="1" si="16"/>
        <v>128</v>
      </c>
      <c r="W123" s="99">
        <f t="shared" ca="1" si="21"/>
        <v>127.99995186471527</v>
      </c>
      <c r="X123" s="112">
        <f t="shared" ca="1" si="22"/>
        <v>63.999881201179996</v>
      </c>
      <c r="Y123" s="90">
        <f t="shared" ca="1" si="23"/>
        <v>63</v>
      </c>
      <c r="AA123" s="90" t="str">
        <f ca="1">IF($Y123="","",IF(OFFSET(C$55,'Intermediate Data'!$Y123,0)=-98,"Unknown",IF(OFFSET(C$55,'Intermediate Data'!$Y123,0)=-99,"N/A",OFFSET(C$55,'Intermediate Data'!$Y123,0))))</f>
        <v>Musical equipment</v>
      </c>
      <c r="AB123" s="90" t="str">
        <f ca="1">IF($Y123="","",IF(OFFSET(D$55,'Intermediate Data'!$Y123,0)=-98,"N/A",IF(OFFSET(D$55,'Intermediate Data'!$Y123,0)=-99,"N/A",OFFSET(D$55,'Intermediate Data'!$Y123,0))))</f>
        <v>N/A</v>
      </c>
      <c r="AC123" s="90" t="str">
        <f ca="1">IF($Y123="","",IF(OFFSET(E$55,'Intermediate Data'!$Y123,0)=-98,"N/A",IF(OFFSET(E$55,'Intermediate Data'!$Y123,0)=-99,"N/A",OFFSET(E$55,'Intermediate Data'!$Y123,0))))</f>
        <v>N/A</v>
      </c>
      <c r="AD123" s="90" t="str">
        <f ca="1">IF($Y123="","",IF(OFFSET(F$55,'Intermediate Data'!$Y123,0)=-98,"N/A",IF(OFFSET(F$55,'Intermediate Data'!$Y123,0)=-99,"N/A",OFFSET(F$55,'Intermediate Data'!$Y123,0))))</f>
        <v>N/A</v>
      </c>
      <c r="AE123" s="90" t="str">
        <f ca="1">IF($Y123="","",IF(OFFSET(G$55,'Intermediate Data'!$Y123,0)=-98,"N/A",IF(OFFSET(G$55,'Intermediate Data'!$Y123,0)=-99,"N/A",OFFSET(G$55,'Intermediate Data'!$Y123,0))))</f>
        <v>N/A</v>
      </c>
      <c r="AF123" s="90" t="str">
        <f ca="1">IF($Y123="","",IF(OFFSET(H$55,'Intermediate Data'!$Y123,0)=-98,"N/A",IF(OFFSET(H$55,'Intermediate Data'!$Y123,0)=-99,"N/A",OFFSET(H$55,'Intermediate Data'!$Y123,0))))</f>
        <v>N/A</v>
      </c>
      <c r="AG123" s="90" t="str">
        <f ca="1">IF($Y123="","",IF(OFFSET(I$55,'Intermediate Data'!$Y123,0)=-98,"N/A",IF(OFFSET(I$55,'Intermediate Data'!$Y123,0)=-99,"N/A",OFFSET(I$55,'Intermediate Data'!$Y123,0))))</f>
        <v>N/A</v>
      </c>
      <c r="AH123" s="90" t="str">
        <f ca="1">IF($Y123="","",IF(OFFSET(J$55,'Intermediate Data'!$Y123,0)=-98,"N/A",IF(OFFSET(J$55,'Intermediate Data'!$Y123,0)=-99,"N/A",OFFSET(J$55,'Intermediate Data'!$Y123,0))))</f>
        <v/>
      </c>
      <c r="AI123" s="90" t="str">
        <f ca="1">IF($Y123="","",IF(OFFSET(K$55,'Intermediate Data'!$Y123,0)=-98,"N/A",IF(OFFSET(K$55,'Intermediate Data'!$Y123,0)=-99,"N/A",OFFSET(K$55,'Intermediate Data'!$Y123,0))))</f>
        <v>N/A</v>
      </c>
      <c r="AJ123" s="90" t="str">
        <f ca="1">IF($Y123="","",IF(OFFSET(L$55,'Intermediate Data'!$Y123,0)=-98,"N/A",IF(OFFSET(L$55,'Intermediate Data'!$Y123,0)=-99,"N/A",OFFSET(L$55,'Intermediate Data'!$Y123,0))))</f>
        <v>N/A</v>
      </c>
      <c r="AK123" s="90" t="str">
        <f ca="1">IF($Y123="","",IF(OFFSET(M$55,'Intermediate Data'!$Y123,0)=-98,"N/A",IF(OFFSET(M$55,'Intermediate Data'!$Y123,0)=-99,"N/A",OFFSET(M$55,'Intermediate Data'!$Y123,0))))</f>
        <v>N/A</v>
      </c>
      <c r="AL123" s="90" t="str">
        <f ca="1">IF($Y123="","",IF(OFFSET(N$55,'Intermediate Data'!$Y123,0)=-98,"N/A",IF(OFFSET(N$55,'Intermediate Data'!$Y123,0)=-99,"N/A",OFFSET(N$55,'Intermediate Data'!$Y123,0))))</f>
        <v>N/A</v>
      </c>
      <c r="AM123" s="90" t="str">
        <f ca="1">IF($Y123="","",IF(OFFSET(O$55,'Intermediate Data'!$Y123,0)=-98,"N/A",IF(OFFSET(O$55,'Intermediate Data'!$Y123,0)=-99,"N/A",OFFSET(O$55,'Intermediate Data'!$Y123,0))))</f>
        <v>N/A</v>
      </c>
      <c r="AN123" s="90" t="str">
        <f ca="1">IF($Y123="","",IF(OFFSET(P$55,'Intermediate Data'!$Y123,0)=-98,"N/A",IF(OFFSET(P$55,'Intermediate Data'!$Y123,0)=-99,"N/A",OFFSET(P$55,'Intermediate Data'!$Y123,0))))</f>
        <v>N/A</v>
      </c>
      <c r="AO123" s="90" t="str">
        <f ca="1">IF($Y123="","",IF(OFFSET(Q$55,'Intermediate Data'!$Y123,0)=-98,"N/A",IF(OFFSET(Q$55,'Intermediate Data'!$Y123,0)=-99,"N/A",OFFSET(Q$55,'Intermediate Data'!$Y123,0))))</f>
        <v/>
      </c>
      <c r="AP123" s="697" t="str">
        <f ca="1">IF($Y123="","",IF(OFFSET(S$55,'Intermediate Data'!$Y123,0)=-98,"",IF(OFFSET(S$55,'Intermediate Data'!$Y123,0)=-99,"",OFFSET(S$55,'Intermediate Data'!$Y123,0))))</f>
        <v/>
      </c>
      <c r="AQ123" s="90" t="str">
        <f ca="1">IF($Y123="","",IF(OFFSET(T$55,'Intermediate Data'!$Y123,0)=-98,"Not published",IF(OFFSET(T$55,'Intermediate Data'!$Y123,0)=-99,"",OFFSET(T$55,'Intermediate Data'!$Y123,0))))</f>
        <v/>
      </c>
      <c r="AR123" s="90" t="str">
        <f ca="1">IF($Y123="","",IF(OFFSET(U$55,'Intermediate Data'!$Y123,0)=-98,"Unknown",IF(OFFSET(U$55,'Intermediate Data'!$Y123,0)=-99,"",OFFSET(U$55,'Intermediate Data'!$Y123,0))))</f>
        <v/>
      </c>
      <c r="AU123" s="112" t="str">
        <f ca="1">IF(AND(OFFSET(DATA!$F72,0,$AX$48)='Intermediate Data'!$AY$48,DATA!$E72="Tier 1"),IF(OR($AX$49=0,$AX$48=1),DATA!A72,IF(AND($AX$49=1,INDEX('Intermediate Data'!$AY$25:$AY$44,MATCH(DATA!$B72,'Intermediate Data'!$AX$25:$AX$44,0))=TRUE),DATA!A72,"")),"")</f>
        <v/>
      </c>
      <c r="AV123" s="112" t="str">
        <f ca="1">IF($AU123="","",DATA!B72)</f>
        <v/>
      </c>
      <c r="AW123" s="112" t="str">
        <f ca="1">IF(OR($AU123="",DATA!BI72=""),"",DATA!BI72)</f>
        <v/>
      </c>
      <c r="AX123" s="112" t="str">
        <f ca="1">IF(OR($AU123="",OFFSET(DATA!BK72,0,$AX$48)=""),"",OFFSET(DATA!BK72,0,$AX$48))</f>
        <v/>
      </c>
      <c r="AY123" s="112" t="str">
        <f ca="1">IF(OR($AU123="",OFFSET(DATA!BM72,0,$AX$48)=""),"",OFFSET(DATA!BM72,0,$AX$48))</f>
        <v/>
      </c>
      <c r="AZ123" s="112" t="str">
        <f ca="1">IF(OR($AU123="",OFFSET(DATA!BO72,0,'Intermediate Data'!$AX$48)=""),"",OFFSET(DATA!BO72,0,$AX$48))</f>
        <v/>
      </c>
      <c r="BA123" s="112" t="str">
        <f ca="1">IF(OR($AU123="",DATA!BQ72=""),"",DATA!BQ72)</f>
        <v/>
      </c>
      <c r="BB123" s="112" t="str">
        <f ca="1">IF($AU123="","",OFFSET(DATA!BS72,0,$AX$48))</f>
        <v/>
      </c>
      <c r="BC123" s="112" t="str">
        <f ca="1">IF($AU123="","",OFFSET(DATA!BU72,0,$AX$48))</f>
        <v/>
      </c>
      <c r="BD123" s="112" t="str">
        <f ca="1">IF($AU123="","",OFFSET(DATA!BW72,0,$AX$48))</f>
        <v/>
      </c>
      <c r="BE123" s="112" t="str">
        <f ca="1">IF($AU123="","",OFFSET(DATA!BY72,0,$AX$48))</f>
        <v/>
      </c>
      <c r="BF123" s="112" t="str">
        <f ca="1">IF($AU123="","",OFFSET(DATA!CA72,0,$AX$48))</f>
        <v/>
      </c>
      <c r="BG123" s="112" t="str">
        <f ca="1">IF($AU123="","",DATA!CC72)</f>
        <v/>
      </c>
      <c r="BH123" s="112" t="str">
        <f ca="1">IF($AU123="","",OFFSET(DATA!CE72,0,$AX$48))</f>
        <v/>
      </c>
      <c r="BI123" s="112" t="str">
        <f ca="1">IF($AU123="","",OFFSET(DATA!CG72,0,$AX$48))</f>
        <v/>
      </c>
      <c r="BJ123" s="112" t="str">
        <f ca="1">IF($AU123="","",OFFSET(DATA!CI72,0,$AX$48))</f>
        <v/>
      </c>
      <c r="BK123" s="112" t="str">
        <f ca="1">IF($AU123="","",OFFSET(DATA!CK72,0,$AX$48))</f>
        <v/>
      </c>
      <c r="BL123" s="112" t="str">
        <f ca="1">IF($AU123="","",OFFSET(DATA!CM72,0,$AX$48))</f>
        <v/>
      </c>
      <c r="BM123" s="112" t="str">
        <f ca="1">IF($AU123="","",DATA!BH72)</f>
        <v/>
      </c>
      <c r="BN123" s="112" t="str">
        <f ca="1">IF($AU123="","",DATA!DS72)</f>
        <v/>
      </c>
      <c r="BO123" s="112" t="str">
        <f ca="1">IF($AU123="","",DATA!DU72)</f>
        <v/>
      </c>
      <c r="BP123" s="112" t="str">
        <f ca="1">IF($AU123="","",DATA!DV72)</f>
        <v/>
      </c>
      <c r="BQ123" s="112" t="str">
        <f ca="1">IF($AU123="","",DATA!DX72)</f>
        <v/>
      </c>
      <c r="BR123" s="112" t="str">
        <f ca="1">IF($AU123="","",DATA!DZ72)</f>
        <v/>
      </c>
      <c r="BS123" s="171" t="str">
        <f ca="1">IF($AU123="","",DATA!EA72)</f>
        <v/>
      </c>
      <c r="BT123" s="171" t="str">
        <f ca="1">IF($AU123="","",DATA!EC72)</f>
        <v/>
      </c>
      <c r="BU123" s="171" t="str">
        <f ca="1">IF($AU123="","",DATA!EF72)</f>
        <v/>
      </c>
      <c r="BV123" s="113" t="str">
        <f t="shared" ca="1" si="24"/>
        <v/>
      </c>
      <c r="BW123" s="680" t="str">
        <f ca="1">IF(AU123="","",OFFSET(DATA!DC72,0,'Intermediate Data'!$AX$48))</f>
        <v/>
      </c>
      <c r="BX123" s="681" t="str">
        <f ca="1">IF($AU123="","",DATA!DG72)</f>
        <v/>
      </c>
      <c r="BY123" s="680" t="str">
        <f ca="1">IF($AU123="","",OFFSET(DATA!DE72,0,'Intermediate Data'!$AX$48))</f>
        <v/>
      </c>
      <c r="BZ123" s="681" t="str">
        <f ca="1">IF($AU123="","",DATA!DH72)</f>
        <v/>
      </c>
      <c r="CA123" s="90" t="str">
        <f t="shared" ca="1" si="25"/>
        <v/>
      </c>
      <c r="CB123" s="99" t="str">
        <f t="shared" ca="1" si="26"/>
        <v/>
      </c>
      <c r="CC123" s="90" t="str">
        <f t="shared" ca="1" si="27"/>
        <v/>
      </c>
      <c r="CD123" s="90" t="str">
        <f t="shared" ca="1" si="28"/>
        <v/>
      </c>
      <c r="CF123" s="90" t="str">
        <f ca="1">IF($CD123="","",IF(OFFSET(AV$55,'Intermediate Data'!$CD123,0)=-98,"Unknown",IF(OFFSET(AV$55,'Intermediate Data'!$CD123,0)=-99,"N/A",OFFSET(AV$55,'Intermediate Data'!$CD123,0))))</f>
        <v/>
      </c>
      <c r="CG123" s="90" t="str">
        <f ca="1">IF($CD123="","",IF(OFFSET(AW$55,'Intermediate Data'!$CD123,0)=-98,"",IF(OFFSET(AW$55,'Intermediate Data'!$CD123,0)=-99,"N/A",OFFSET(AW$55,'Intermediate Data'!$CD123,0))))</f>
        <v/>
      </c>
      <c r="CH123" s="90" t="str">
        <f ca="1">IF($CD123="","",IF(OFFSET(AX$55,'Intermediate Data'!$CD123,0)=-98,"Unknown",IF(OFFSET(AX$55,'Intermediate Data'!$CD123,0)=-99,"N/A",OFFSET(AX$55,'Intermediate Data'!$CD123,0))))</f>
        <v/>
      </c>
      <c r="CI123" s="125" t="str">
        <f ca="1">IF($CD123="","",IF(OFFSET(AY$55,'Intermediate Data'!$CD123,0)=-98,"Unknown",IF(OFFSET(AY$55,'Intermediate Data'!$CD123,0)=-99,"No spec",OFFSET(AY$55,'Intermediate Data'!$CD123,0))))</f>
        <v/>
      </c>
      <c r="CJ123" s="125" t="str">
        <f ca="1">IF($CD123="","",IF(OFFSET(AZ$55,'Intermediate Data'!$CD123,0)=-98,"Unknown",IF(OFFSET(AZ$55,'Intermediate Data'!$CD123,0)=-99,"N/A",OFFSET(AZ$55,'Intermediate Data'!$CD123,0))))</f>
        <v/>
      </c>
      <c r="CK123" s="90" t="str">
        <f ca="1">IF($CD123="","",IF(OFFSET(BA$55,'Intermediate Data'!$CD123,0)=-98,"Unknown",IF(OFFSET(BA$55,'Intermediate Data'!$CD123,0)=-99,"N/A",OFFSET(BA$55,'Intermediate Data'!$CD123,0))))</f>
        <v/>
      </c>
      <c r="CL123" s="90" t="str">
        <f ca="1">IF($CD123="","",IF(OFFSET(BB$55,'Intermediate Data'!$CD123,$AX$50)=-98,"Unknown",IF(OFFSET(BB$55,'Intermediate Data'!$CD123,$AX$50)="N/A","",OFFSET(BB$55,'Intermediate Data'!$CD123,$AX$50))))</f>
        <v/>
      </c>
      <c r="CM123" s="90" t="str">
        <f ca="1">IF($CD123="","",IF(OFFSET(BG$55,'Intermediate Data'!$CD123,0)="ET","ET",""))</f>
        <v/>
      </c>
      <c r="CN123" s="90" t="str">
        <f ca="1">IF($CD123="","",IF(OFFSET(BH$55,'Intermediate Data'!$CD123,$AX$50)=-98,"Unknown",IF(OFFSET(BH$55,'Intermediate Data'!$CD123,$AX$50)="N/A","",OFFSET(BH$55,'Intermediate Data'!$CD123,$AX$50))))</f>
        <v/>
      </c>
      <c r="CO123" s="90" t="str">
        <f ca="1">IF($CD123="","",IF(OFFSET(BM$55,'Intermediate Data'!$CD123,0)=-98,"Not published",IF(OFFSET(BM$55,'Intermediate Data'!$CD123,0)=-99,"No spec",OFFSET(BM$55,'Intermediate Data'!$CD123,0))))</f>
        <v/>
      </c>
      <c r="CP123" s="114" t="str">
        <f ca="1">IF($CD123="","",IF(OFFSET(BN$55,'Intermediate Data'!$CD123,0)=-98,"Unknown",IF(OFFSET(BN$55,'Intermediate Data'!$CD123,0)=-99,"N/A",OFFSET(BN$55,'Intermediate Data'!$CD123,0))))</f>
        <v/>
      </c>
      <c r="CQ123" s="114" t="str">
        <f ca="1">IF($CD123="","",IF(OFFSET(BO$55,'Intermediate Data'!$CD123,0)=-98,"Unknown",IF(OFFSET(BO$55,'Intermediate Data'!$CD123,0)=-99,"N/A",OFFSET(BO$55,'Intermediate Data'!$CD123,0))))</f>
        <v/>
      </c>
      <c r="CR123" s="114" t="str">
        <f ca="1">IF($CD123="","",IF(OFFSET(BP$55,'Intermediate Data'!$CD123,0)=-98,"Unknown",IF(OFFSET(BP$55,'Intermediate Data'!$CD123,0)=-99,"N/A",OFFSET(BP$55,'Intermediate Data'!$CD123,0))))</f>
        <v/>
      </c>
      <c r="CS123" s="114" t="str">
        <f ca="1">IF($CD123="","",IF(OFFSET(BQ$55,'Intermediate Data'!$CD123,0)=-98,"Unknown",IF(OFFSET(BQ$55,'Intermediate Data'!$CD123,0)=-99,"N/A",OFFSET(BQ$55,'Intermediate Data'!$CD123,0))))</f>
        <v/>
      </c>
      <c r="CT123" s="114" t="str">
        <f ca="1">IF($CD123="","",IF(OFFSET(BR$55,'Intermediate Data'!$CD123,0)=-98,"Unknown",IF(OFFSET(BR$55,'Intermediate Data'!$CD123,0)=-99,"N/A",OFFSET(BR$55,'Intermediate Data'!$CD123,0))))</f>
        <v/>
      </c>
      <c r="CU123" s="114" t="str">
        <f ca="1">IF($CD123="","",IF(OFFSET(BS$55,'Intermediate Data'!$CD123,0)=-98,"Unknown",IF(OFFSET(BS$55,'Intermediate Data'!$CD123,0)=-99,"N/A",OFFSET(BS$55,'Intermediate Data'!$CD123,0))))</f>
        <v/>
      </c>
      <c r="CV123" s="114" t="str">
        <f ca="1">IF($CD123="","",IF(OFFSET(BT$55,'Intermediate Data'!$CD123,0)=-98,"Unknown",IF(OFFSET(BT$55,'Intermediate Data'!$CD123,0)=-99,"N/A",OFFSET(BT$55,'Intermediate Data'!$CD123,0))))</f>
        <v/>
      </c>
      <c r="CW123" s="114" t="str">
        <f ca="1">IF($CD123="","",IF(OFFSET(BU$55,'Intermediate Data'!$CD123,0)=-98,"Unknown",IF(OFFSET(BU$55,'Intermediate Data'!$CD123,0)=-99,"N/A",OFFSET(BU$55,'Intermediate Data'!$CD123,0))))</f>
        <v/>
      </c>
      <c r="CX123" s="114" t="str">
        <f ca="1">IF($CD123="","",IF(OFFSET(BV$55,'Intermediate Data'!$CD123,0)=-98,"Unknown",IF(OFFSET(BV$55,'Intermediate Data'!$CD123,0)=-99,"N/A",OFFSET(BV$55,'Intermediate Data'!$CD123,0))))</f>
        <v/>
      </c>
      <c r="CY123" s="682" t="str">
        <f ca="1">IF($CD123="","",IF(OFFSET(BW$55,'Intermediate Data'!$CD123,0)=-98,"Unknown",IF(OFFSET(BW$55,'Intermediate Data'!$CD123,0)="N/A","",OFFSET(BW$55,'Intermediate Data'!$CD123,0))))</f>
        <v/>
      </c>
      <c r="CZ123" s="682" t="str">
        <f ca="1">IF($CD123="","",IF(OFFSET(BX$55,'Intermediate Data'!$CD123,0)=-98,"Unknown",IF(OFFSET(BX$55,'Intermediate Data'!$CD123,0)="N/A","",OFFSET(BX$55,'Intermediate Data'!$CD123,0))))</f>
        <v/>
      </c>
      <c r="DA123" s="682" t="str">
        <f ca="1">IF($CD123="","",IF(OFFSET(BY$55,'Intermediate Data'!$CD123,0)=-98,"Unknown",IF(OFFSET(BY$55,'Intermediate Data'!$CD123,0)="N/A","",OFFSET(BY$55,'Intermediate Data'!$CD123,0))))</f>
        <v/>
      </c>
      <c r="DB123" s="682" t="str">
        <f ca="1">IF($CD123="","",IF(OFFSET(BZ$55,'Intermediate Data'!$CD123,0)=-98,"Unknown",IF(OFFSET(BZ$55,'Intermediate Data'!$CD123,0)="N/A","",OFFSET(BZ$55,'Intermediate Data'!$CD123,0))))</f>
        <v/>
      </c>
    </row>
    <row r="124" spans="1:106" x14ac:dyDescent="0.2">
      <c r="A124" s="90">
        <f ca="1">IF(OFFSET(DATA!F73,0,$D$48)='Intermediate Data'!$E$48,IF(OR($E$49=$C$27,$E$48=$B$4),DATA!A73,IF($G$49=DATA!D73,DATA!A73,"")),"")</f>
        <v>69</v>
      </c>
      <c r="B124" s="90">
        <f ca="1">IF($A124="","",DATA!EH73)</f>
        <v>126</v>
      </c>
      <c r="C124" s="90" t="str">
        <f ca="1">IF($A124="","",DATA!B73)</f>
        <v>Ceiling fan</v>
      </c>
      <c r="D124" s="90">
        <f ca="1">IF($A124="","",OFFSET(DATA!$H73,0,($D$50*5)))</f>
        <v>-99</v>
      </c>
      <c r="E124" s="90">
        <f ca="1">IF($A124="","",OFFSET(DATA!$H73,0,($D$50*5)+1))</f>
        <v>0.54472503026679209</v>
      </c>
      <c r="F124" s="90">
        <f ca="1">IF($A124="","",OFFSET(DATA!$H73,0,($D$50*5)+2))</f>
        <v>-99</v>
      </c>
      <c r="G124" s="90">
        <f ca="1">IF($A124="","",OFFSET(DATA!$H73,0,($D$50*5)+3))</f>
        <v>0.56739042252992744</v>
      </c>
      <c r="H124" s="90">
        <f ca="1">IF($A124="","",OFFSET(DATA!$H73,0,($D$50*5)+4))</f>
        <v>-99</v>
      </c>
      <c r="I124" s="90">
        <f t="shared" ca="1" si="17"/>
        <v>0.56739042252992744</v>
      </c>
      <c r="J124" s="90" t="str">
        <f t="shared" ca="1" si="18"/>
        <v>RASS</v>
      </c>
      <c r="K124" s="90">
        <f ca="1">IF($A124="","",OFFSET(DATA!$AG73,0,($D$50*5)))</f>
        <v>-99</v>
      </c>
      <c r="L124" s="90">
        <f ca="1">IF($A124="","",OFFSET(DATA!$AG73,0,($D$50*5)+1))</f>
        <v>1.032643385886048</v>
      </c>
      <c r="M124" s="90">
        <f ca="1">IF($A124="","",OFFSET(DATA!$AG73,0,($D$50*5)+2))</f>
        <v>-99</v>
      </c>
      <c r="N124" s="90">
        <f ca="1">IF($A124="","",OFFSET(DATA!$AG73,0,($D$50*5)+3))</f>
        <v>1.1281365978062037</v>
      </c>
      <c r="O124" s="90">
        <f ca="1">IF($A124="","",OFFSET(DATA!$AG73,0,($D$50*5)+4))</f>
        <v>-99</v>
      </c>
      <c r="P124" s="90">
        <f t="shared" ca="1" si="19"/>
        <v>1.1281365978062037</v>
      </c>
      <c r="Q124" s="90" t="str">
        <f t="shared" ca="1" si="20"/>
        <v>RASS</v>
      </c>
      <c r="R124" s="699">
        <f ca="1">IF($A124="","",IF(DATA!BF73="",-99,DATA!BF73))</f>
        <v>-99</v>
      </c>
      <c r="S124" s="90">
        <f ca="1">IF($A124="","",IF(DATA!BG73="",-99,DATA!BF73-DATA!BG73))</f>
        <v>-99</v>
      </c>
      <c r="T124" s="90">
        <f ca="1">IF($A124="","",DATA!BH73)</f>
        <v>0.27</v>
      </c>
      <c r="U124" s="90">
        <f ca="1">IF($A124="","",OFFSET(DATA!BM73,0,$D$48))</f>
        <v>165</v>
      </c>
      <c r="V124" s="90">
        <f t="shared" ca="1" si="16"/>
        <v>126</v>
      </c>
      <c r="W124" s="99">
        <f t="shared" ca="1" si="21"/>
        <v>125.99996741226859</v>
      </c>
      <c r="X124" s="112">
        <f t="shared" ca="1" si="22"/>
        <v>62.999881201479994</v>
      </c>
      <c r="Y124" s="90">
        <f t="shared" ca="1" si="23"/>
        <v>93</v>
      </c>
      <c r="AA124" s="90" t="str">
        <f ca="1">IF($Y124="","",IF(OFFSET(C$55,'Intermediate Data'!$Y124,0)=-98,"Unknown",IF(OFFSET(C$55,'Intermediate Data'!$Y124,0)=-99,"N/A",OFFSET(C$55,'Intermediate Data'!$Y124,0))))</f>
        <v>Network attached storage drive</v>
      </c>
      <c r="AB124" s="90" t="str">
        <f ca="1">IF($Y124="","",IF(OFFSET(D$55,'Intermediate Data'!$Y124,0)=-98,"N/A",IF(OFFSET(D$55,'Intermediate Data'!$Y124,0)=-99,"N/A",OFFSET(D$55,'Intermediate Data'!$Y124,0))))</f>
        <v>N/A</v>
      </c>
      <c r="AC124" s="90" t="str">
        <f ca="1">IF($Y124="","",IF(OFFSET(E$55,'Intermediate Data'!$Y124,0)=-98,"N/A",IF(OFFSET(E$55,'Intermediate Data'!$Y124,0)=-99,"N/A",OFFSET(E$55,'Intermediate Data'!$Y124,0))))</f>
        <v>N/A</v>
      </c>
      <c r="AD124" s="90" t="str">
        <f ca="1">IF($Y124="","",IF(OFFSET(F$55,'Intermediate Data'!$Y124,0)=-98,"N/A",IF(OFFSET(F$55,'Intermediate Data'!$Y124,0)=-99,"N/A",OFFSET(F$55,'Intermediate Data'!$Y124,0))))</f>
        <v>N/A</v>
      </c>
      <c r="AE124" s="90" t="str">
        <f ca="1">IF($Y124="","",IF(OFFSET(G$55,'Intermediate Data'!$Y124,0)=-98,"N/A",IF(OFFSET(G$55,'Intermediate Data'!$Y124,0)=-99,"N/A",OFFSET(G$55,'Intermediate Data'!$Y124,0))))</f>
        <v>N/A</v>
      </c>
      <c r="AF124" s="90" t="str">
        <f ca="1">IF($Y124="","",IF(OFFSET(H$55,'Intermediate Data'!$Y124,0)=-98,"N/A",IF(OFFSET(H$55,'Intermediate Data'!$Y124,0)=-99,"N/A",OFFSET(H$55,'Intermediate Data'!$Y124,0))))</f>
        <v>N/A</v>
      </c>
      <c r="AG124" s="90" t="str">
        <f ca="1">IF($Y124="","",IF(OFFSET(I$55,'Intermediate Data'!$Y124,0)=-98,"N/A",IF(OFFSET(I$55,'Intermediate Data'!$Y124,0)=-99,"N/A",OFFSET(I$55,'Intermediate Data'!$Y124,0))))</f>
        <v>N/A</v>
      </c>
      <c r="AH124" s="90" t="str">
        <f ca="1">IF($Y124="","",IF(OFFSET(J$55,'Intermediate Data'!$Y124,0)=-98,"N/A",IF(OFFSET(J$55,'Intermediate Data'!$Y124,0)=-99,"N/A",OFFSET(J$55,'Intermediate Data'!$Y124,0))))</f>
        <v/>
      </c>
      <c r="AI124" s="90" t="str">
        <f ca="1">IF($Y124="","",IF(OFFSET(K$55,'Intermediate Data'!$Y124,0)=-98,"N/A",IF(OFFSET(K$55,'Intermediate Data'!$Y124,0)=-99,"N/A",OFFSET(K$55,'Intermediate Data'!$Y124,0))))</f>
        <v>N/A</v>
      </c>
      <c r="AJ124" s="90" t="str">
        <f ca="1">IF($Y124="","",IF(OFFSET(L$55,'Intermediate Data'!$Y124,0)=-98,"N/A",IF(OFFSET(L$55,'Intermediate Data'!$Y124,0)=-99,"N/A",OFFSET(L$55,'Intermediate Data'!$Y124,0))))</f>
        <v>N/A</v>
      </c>
      <c r="AK124" s="90" t="str">
        <f ca="1">IF($Y124="","",IF(OFFSET(M$55,'Intermediate Data'!$Y124,0)=-98,"N/A",IF(OFFSET(M$55,'Intermediate Data'!$Y124,0)=-99,"N/A",OFFSET(M$55,'Intermediate Data'!$Y124,0))))</f>
        <v>N/A</v>
      </c>
      <c r="AL124" s="90" t="str">
        <f ca="1">IF($Y124="","",IF(OFFSET(N$55,'Intermediate Data'!$Y124,0)=-98,"N/A",IF(OFFSET(N$55,'Intermediate Data'!$Y124,0)=-99,"N/A",OFFSET(N$55,'Intermediate Data'!$Y124,0))))</f>
        <v>N/A</v>
      </c>
      <c r="AM124" s="90" t="str">
        <f ca="1">IF($Y124="","",IF(OFFSET(O$55,'Intermediate Data'!$Y124,0)=-98,"N/A",IF(OFFSET(O$55,'Intermediate Data'!$Y124,0)=-99,"N/A",OFFSET(O$55,'Intermediate Data'!$Y124,0))))</f>
        <v>N/A</v>
      </c>
      <c r="AN124" s="90" t="str">
        <f ca="1">IF($Y124="","",IF(OFFSET(P$55,'Intermediate Data'!$Y124,0)=-98,"N/A",IF(OFFSET(P$55,'Intermediate Data'!$Y124,0)=-99,"N/A",OFFSET(P$55,'Intermediate Data'!$Y124,0))))</f>
        <v>N/A</v>
      </c>
      <c r="AO124" s="90" t="str">
        <f ca="1">IF($Y124="","",IF(OFFSET(Q$55,'Intermediate Data'!$Y124,0)=-98,"N/A",IF(OFFSET(Q$55,'Intermediate Data'!$Y124,0)=-99,"N/A",OFFSET(Q$55,'Intermediate Data'!$Y124,0))))</f>
        <v/>
      </c>
      <c r="AP124" s="697" t="str">
        <f ca="1">IF($Y124="","",IF(OFFSET(S$55,'Intermediate Data'!$Y124,0)=-98,"",IF(OFFSET(S$55,'Intermediate Data'!$Y124,0)=-99,"",OFFSET(S$55,'Intermediate Data'!$Y124,0))))</f>
        <v/>
      </c>
      <c r="AQ124" s="90" t="str">
        <f ca="1">IF($Y124="","",IF(OFFSET(T$55,'Intermediate Data'!$Y124,0)=-98,"Not published",IF(OFFSET(T$55,'Intermediate Data'!$Y124,0)=-99,"",OFFSET(T$55,'Intermediate Data'!$Y124,0))))</f>
        <v/>
      </c>
      <c r="AR124" s="90" t="str">
        <f ca="1">IF($Y124="","",IF(OFFSET(U$55,'Intermediate Data'!$Y124,0)=-98,"Unknown",IF(OFFSET(U$55,'Intermediate Data'!$Y124,0)=-99,"",OFFSET(U$55,'Intermediate Data'!$Y124,0))))</f>
        <v/>
      </c>
      <c r="AU124" s="112" t="str">
        <f ca="1">IF(AND(OFFSET(DATA!$F73,0,$AX$48)='Intermediate Data'!$AY$48,DATA!$E73="Tier 1"),IF(OR($AX$49=0,$AX$48=1),DATA!A73,IF(AND($AX$49=1,INDEX('Intermediate Data'!$AY$25:$AY$44,MATCH(DATA!$B73,'Intermediate Data'!$AX$25:$AX$44,0))=TRUE),DATA!A73,"")),"")</f>
        <v/>
      </c>
      <c r="AV124" s="112" t="str">
        <f ca="1">IF($AU124="","",DATA!B73)</f>
        <v/>
      </c>
      <c r="AW124" s="112" t="str">
        <f ca="1">IF(OR($AU124="",DATA!BI73=""),"",DATA!BI73)</f>
        <v/>
      </c>
      <c r="AX124" s="112" t="str">
        <f ca="1">IF(OR($AU124="",OFFSET(DATA!BK73,0,$AX$48)=""),"",OFFSET(DATA!BK73,0,$AX$48))</f>
        <v/>
      </c>
      <c r="AY124" s="112" t="str">
        <f ca="1">IF(OR($AU124="",OFFSET(DATA!BM73,0,$AX$48)=""),"",OFFSET(DATA!BM73,0,$AX$48))</f>
        <v/>
      </c>
      <c r="AZ124" s="112" t="str">
        <f ca="1">IF(OR($AU124="",OFFSET(DATA!BO73,0,'Intermediate Data'!$AX$48)=""),"",OFFSET(DATA!BO73,0,$AX$48))</f>
        <v/>
      </c>
      <c r="BA124" s="112" t="str">
        <f ca="1">IF(OR($AU124="",DATA!BQ73=""),"",DATA!BQ73)</f>
        <v/>
      </c>
      <c r="BB124" s="112" t="str">
        <f ca="1">IF($AU124="","",OFFSET(DATA!BS73,0,$AX$48))</f>
        <v/>
      </c>
      <c r="BC124" s="112" t="str">
        <f ca="1">IF($AU124="","",OFFSET(DATA!BU73,0,$AX$48))</f>
        <v/>
      </c>
      <c r="BD124" s="112" t="str">
        <f ca="1">IF($AU124="","",OFFSET(DATA!BW73,0,$AX$48))</f>
        <v/>
      </c>
      <c r="BE124" s="112" t="str">
        <f ca="1">IF($AU124="","",OFFSET(DATA!BY73,0,$AX$48))</f>
        <v/>
      </c>
      <c r="BF124" s="112" t="str">
        <f ca="1">IF($AU124="","",OFFSET(DATA!CA73,0,$AX$48))</f>
        <v/>
      </c>
      <c r="BG124" s="112" t="str">
        <f ca="1">IF($AU124="","",DATA!CC73)</f>
        <v/>
      </c>
      <c r="BH124" s="112" t="str">
        <f ca="1">IF($AU124="","",OFFSET(DATA!CE73,0,$AX$48))</f>
        <v/>
      </c>
      <c r="BI124" s="112" t="str">
        <f ca="1">IF($AU124="","",OFFSET(DATA!CG73,0,$AX$48))</f>
        <v/>
      </c>
      <c r="BJ124" s="112" t="str">
        <f ca="1">IF($AU124="","",OFFSET(DATA!CI73,0,$AX$48))</f>
        <v/>
      </c>
      <c r="BK124" s="112" t="str">
        <f ca="1">IF($AU124="","",OFFSET(DATA!CK73,0,$AX$48))</f>
        <v/>
      </c>
      <c r="BL124" s="112" t="str">
        <f ca="1">IF($AU124="","",OFFSET(DATA!CM73,0,$AX$48))</f>
        <v/>
      </c>
      <c r="BM124" s="112" t="str">
        <f ca="1">IF($AU124="","",DATA!BH73)</f>
        <v/>
      </c>
      <c r="BN124" s="112" t="str">
        <f ca="1">IF($AU124="","",DATA!DS73)</f>
        <v/>
      </c>
      <c r="BO124" s="112" t="str">
        <f ca="1">IF($AU124="","",DATA!DU73)</f>
        <v/>
      </c>
      <c r="BP124" s="112" t="str">
        <f ca="1">IF($AU124="","",DATA!DV73)</f>
        <v/>
      </c>
      <c r="BQ124" s="112" t="str">
        <f ca="1">IF($AU124="","",DATA!DX73)</f>
        <v/>
      </c>
      <c r="BR124" s="112" t="str">
        <f ca="1">IF($AU124="","",DATA!DZ73)</f>
        <v/>
      </c>
      <c r="BS124" s="171" t="str">
        <f ca="1">IF($AU124="","",DATA!EA73)</f>
        <v/>
      </c>
      <c r="BT124" s="171" t="str">
        <f ca="1">IF($AU124="","",DATA!EC73)</f>
        <v/>
      </c>
      <c r="BU124" s="171" t="str">
        <f ca="1">IF($AU124="","",DATA!EF73)</f>
        <v/>
      </c>
      <c r="BV124" s="113" t="str">
        <f t="shared" ca="1" si="24"/>
        <v/>
      </c>
      <c r="BW124" s="680" t="str">
        <f ca="1">IF(AU124="","",OFFSET(DATA!DC73,0,'Intermediate Data'!$AX$48))</f>
        <v/>
      </c>
      <c r="BX124" s="681" t="str">
        <f ca="1">IF($AU124="","",DATA!DG73)</f>
        <v/>
      </c>
      <c r="BY124" s="680" t="str">
        <f ca="1">IF($AU124="","",OFFSET(DATA!DE73,0,'Intermediate Data'!$AX$48))</f>
        <v/>
      </c>
      <c r="BZ124" s="681" t="str">
        <f ca="1">IF($AU124="","",DATA!DH73)</f>
        <v/>
      </c>
      <c r="CA124" s="90" t="str">
        <f t="shared" ca="1" si="25"/>
        <v/>
      </c>
      <c r="CB124" s="99" t="str">
        <f t="shared" ca="1" si="26"/>
        <v/>
      </c>
      <c r="CC124" s="90" t="str">
        <f t="shared" ca="1" si="27"/>
        <v/>
      </c>
      <c r="CD124" s="90" t="str">
        <f t="shared" ca="1" si="28"/>
        <v/>
      </c>
      <c r="CF124" s="90" t="str">
        <f ca="1">IF($CD124="","",IF(OFFSET(AV$55,'Intermediate Data'!$CD124,0)=-98,"Unknown",IF(OFFSET(AV$55,'Intermediate Data'!$CD124,0)=-99,"N/A",OFFSET(AV$55,'Intermediate Data'!$CD124,0))))</f>
        <v/>
      </c>
      <c r="CG124" s="90" t="str">
        <f ca="1">IF($CD124="","",IF(OFFSET(AW$55,'Intermediate Data'!$CD124,0)=-98,"",IF(OFFSET(AW$55,'Intermediate Data'!$CD124,0)=-99,"N/A",OFFSET(AW$55,'Intermediate Data'!$CD124,0))))</f>
        <v/>
      </c>
      <c r="CH124" s="90" t="str">
        <f ca="1">IF($CD124="","",IF(OFFSET(AX$55,'Intermediate Data'!$CD124,0)=-98,"Unknown",IF(OFFSET(AX$55,'Intermediate Data'!$CD124,0)=-99,"N/A",OFFSET(AX$55,'Intermediate Data'!$CD124,0))))</f>
        <v/>
      </c>
      <c r="CI124" s="125" t="str">
        <f ca="1">IF($CD124="","",IF(OFFSET(AY$55,'Intermediate Data'!$CD124,0)=-98,"Unknown",IF(OFFSET(AY$55,'Intermediate Data'!$CD124,0)=-99,"No spec",OFFSET(AY$55,'Intermediate Data'!$CD124,0))))</f>
        <v/>
      </c>
      <c r="CJ124" s="125" t="str">
        <f ca="1">IF($CD124="","",IF(OFFSET(AZ$55,'Intermediate Data'!$CD124,0)=-98,"Unknown",IF(OFFSET(AZ$55,'Intermediate Data'!$CD124,0)=-99,"N/A",OFFSET(AZ$55,'Intermediate Data'!$CD124,0))))</f>
        <v/>
      </c>
      <c r="CK124" s="90" t="str">
        <f ca="1">IF($CD124="","",IF(OFFSET(BA$55,'Intermediate Data'!$CD124,0)=-98,"Unknown",IF(OFFSET(BA$55,'Intermediate Data'!$CD124,0)=-99,"N/A",OFFSET(BA$55,'Intermediate Data'!$CD124,0))))</f>
        <v/>
      </c>
      <c r="CL124" s="90" t="str">
        <f ca="1">IF($CD124="","",IF(OFFSET(BB$55,'Intermediate Data'!$CD124,$AX$50)=-98,"Unknown",IF(OFFSET(BB$55,'Intermediate Data'!$CD124,$AX$50)="N/A","",OFFSET(BB$55,'Intermediate Data'!$CD124,$AX$50))))</f>
        <v/>
      </c>
      <c r="CM124" s="90" t="str">
        <f ca="1">IF($CD124="","",IF(OFFSET(BG$55,'Intermediate Data'!$CD124,0)="ET","ET",""))</f>
        <v/>
      </c>
      <c r="CN124" s="90" t="str">
        <f ca="1">IF($CD124="","",IF(OFFSET(BH$55,'Intermediate Data'!$CD124,$AX$50)=-98,"Unknown",IF(OFFSET(BH$55,'Intermediate Data'!$CD124,$AX$50)="N/A","",OFFSET(BH$55,'Intermediate Data'!$CD124,$AX$50))))</f>
        <v/>
      </c>
      <c r="CO124" s="90" t="str">
        <f ca="1">IF($CD124="","",IF(OFFSET(BM$55,'Intermediate Data'!$CD124,0)=-98,"Not published",IF(OFFSET(BM$55,'Intermediate Data'!$CD124,0)=-99,"No spec",OFFSET(BM$55,'Intermediate Data'!$CD124,0))))</f>
        <v/>
      </c>
      <c r="CP124" s="114" t="str">
        <f ca="1">IF($CD124="","",IF(OFFSET(BN$55,'Intermediate Data'!$CD124,0)=-98,"Unknown",IF(OFFSET(BN$55,'Intermediate Data'!$CD124,0)=-99,"N/A",OFFSET(BN$55,'Intermediate Data'!$CD124,0))))</f>
        <v/>
      </c>
      <c r="CQ124" s="114" t="str">
        <f ca="1">IF($CD124="","",IF(OFFSET(BO$55,'Intermediate Data'!$CD124,0)=-98,"Unknown",IF(OFFSET(BO$55,'Intermediate Data'!$CD124,0)=-99,"N/A",OFFSET(BO$55,'Intermediate Data'!$CD124,0))))</f>
        <v/>
      </c>
      <c r="CR124" s="114" t="str">
        <f ca="1">IF($CD124="","",IF(OFFSET(BP$55,'Intermediate Data'!$CD124,0)=-98,"Unknown",IF(OFFSET(BP$55,'Intermediate Data'!$CD124,0)=-99,"N/A",OFFSET(BP$55,'Intermediate Data'!$CD124,0))))</f>
        <v/>
      </c>
      <c r="CS124" s="114" t="str">
        <f ca="1">IF($CD124="","",IF(OFFSET(BQ$55,'Intermediate Data'!$CD124,0)=-98,"Unknown",IF(OFFSET(BQ$55,'Intermediate Data'!$CD124,0)=-99,"N/A",OFFSET(BQ$55,'Intermediate Data'!$CD124,0))))</f>
        <v/>
      </c>
      <c r="CT124" s="114" t="str">
        <f ca="1">IF($CD124="","",IF(OFFSET(BR$55,'Intermediate Data'!$CD124,0)=-98,"Unknown",IF(OFFSET(BR$55,'Intermediate Data'!$CD124,0)=-99,"N/A",OFFSET(BR$55,'Intermediate Data'!$CD124,0))))</f>
        <v/>
      </c>
      <c r="CU124" s="114" t="str">
        <f ca="1">IF($CD124="","",IF(OFFSET(BS$55,'Intermediate Data'!$CD124,0)=-98,"Unknown",IF(OFFSET(BS$55,'Intermediate Data'!$CD124,0)=-99,"N/A",OFFSET(BS$55,'Intermediate Data'!$CD124,0))))</f>
        <v/>
      </c>
      <c r="CV124" s="114" t="str">
        <f ca="1">IF($CD124="","",IF(OFFSET(BT$55,'Intermediate Data'!$CD124,0)=-98,"Unknown",IF(OFFSET(BT$55,'Intermediate Data'!$CD124,0)=-99,"N/A",OFFSET(BT$55,'Intermediate Data'!$CD124,0))))</f>
        <v/>
      </c>
      <c r="CW124" s="114" t="str">
        <f ca="1">IF($CD124="","",IF(OFFSET(BU$55,'Intermediate Data'!$CD124,0)=-98,"Unknown",IF(OFFSET(BU$55,'Intermediate Data'!$CD124,0)=-99,"N/A",OFFSET(BU$55,'Intermediate Data'!$CD124,0))))</f>
        <v/>
      </c>
      <c r="CX124" s="114" t="str">
        <f ca="1">IF($CD124="","",IF(OFFSET(BV$55,'Intermediate Data'!$CD124,0)=-98,"Unknown",IF(OFFSET(BV$55,'Intermediate Data'!$CD124,0)=-99,"N/A",OFFSET(BV$55,'Intermediate Data'!$CD124,0))))</f>
        <v/>
      </c>
      <c r="CY124" s="682" t="str">
        <f ca="1">IF($CD124="","",IF(OFFSET(BW$55,'Intermediate Data'!$CD124,0)=-98,"Unknown",IF(OFFSET(BW$55,'Intermediate Data'!$CD124,0)="N/A","",OFFSET(BW$55,'Intermediate Data'!$CD124,0))))</f>
        <v/>
      </c>
      <c r="CZ124" s="682" t="str">
        <f ca="1">IF($CD124="","",IF(OFFSET(BX$55,'Intermediate Data'!$CD124,0)=-98,"Unknown",IF(OFFSET(BX$55,'Intermediate Data'!$CD124,0)="N/A","",OFFSET(BX$55,'Intermediate Data'!$CD124,0))))</f>
        <v/>
      </c>
      <c r="DA124" s="682" t="str">
        <f ca="1">IF($CD124="","",IF(OFFSET(BY$55,'Intermediate Data'!$CD124,0)=-98,"Unknown",IF(OFFSET(BY$55,'Intermediate Data'!$CD124,0)="N/A","",OFFSET(BY$55,'Intermediate Data'!$CD124,0))))</f>
        <v/>
      </c>
      <c r="DB124" s="682" t="str">
        <f ca="1">IF($CD124="","",IF(OFFSET(BZ$55,'Intermediate Data'!$CD124,0)=-98,"Unknown",IF(OFFSET(BZ$55,'Intermediate Data'!$CD124,0)="N/A","",OFFSET(BZ$55,'Intermediate Data'!$CD124,0))))</f>
        <v/>
      </c>
    </row>
    <row r="125" spans="1:106" x14ac:dyDescent="0.2">
      <c r="A125" s="90">
        <f ca="1">IF(OFFSET(DATA!F74,0,$D$48)='Intermediate Data'!$E$48,IF(OR($E$49=$C$27,$E$48=$B$4),DATA!A74,IF($G$49=DATA!D74,DATA!A74,"")),"")</f>
        <v>70</v>
      </c>
      <c r="B125" s="90">
        <f ca="1">IF($A125="","",DATA!EH74)</f>
        <v>124</v>
      </c>
      <c r="C125" s="90" t="str">
        <f ca="1">IF($A125="","",DATA!B74)</f>
        <v>Central AC</v>
      </c>
      <c r="D125" s="90">
        <f ca="1">IF($A125="","",OFFSET(DATA!$H74,0,($D$50*5)))</f>
        <v>0.29399999999999998</v>
      </c>
      <c r="E125" s="90">
        <f ca="1">IF($A125="","",OFFSET(DATA!$H74,0,($D$50*5)+1))</f>
        <v>0.45629088951766317</v>
      </c>
      <c r="F125" s="90">
        <f ca="1">IF($A125="","",OFFSET(DATA!$H74,0,($D$50*5)+2))</f>
        <v>-98</v>
      </c>
      <c r="G125" s="90">
        <f ca="1">IF($A125="","",OFFSET(DATA!$H74,0,($D$50*5)+3))</f>
        <v>0.5441207733508614</v>
      </c>
      <c r="H125" s="90">
        <f ca="1">IF($A125="","",OFFSET(DATA!$H74,0,($D$50*5)+4))</f>
        <v>-99</v>
      </c>
      <c r="I125" s="90">
        <f t="shared" ca="1" si="17"/>
        <v>0.5441207733508614</v>
      </c>
      <c r="J125" s="90" t="str">
        <f t="shared" ca="1" si="18"/>
        <v>RASS</v>
      </c>
      <c r="K125" s="90">
        <f ca="1">IF($A125="","",OFFSET(DATA!$AG74,0,($D$50*5)))</f>
        <v>-99</v>
      </c>
      <c r="L125" s="90">
        <f ca="1">IF($A125="","",OFFSET(DATA!$AG74,0,($D$50*5)+1))</f>
        <v>0.47891956990484952</v>
      </c>
      <c r="M125" s="90">
        <f ca="1">IF($A125="","",OFFSET(DATA!$AG74,0,($D$50*5)+2))</f>
        <v>-99</v>
      </c>
      <c r="N125" s="90">
        <f ca="1">IF($A125="","",OFFSET(DATA!$AG74,0,($D$50*5)+3))</f>
        <v>0.57346727671045294</v>
      </c>
      <c r="O125" s="90">
        <f ca="1">IF($A125="","",OFFSET(DATA!$AG74,0,($D$50*5)+4))</f>
        <v>-99</v>
      </c>
      <c r="P125" s="90">
        <f t="shared" ca="1" si="19"/>
        <v>0.57346727671045294</v>
      </c>
      <c r="Q125" s="90" t="str">
        <f t="shared" ca="1" si="20"/>
        <v>RASS</v>
      </c>
      <c r="R125" s="699">
        <f ca="1">IF($A125="","",IF(DATA!BF74="",-99,DATA!BF74))</f>
        <v>-99</v>
      </c>
      <c r="S125" s="90">
        <f ca="1">IF($A125="","",IF(DATA!BG74="",-99,DATA!BF74-DATA!BG74))</f>
        <v>-99</v>
      </c>
      <c r="T125" s="90">
        <f ca="1">IF($A125="","",DATA!BH74)</f>
        <v>0.18</v>
      </c>
      <c r="U125" s="90">
        <f ca="1">IF($A125="","",OFFSET(DATA!BM74,0,$D$48))</f>
        <v>440</v>
      </c>
      <c r="V125" s="90">
        <f t="shared" ca="1" si="16"/>
        <v>124</v>
      </c>
      <c r="W125" s="99">
        <f t="shared" ca="1" si="21"/>
        <v>123.99999487894193</v>
      </c>
      <c r="X125" s="112">
        <f t="shared" ca="1" si="22"/>
        <v>61.999942462378677</v>
      </c>
      <c r="Y125" s="90">
        <f t="shared" ca="1" si="23"/>
        <v>15</v>
      </c>
      <c r="AA125" s="90" t="str">
        <f ca="1">IF($Y125="","",IF(OFFSET(C$55,'Intermediate Data'!$Y125,0)=-98,"Unknown",IF(OFFSET(C$55,'Intermediate Data'!$Y125,0)=-99,"N/A",OFFSET(C$55,'Intermediate Data'!$Y125,0))))</f>
        <v>Network equipment</v>
      </c>
      <c r="AB125" s="90" t="str">
        <f ca="1">IF($Y125="","",IF(OFFSET(D$55,'Intermediate Data'!$Y125,0)=-98,"N/A",IF(OFFSET(D$55,'Intermediate Data'!$Y125,0)=-99,"N/A",OFFSET(D$55,'Intermediate Data'!$Y125,0))))</f>
        <v>N/A</v>
      </c>
      <c r="AC125" s="90">
        <f ca="1">IF($Y125="","",IF(OFFSET(E$55,'Intermediate Data'!$Y125,0)=-98,"N/A",IF(OFFSET(E$55,'Intermediate Data'!$Y125,0)=-99,"N/A",OFFSET(E$55,'Intermediate Data'!$Y125,0))))</f>
        <v>0.31656002225626545</v>
      </c>
      <c r="AD125" s="90" t="str">
        <f ca="1">IF($Y125="","",IF(OFFSET(F$55,'Intermediate Data'!$Y125,0)=-98,"N/A",IF(OFFSET(F$55,'Intermediate Data'!$Y125,0)=-99,"N/A",OFFSET(F$55,'Intermediate Data'!$Y125,0))))</f>
        <v>N/A</v>
      </c>
      <c r="AE125" s="90">
        <f ca="1">IF($Y125="","",IF(OFFSET(G$55,'Intermediate Data'!$Y125,0)=-98,"N/A",IF(OFFSET(G$55,'Intermediate Data'!$Y125,0)=-99,"N/A",OFFSET(G$55,'Intermediate Data'!$Y125,0))))</f>
        <v>0.6363562558276038</v>
      </c>
      <c r="AF125" s="90" t="str">
        <f ca="1">IF($Y125="","",IF(OFFSET(H$55,'Intermediate Data'!$Y125,0)=-98,"N/A",IF(OFFSET(H$55,'Intermediate Data'!$Y125,0)=-99,"N/A",OFFSET(H$55,'Intermediate Data'!$Y125,0))))</f>
        <v>N/A</v>
      </c>
      <c r="AG125" s="90">
        <f ca="1">IF($Y125="","",IF(OFFSET(I$55,'Intermediate Data'!$Y125,0)=-98,"N/A",IF(OFFSET(I$55,'Intermediate Data'!$Y125,0)=-99,"N/A",OFFSET(I$55,'Intermediate Data'!$Y125,0))))</f>
        <v>0.6363562558276038</v>
      </c>
      <c r="AH125" s="90" t="str">
        <f ca="1">IF($Y125="","",IF(OFFSET(J$55,'Intermediate Data'!$Y125,0)=-98,"N/A",IF(OFFSET(J$55,'Intermediate Data'!$Y125,0)=-99,"N/A",OFFSET(J$55,'Intermediate Data'!$Y125,0))))</f>
        <v>RASS</v>
      </c>
      <c r="AI125" s="90" t="str">
        <f ca="1">IF($Y125="","",IF(OFFSET(K$55,'Intermediate Data'!$Y125,0)=-98,"N/A",IF(OFFSET(K$55,'Intermediate Data'!$Y125,0)=-99,"N/A",OFFSET(K$55,'Intermediate Data'!$Y125,0))))</f>
        <v>N/A</v>
      </c>
      <c r="AJ125" s="90">
        <f ca="1">IF($Y125="","",IF(OFFSET(L$55,'Intermediate Data'!$Y125,0)=-98,"N/A",IF(OFFSET(L$55,'Intermediate Data'!$Y125,0)=-99,"N/A",OFFSET(L$55,'Intermediate Data'!$Y125,0))))</f>
        <v>0.35040677506377932</v>
      </c>
      <c r="AK125" s="90" t="str">
        <f ca="1">IF($Y125="","",IF(OFFSET(M$55,'Intermediate Data'!$Y125,0)=-98,"N/A",IF(OFFSET(M$55,'Intermediate Data'!$Y125,0)=-99,"N/A",OFFSET(M$55,'Intermediate Data'!$Y125,0))))</f>
        <v>N/A</v>
      </c>
      <c r="AL125" s="90">
        <f ca="1">IF($Y125="","",IF(OFFSET(N$55,'Intermediate Data'!$Y125,0)=-98,"N/A",IF(OFFSET(N$55,'Intermediate Data'!$Y125,0)=-99,"N/A",OFFSET(N$55,'Intermediate Data'!$Y125,0))))</f>
        <v>0.67710747254138626</v>
      </c>
      <c r="AM125" s="90" t="str">
        <f ca="1">IF($Y125="","",IF(OFFSET(O$55,'Intermediate Data'!$Y125,0)=-98,"N/A",IF(OFFSET(O$55,'Intermediate Data'!$Y125,0)=-99,"N/A",OFFSET(O$55,'Intermediate Data'!$Y125,0))))</f>
        <v>N/A</v>
      </c>
      <c r="AN125" s="90">
        <f ca="1">IF($Y125="","",IF(OFFSET(P$55,'Intermediate Data'!$Y125,0)=-98,"N/A",IF(OFFSET(P$55,'Intermediate Data'!$Y125,0)=-99,"N/A",OFFSET(P$55,'Intermediate Data'!$Y125,0))))</f>
        <v>0.67710747254138626</v>
      </c>
      <c r="AO125" s="90" t="str">
        <f ca="1">IF($Y125="","",IF(OFFSET(Q$55,'Intermediate Data'!$Y125,0)=-98,"N/A",IF(OFFSET(Q$55,'Intermediate Data'!$Y125,0)=-99,"N/A",OFFSET(Q$55,'Intermediate Data'!$Y125,0))))</f>
        <v>RASS</v>
      </c>
      <c r="AP125" s="697" t="str">
        <f ca="1">IF($Y125="","",IF(OFFSET(S$55,'Intermediate Data'!$Y125,0)=-98,"",IF(OFFSET(S$55,'Intermediate Data'!$Y125,0)=-99,"",OFFSET(S$55,'Intermediate Data'!$Y125,0))))</f>
        <v/>
      </c>
      <c r="AQ125" s="90" t="str">
        <f ca="1">IF($Y125="","",IF(OFFSET(T$55,'Intermediate Data'!$Y125,0)=-98,"Not published",IF(OFFSET(T$55,'Intermediate Data'!$Y125,0)=-99,"",OFFSET(T$55,'Intermediate Data'!$Y125,0))))</f>
        <v>Not published</v>
      </c>
      <c r="AR125" s="90">
        <f ca="1">IF($Y125="","",IF(OFFSET(U$55,'Intermediate Data'!$Y125,0)=-98,"Unknown",IF(OFFSET(U$55,'Intermediate Data'!$Y125,0)=-99,"",OFFSET(U$55,'Intermediate Data'!$Y125,0))))</f>
        <v>15</v>
      </c>
      <c r="AU125" s="112" t="str">
        <f ca="1">IF(AND(OFFSET(DATA!$F74,0,$AX$48)='Intermediate Data'!$AY$48,DATA!$E74="Tier 1"),IF(OR($AX$49=0,$AX$48=1),DATA!A74,IF(AND($AX$49=1,INDEX('Intermediate Data'!$AY$25:$AY$44,MATCH(DATA!$B74,'Intermediate Data'!$AX$25:$AX$44,0))=TRUE),DATA!A74,"")),"")</f>
        <v/>
      </c>
      <c r="AV125" s="112" t="str">
        <f ca="1">IF($AU125="","",DATA!B74)</f>
        <v/>
      </c>
      <c r="AW125" s="112" t="str">
        <f ca="1">IF(OR($AU125="",DATA!BI74=""),"",DATA!BI74)</f>
        <v/>
      </c>
      <c r="AX125" s="112" t="str">
        <f ca="1">IF(OR($AU125="",OFFSET(DATA!BK74,0,$AX$48)=""),"",OFFSET(DATA!BK74,0,$AX$48))</f>
        <v/>
      </c>
      <c r="AY125" s="112" t="str">
        <f ca="1">IF(OR($AU125="",OFFSET(DATA!BM74,0,$AX$48)=""),"",OFFSET(DATA!BM74,0,$AX$48))</f>
        <v/>
      </c>
      <c r="AZ125" s="112" t="str">
        <f ca="1">IF(OR($AU125="",OFFSET(DATA!BO74,0,'Intermediate Data'!$AX$48)=""),"",OFFSET(DATA!BO74,0,$AX$48))</f>
        <v/>
      </c>
      <c r="BA125" s="112" t="str">
        <f ca="1">IF(OR($AU125="",DATA!BQ74=""),"",DATA!BQ74)</f>
        <v/>
      </c>
      <c r="BB125" s="112" t="str">
        <f ca="1">IF($AU125="","",OFFSET(DATA!BS74,0,$AX$48))</f>
        <v/>
      </c>
      <c r="BC125" s="112" t="str">
        <f ca="1">IF($AU125="","",OFFSET(DATA!BU74,0,$AX$48))</f>
        <v/>
      </c>
      <c r="BD125" s="112" t="str">
        <f ca="1">IF($AU125="","",OFFSET(DATA!BW74,0,$AX$48))</f>
        <v/>
      </c>
      <c r="BE125" s="112" t="str">
        <f ca="1">IF($AU125="","",OFFSET(DATA!BY74,0,$AX$48))</f>
        <v/>
      </c>
      <c r="BF125" s="112" t="str">
        <f ca="1">IF($AU125="","",OFFSET(DATA!CA74,0,$AX$48))</f>
        <v/>
      </c>
      <c r="BG125" s="112" t="str">
        <f ca="1">IF($AU125="","",DATA!CC74)</f>
        <v/>
      </c>
      <c r="BH125" s="112" t="str">
        <f ca="1">IF($AU125="","",OFFSET(DATA!CE74,0,$AX$48))</f>
        <v/>
      </c>
      <c r="BI125" s="112" t="str">
        <f ca="1">IF($AU125="","",OFFSET(DATA!CG74,0,$AX$48))</f>
        <v/>
      </c>
      <c r="BJ125" s="112" t="str">
        <f ca="1">IF($AU125="","",OFFSET(DATA!CI74,0,$AX$48))</f>
        <v/>
      </c>
      <c r="BK125" s="112" t="str">
        <f ca="1">IF($AU125="","",OFFSET(DATA!CK74,0,$AX$48))</f>
        <v/>
      </c>
      <c r="BL125" s="112" t="str">
        <f ca="1">IF($AU125="","",OFFSET(DATA!CM74,0,$AX$48))</f>
        <v/>
      </c>
      <c r="BM125" s="112" t="str">
        <f ca="1">IF($AU125="","",DATA!BH74)</f>
        <v/>
      </c>
      <c r="BN125" s="112" t="str">
        <f ca="1">IF($AU125="","",DATA!DS74)</f>
        <v/>
      </c>
      <c r="BO125" s="112" t="str">
        <f ca="1">IF($AU125="","",DATA!DU74)</f>
        <v/>
      </c>
      <c r="BP125" s="112" t="str">
        <f ca="1">IF($AU125="","",DATA!DV74)</f>
        <v/>
      </c>
      <c r="BQ125" s="112" t="str">
        <f ca="1">IF($AU125="","",DATA!DX74)</f>
        <v/>
      </c>
      <c r="BR125" s="112" t="str">
        <f ca="1">IF($AU125="","",DATA!DZ74)</f>
        <v/>
      </c>
      <c r="BS125" s="171" t="str">
        <f ca="1">IF($AU125="","",DATA!EA74)</f>
        <v/>
      </c>
      <c r="BT125" s="171" t="str">
        <f ca="1">IF($AU125="","",DATA!EC74)</f>
        <v/>
      </c>
      <c r="BU125" s="171" t="str">
        <f ca="1">IF($AU125="","",DATA!EF74)</f>
        <v/>
      </c>
      <c r="BV125" s="113" t="str">
        <f t="shared" ca="1" si="24"/>
        <v/>
      </c>
      <c r="BW125" s="680" t="str">
        <f ca="1">IF(AU125="","",OFFSET(DATA!DC74,0,'Intermediate Data'!$AX$48))</f>
        <v/>
      </c>
      <c r="BX125" s="681" t="str">
        <f ca="1">IF($AU125="","",DATA!DG74)</f>
        <v/>
      </c>
      <c r="BY125" s="680" t="str">
        <f ca="1">IF($AU125="","",OFFSET(DATA!DE74,0,'Intermediate Data'!$AX$48))</f>
        <v/>
      </c>
      <c r="BZ125" s="681" t="str">
        <f ca="1">IF($AU125="","",DATA!DH74)</f>
        <v/>
      </c>
      <c r="CA125" s="90" t="str">
        <f t="shared" ca="1" si="25"/>
        <v/>
      </c>
      <c r="CB125" s="99" t="str">
        <f t="shared" ca="1" si="26"/>
        <v/>
      </c>
      <c r="CC125" s="90" t="str">
        <f t="shared" ca="1" si="27"/>
        <v/>
      </c>
      <c r="CD125" s="90" t="str">
        <f t="shared" ca="1" si="28"/>
        <v/>
      </c>
      <c r="CF125" s="90" t="str">
        <f ca="1">IF($CD125="","",IF(OFFSET(AV$55,'Intermediate Data'!$CD125,0)=-98,"Unknown",IF(OFFSET(AV$55,'Intermediate Data'!$CD125,0)=-99,"N/A",OFFSET(AV$55,'Intermediate Data'!$CD125,0))))</f>
        <v/>
      </c>
      <c r="CG125" s="90" t="str">
        <f ca="1">IF($CD125="","",IF(OFFSET(AW$55,'Intermediate Data'!$CD125,0)=-98,"",IF(OFFSET(AW$55,'Intermediate Data'!$CD125,0)=-99,"N/A",OFFSET(AW$55,'Intermediate Data'!$CD125,0))))</f>
        <v/>
      </c>
      <c r="CH125" s="90" t="str">
        <f ca="1">IF($CD125="","",IF(OFFSET(AX$55,'Intermediate Data'!$CD125,0)=-98,"Unknown",IF(OFFSET(AX$55,'Intermediate Data'!$CD125,0)=-99,"N/A",OFFSET(AX$55,'Intermediate Data'!$CD125,0))))</f>
        <v/>
      </c>
      <c r="CI125" s="125" t="str">
        <f ca="1">IF($CD125="","",IF(OFFSET(AY$55,'Intermediate Data'!$CD125,0)=-98,"Unknown",IF(OFFSET(AY$55,'Intermediate Data'!$CD125,0)=-99,"No spec",OFFSET(AY$55,'Intermediate Data'!$CD125,0))))</f>
        <v/>
      </c>
      <c r="CJ125" s="125" t="str">
        <f ca="1">IF($CD125="","",IF(OFFSET(AZ$55,'Intermediate Data'!$CD125,0)=-98,"Unknown",IF(OFFSET(AZ$55,'Intermediate Data'!$CD125,0)=-99,"N/A",OFFSET(AZ$55,'Intermediate Data'!$CD125,0))))</f>
        <v/>
      </c>
      <c r="CK125" s="90" t="str">
        <f ca="1">IF($CD125="","",IF(OFFSET(BA$55,'Intermediate Data'!$CD125,0)=-98,"Unknown",IF(OFFSET(BA$55,'Intermediate Data'!$CD125,0)=-99,"N/A",OFFSET(BA$55,'Intermediate Data'!$CD125,0))))</f>
        <v/>
      </c>
      <c r="CL125" s="90" t="str">
        <f ca="1">IF($CD125="","",IF(OFFSET(BB$55,'Intermediate Data'!$CD125,$AX$50)=-98,"Unknown",IF(OFFSET(BB$55,'Intermediate Data'!$CD125,$AX$50)="N/A","",OFFSET(BB$55,'Intermediate Data'!$CD125,$AX$50))))</f>
        <v/>
      </c>
      <c r="CM125" s="90" t="str">
        <f ca="1">IF($CD125="","",IF(OFFSET(BG$55,'Intermediate Data'!$CD125,0)="ET","ET",""))</f>
        <v/>
      </c>
      <c r="CN125" s="90" t="str">
        <f ca="1">IF($CD125="","",IF(OFFSET(BH$55,'Intermediate Data'!$CD125,$AX$50)=-98,"Unknown",IF(OFFSET(BH$55,'Intermediate Data'!$CD125,$AX$50)="N/A","",OFFSET(BH$55,'Intermediate Data'!$CD125,$AX$50))))</f>
        <v/>
      </c>
      <c r="CO125" s="90" t="str">
        <f ca="1">IF($CD125="","",IF(OFFSET(BM$55,'Intermediate Data'!$CD125,0)=-98,"Not published",IF(OFFSET(BM$55,'Intermediate Data'!$CD125,0)=-99,"No spec",OFFSET(BM$55,'Intermediate Data'!$CD125,0))))</f>
        <v/>
      </c>
      <c r="CP125" s="114" t="str">
        <f ca="1">IF($CD125="","",IF(OFFSET(BN$55,'Intermediate Data'!$CD125,0)=-98,"Unknown",IF(OFFSET(BN$55,'Intermediate Data'!$CD125,0)=-99,"N/A",OFFSET(BN$55,'Intermediate Data'!$CD125,0))))</f>
        <v/>
      </c>
      <c r="CQ125" s="114" t="str">
        <f ca="1">IF($CD125="","",IF(OFFSET(BO$55,'Intermediate Data'!$CD125,0)=-98,"Unknown",IF(OFFSET(BO$55,'Intermediate Data'!$CD125,0)=-99,"N/A",OFFSET(BO$55,'Intermediate Data'!$CD125,0))))</f>
        <v/>
      </c>
      <c r="CR125" s="114" t="str">
        <f ca="1">IF($CD125="","",IF(OFFSET(BP$55,'Intermediate Data'!$CD125,0)=-98,"Unknown",IF(OFFSET(BP$55,'Intermediate Data'!$CD125,0)=-99,"N/A",OFFSET(BP$55,'Intermediate Data'!$CD125,0))))</f>
        <v/>
      </c>
      <c r="CS125" s="114" t="str">
        <f ca="1">IF($CD125="","",IF(OFFSET(BQ$55,'Intermediate Data'!$CD125,0)=-98,"Unknown",IF(OFFSET(BQ$55,'Intermediate Data'!$CD125,0)=-99,"N/A",OFFSET(BQ$55,'Intermediate Data'!$CD125,0))))</f>
        <v/>
      </c>
      <c r="CT125" s="114" t="str">
        <f ca="1">IF($CD125="","",IF(OFFSET(BR$55,'Intermediate Data'!$CD125,0)=-98,"Unknown",IF(OFFSET(BR$55,'Intermediate Data'!$CD125,0)=-99,"N/A",OFFSET(BR$55,'Intermediate Data'!$CD125,0))))</f>
        <v/>
      </c>
      <c r="CU125" s="114" t="str">
        <f ca="1">IF($CD125="","",IF(OFFSET(BS$55,'Intermediate Data'!$CD125,0)=-98,"Unknown",IF(OFFSET(BS$55,'Intermediate Data'!$CD125,0)=-99,"N/A",OFFSET(BS$55,'Intermediate Data'!$CD125,0))))</f>
        <v/>
      </c>
      <c r="CV125" s="114" t="str">
        <f ca="1">IF($CD125="","",IF(OFFSET(BT$55,'Intermediate Data'!$CD125,0)=-98,"Unknown",IF(OFFSET(BT$55,'Intermediate Data'!$CD125,0)=-99,"N/A",OFFSET(BT$55,'Intermediate Data'!$CD125,0))))</f>
        <v/>
      </c>
      <c r="CW125" s="114" t="str">
        <f ca="1">IF($CD125="","",IF(OFFSET(BU$55,'Intermediate Data'!$CD125,0)=-98,"Unknown",IF(OFFSET(BU$55,'Intermediate Data'!$CD125,0)=-99,"N/A",OFFSET(BU$55,'Intermediate Data'!$CD125,0))))</f>
        <v/>
      </c>
      <c r="CX125" s="114" t="str">
        <f ca="1">IF($CD125="","",IF(OFFSET(BV$55,'Intermediate Data'!$CD125,0)=-98,"Unknown",IF(OFFSET(BV$55,'Intermediate Data'!$CD125,0)=-99,"N/A",OFFSET(BV$55,'Intermediate Data'!$CD125,0))))</f>
        <v/>
      </c>
      <c r="CY125" s="682" t="str">
        <f ca="1">IF($CD125="","",IF(OFFSET(BW$55,'Intermediate Data'!$CD125,0)=-98,"Unknown",IF(OFFSET(BW$55,'Intermediate Data'!$CD125,0)="N/A","",OFFSET(BW$55,'Intermediate Data'!$CD125,0))))</f>
        <v/>
      </c>
      <c r="CZ125" s="682" t="str">
        <f ca="1">IF($CD125="","",IF(OFFSET(BX$55,'Intermediate Data'!$CD125,0)=-98,"Unknown",IF(OFFSET(BX$55,'Intermediate Data'!$CD125,0)="N/A","",OFFSET(BX$55,'Intermediate Data'!$CD125,0))))</f>
        <v/>
      </c>
      <c r="DA125" s="682" t="str">
        <f ca="1">IF($CD125="","",IF(OFFSET(BY$55,'Intermediate Data'!$CD125,0)=-98,"Unknown",IF(OFFSET(BY$55,'Intermediate Data'!$CD125,0)="N/A","",OFFSET(BY$55,'Intermediate Data'!$CD125,0))))</f>
        <v/>
      </c>
      <c r="DB125" s="682" t="str">
        <f ca="1">IF($CD125="","",IF(OFFSET(BZ$55,'Intermediate Data'!$CD125,0)=-98,"Unknown",IF(OFFSET(BZ$55,'Intermediate Data'!$CD125,0)="N/A","",OFFSET(BZ$55,'Intermediate Data'!$CD125,0))))</f>
        <v/>
      </c>
    </row>
    <row r="126" spans="1:106" x14ac:dyDescent="0.2">
      <c r="A126" s="90">
        <f ca="1">IF(OFFSET(DATA!F75,0,$D$48)='Intermediate Data'!$E$48,IF(OR($E$49=$C$27,$E$48=$B$4),DATA!A75,IF($G$49=DATA!D75,DATA!A75,"")),"")</f>
        <v>71</v>
      </c>
      <c r="B126" s="90">
        <f ca="1">IF($A126="","",DATA!EH75)</f>
        <v>108</v>
      </c>
      <c r="C126" s="90" t="str">
        <f ca="1">IF($A126="","",DATA!B75)</f>
        <v>Dehumidifier</v>
      </c>
      <c r="D126" s="90">
        <f ca="1">IF($A126="","",OFFSET(DATA!$H75,0,($D$50*5)))</f>
        <v>-99</v>
      </c>
      <c r="E126" s="90">
        <f ca="1">IF($A126="","",OFFSET(DATA!$H75,0,($D$50*5)+1))</f>
        <v>1.0073942579849681E-2</v>
      </c>
      <c r="F126" s="90">
        <f ca="1">IF($A126="","",OFFSET(DATA!$H75,0,($D$50*5)+2))</f>
        <v>-99</v>
      </c>
      <c r="G126" s="90">
        <f ca="1">IF($A126="","",OFFSET(DATA!$H75,0,($D$50*5)+3))</f>
        <v>-99</v>
      </c>
      <c r="H126" s="90">
        <f ca="1">IF($A126="","",OFFSET(DATA!$H75,0,($D$50*5)+4))</f>
        <v>-99</v>
      </c>
      <c r="I126" s="90">
        <f t="shared" ca="1" si="17"/>
        <v>1.0073942579849681E-2</v>
      </c>
      <c r="J126" s="90" t="str">
        <f t="shared" ca="1" si="18"/>
        <v>RASS</v>
      </c>
      <c r="K126" s="90">
        <f ca="1">IF($A126="","",OFFSET(DATA!$AG75,0,($D$50*5)))</f>
        <v>-99</v>
      </c>
      <c r="L126" s="90">
        <f ca="1">IF($A126="","",OFFSET(DATA!$AG75,0,($D$50*5)+1))</f>
        <v>1.0681076803695913E-2</v>
      </c>
      <c r="M126" s="90">
        <f ca="1">IF($A126="","",OFFSET(DATA!$AG75,0,($D$50*5)+2))</f>
        <v>-99</v>
      </c>
      <c r="N126" s="90">
        <f ca="1">IF($A126="","",OFFSET(DATA!$AG75,0,($D$50*5)+3))</f>
        <v>-99</v>
      </c>
      <c r="O126" s="90">
        <f ca="1">IF($A126="","",OFFSET(DATA!$AG75,0,($D$50*5)+4))</f>
        <v>-99</v>
      </c>
      <c r="P126" s="90">
        <f t="shared" ca="1" si="19"/>
        <v>1.0681076803695913E-2</v>
      </c>
      <c r="Q126" s="90" t="str">
        <f t="shared" ca="1" si="20"/>
        <v>RASS</v>
      </c>
      <c r="R126" s="699">
        <f ca="1">IF($A126="","",IF(DATA!BF75="",-99,DATA!BF75))</f>
        <v>-99</v>
      </c>
      <c r="S126" s="90">
        <f ca="1">IF($A126="","",IF(DATA!BG75="",-99,DATA!BF75-DATA!BG75))</f>
        <v>-99</v>
      </c>
      <c r="T126" s="90">
        <f ca="1">IF($A126="","",DATA!BH75)</f>
        <v>0.99</v>
      </c>
      <c r="U126" s="90">
        <f ca="1">IF($A126="","",OFFSET(DATA!BM75,0,$D$48))</f>
        <v>140</v>
      </c>
      <c r="V126" s="90">
        <f t="shared" ca="1" si="16"/>
        <v>108</v>
      </c>
      <c r="W126" s="99">
        <f t="shared" ca="1" si="21"/>
        <v>107.9999448033429</v>
      </c>
      <c r="X126" s="112">
        <f t="shared" ca="1" si="22"/>
        <v>60.999942285745021</v>
      </c>
      <c r="Y126" s="90">
        <f t="shared" ca="1" si="23"/>
        <v>10</v>
      </c>
      <c r="AA126" s="90" t="str">
        <f ca="1">IF($Y126="","",IF(OFFSET(C$55,'Intermediate Data'!$Y126,0)=-98,"Unknown",IF(OFFSET(C$55,'Intermediate Data'!$Y126,0)=-99,"N/A",OFFSET(C$55,'Intermediate Data'!$Y126,0))))</f>
        <v>Notebook (portable computer)</v>
      </c>
      <c r="AB126" s="90" t="str">
        <f ca="1">IF($Y126="","",IF(OFFSET(D$55,'Intermediate Data'!$Y126,0)=-98,"N/A",IF(OFFSET(D$55,'Intermediate Data'!$Y126,0)=-99,"N/A",OFFSET(D$55,'Intermediate Data'!$Y126,0))))</f>
        <v>N/A</v>
      </c>
      <c r="AC126" s="90" t="str">
        <f ca="1">IF($Y126="","",IF(OFFSET(E$55,'Intermediate Data'!$Y126,0)=-98,"N/A",IF(OFFSET(E$55,'Intermediate Data'!$Y126,0)=-99,"N/A",OFFSET(E$55,'Intermediate Data'!$Y126,0))))</f>
        <v>N/A</v>
      </c>
      <c r="AD126" s="90" t="str">
        <f ca="1">IF($Y126="","",IF(OFFSET(F$55,'Intermediate Data'!$Y126,0)=-98,"N/A",IF(OFFSET(F$55,'Intermediate Data'!$Y126,0)=-99,"N/A",OFFSET(F$55,'Intermediate Data'!$Y126,0))))</f>
        <v>N/A</v>
      </c>
      <c r="AE126" s="90">
        <f ca="1">IF($Y126="","",IF(OFFSET(G$55,'Intermediate Data'!$Y126,0)=-98,"N/A",IF(OFFSET(G$55,'Intermediate Data'!$Y126,0)=-99,"N/A",OFFSET(G$55,'Intermediate Data'!$Y126,0))))</f>
        <v>0.53859045289216145</v>
      </c>
      <c r="AF126" s="90">
        <f ca="1">IF($Y126="","",IF(OFFSET(H$55,'Intermediate Data'!$Y126,0)=-98,"N/A",IF(OFFSET(H$55,'Intermediate Data'!$Y126,0)=-99,"N/A",OFFSET(H$55,'Intermediate Data'!$Y126,0))))</f>
        <v>0.40990600000000005</v>
      </c>
      <c r="AG126" s="90">
        <f ca="1">IF($Y126="","",IF(OFFSET(I$55,'Intermediate Data'!$Y126,0)=-98,"N/A",IF(OFFSET(I$55,'Intermediate Data'!$Y126,0)=-99,"N/A",OFFSET(I$55,'Intermediate Data'!$Y126,0))))</f>
        <v>0.40990600000000005</v>
      </c>
      <c r="AH126" s="90" t="str">
        <f ca="1">IF($Y126="","",IF(OFFSET(J$55,'Intermediate Data'!$Y126,0)=-98,"N/A",IF(OFFSET(J$55,'Intermediate Data'!$Y126,0)=-99,"N/A",OFFSET(J$55,'Intermediate Data'!$Y126,0))))</f>
        <v>CLASS</v>
      </c>
      <c r="AI126" s="90" t="str">
        <f ca="1">IF($Y126="","",IF(OFFSET(K$55,'Intermediate Data'!$Y126,0)=-98,"N/A",IF(OFFSET(K$55,'Intermediate Data'!$Y126,0)=-99,"N/A",OFFSET(K$55,'Intermediate Data'!$Y126,0))))</f>
        <v>N/A</v>
      </c>
      <c r="AJ126" s="90" t="str">
        <f ca="1">IF($Y126="","",IF(OFFSET(L$55,'Intermediate Data'!$Y126,0)=-98,"N/A",IF(OFFSET(L$55,'Intermediate Data'!$Y126,0)=-99,"N/A",OFFSET(L$55,'Intermediate Data'!$Y126,0))))</f>
        <v>N/A</v>
      </c>
      <c r="AK126" s="90" t="str">
        <f ca="1">IF($Y126="","",IF(OFFSET(M$55,'Intermediate Data'!$Y126,0)=-98,"N/A",IF(OFFSET(M$55,'Intermediate Data'!$Y126,0)=-99,"N/A",OFFSET(M$55,'Intermediate Data'!$Y126,0))))</f>
        <v>N/A</v>
      </c>
      <c r="AL126" s="90">
        <f ca="1">IF($Y126="","",IF(OFFSET(N$55,'Intermediate Data'!$Y126,0)=-98,"N/A",IF(OFFSET(N$55,'Intermediate Data'!$Y126,0)=-99,"N/A",OFFSET(N$55,'Intermediate Data'!$Y126,0))))</f>
        <v>0.75254778096811481</v>
      </c>
      <c r="AM126" s="90" t="str">
        <f ca="1">IF($Y126="","",IF(OFFSET(O$55,'Intermediate Data'!$Y126,0)=-98,"N/A",IF(OFFSET(O$55,'Intermediate Data'!$Y126,0)=-99,"N/A",OFFSET(O$55,'Intermediate Data'!$Y126,0))))</f>
        <v>N/A</v>
      </c>
      <c r="AN126" s="90">
        <f ca="1">IF($Y126="","",IF(OFFSET(P$55,'Intermediate Data'!$Y126,0)=-98,"N/A",IF(OFFSET(P$55,'Intermediate Data'!$Y126,0)=-99,"N/A",OFFSET(P$55,'Intermediate Data'!$Y126,0))))</f>
        <v>0.75254778096811481</v>
      </c>
      <c r="AO126" s="90" t="str">
        <f ca="1">IF($Y126="","",IF(OFFSET(Q$55,'Intermediate Data'!$Y126,0)=-98,"N/A",IF(OFFSET(Q$55,'Intermediate Data'!$Y126,0)=-99,"N/A",OFFSET(Q$55,'Intermediate Data'!$Y126,0))))</f>
        <v>RASS</v>
      </c>
      <c r="AP126" s="697" t="str">
        <f ca="1">IF($Y126="","",IF(OFFSET(S$55,'Intermediate Data'!$Y126,0)=-98,"",IF(OFFSET(S$55,'Intermediate Data'!$Y126,0)=-99,"",OFFSET(S$55,'Intermediate Data'!$Y126,0))))</f>
        <v/>
      </c>
      <c r="AQ126" s="90">
        <f ca="1">IF($Y126="","",IF(OFFSET(T$55,'Intermediate Data'!$Y126,0)=-98,"Not published",IF(OFFSET(T$55,'Intermediate Data'!$Y126,0)=-99,"",OFFSET(T$55,'Intermediate Data'!$Y126,0))))</f>
        <v>0.74</v>
      </c>
      <c r="AR126" s="90">
        <f ca="1">IF($Y126="","",IF(OFFSET(U$55,'Intermediate Data'!$Y126,0)=-98,"Unknown",IF(OFFSET(U$55,'Intermediate Data'!$Y126,0)=-99,"",OFFSET(U$55,'Intermediate Data'!$Y126,0))))</f>
        <v>12</v>
      </c>
      <c r="AU126" s="112" t="str">
        <f ca="1">IF(AND(OFFSET(DATA!$F75,0,$AX$48)='Intermediate Data'!$AY$48,DATA!$E75="Tier 1"),IF(OR($AX$49=0,$AX$48=1),DATA!A75,IF(AND($AX$49=1,INDEX('Intermediate Data'!$AY$25:$AY$44,MATCH(DATA!$B75,'Intermediate Data'!$AX$25:$AX$44,0))=TRUE),DATA!A75,"")),"")</f>
        <v/>
      </c>
      <c r="AV126" s="112" t="str">
        <f ca="1">IF($AU126="","",DATA!B75)</f>
        <v/>
      </c>
      <c r="AW126" s="112" t="str">
        <f ca="1">IF(OR($AU126="",DATA!BI75=""),"",DATA!BI75)</f>
        <v/>
      </c>
      <c r="AX126" s="112" t="str">
        <f ca="1">IF(OR($AU126="",OFFSET(DATA!BK75,0,$AX$48)=""),"",OFFSET(DATA!BK75,0,$AX$48))</f>
        <v/>
      </c>
      <c r="AY126" s="112" t="str">
        <f ca="1">IF(OR($AU126="",OFFSET(DATA!BM75,0,$AX$48)=""),"",OFFSET(DATA!BM75,0,$AX$48))</f>
        <v/>
      </c>
      <c r="AZ126" s="112" t="str">
        <f ca="1">IF(OR($AU126="",OFFSET(DATA!BO75,0,'Intermediate Data'!$AX$48)=""),"",OFFSET(DATA!BO75,0,$AX$48))</f>
        <v/>
      </c>
      <c r="BA126" s="112" t="str">
        <f ca="1">IF(OR($AU126="",DATA!BQ75=""),"",DATA!BQ75)</f>
        <v/>
      </c>
      <c r="BB126" s="112" t="str">
        <f ca="1">IF($AU126="","",OFFSET(DATA!BS75,0,$AX$48))</f>
        <v/>
      </c>
      <c r="BC126" s="112" t="str">
        <f ca="1">IF($AU126="","",OFFSET(DATA!BU75,0,$AX$48))</f>
        <v/>
      </c>
      <c r="BD126" s="112" t="str">
        <f ca="1">IF($AU126="","",OFFSET(DATA!BW75,0,$AX$48))</f>
        <v/>
      </c>
      <c r="BE126" s="112" t="str">
        <f ca="1">IF($AU126="","",OFFSET(DATA!BY75,0,$AX$48))</f>
        <v/>
      </c>
      <c r="BF126" s="112" t="str">
        <f ca="1">IF($AU126="","",OFFSET(DATA!CA75,0,$AX$48))</f>
        <v/>
      </c>
      <c r="BG126" s="112" t="str">
        <f ca="1">IF($AU126="","",DATA!CC75)</f>
        <v/>
      </c>
      <c r="BH126" s="112" t="str">
        <f ca="1">IF($AU126="","",OFFSET(DATA!CE75,0,$AX$48))</f>
        <v/>
      </c>
      <c r="BI126" s="112" t="str">
        <f ca="1">IF($AU126="","",OFFSET(DATA!CG75,0,$AX$48))</f>
        <v/>
      </c>
      <c r="BJ126" s="112" t="str">
        <f ca="1">IF($AU126="","",OFFSET(DATA!CI75,0,$AX$48))</f>
        <v/>
      </c>
      <c r="BK126" s="112" t="str">
        <f ca="1">IF($AU126="","",OFFSET(DATA!CK75,0,$AX$48))</f>
        <v/>
      </c>
      <c r="BL126" s="112" t="str">
        <f ca="1">IF($AU126="","",OFFSET(DATA!CM75,0,$AX$48))</f>
        <v/>
      </c>
      <c r="BM126" s="112" t="str">
        <f ca="1">IF($AU126="","",DATA!BH75)</f>
        <v/>
      </c>
      <c r="BN126" s="112" t="str">
        <f ca="1">IF($AU126="","",DATA!DS75)</f>
        <v/>
      </c>
      <c r="BO126" s="112" t="str">
        <f ca="1">IF($AU126="","",DATA!DU75)</f>
        <v/>
      </c>
      <c r="BP126" s="112" t="str">
        <f ca="1">IF($AU126="","",DATA!DV75)</f>
        <v/>
      </c>
      <c r="BQ126" s="112" t="str">
        <f ca="1">IF($AU126="","",DATA!DX75)</f>
        <v/>
      </c>
      <c r="BR126" s="112" t="str">
        <f ca="1">IF($AU126="","",DATA!DZ75)</f>
        <v/>
      </c>
      <c r="BS126" s="171" t="str">
        <f ca="1">IF($AU126="","",DATA!EA75)</f>
        <v/>
      </c>
      <c r="BT126" s="171" t="str">
        <f ca="1">IF($AU126="","",DATA!EC75)</f>
        <v/>
      </c>
      <c r="BU126" s="171" t="str">
        <f ca="1">IF($AU126="","",DATA!EF75)</f>
        <v/>
      </c>
      <c r="BV126" s="113" t="str">
        <f t="shared" ca="1" si="24"/>
        <v/>
      </c>
      <c r="BW126" s="680" t="str">
        <f ca="1">IF(AU126="","",OFFSET(DATA!DC75,0,'Intermediate Data'!$AX$48))</f>
        <v/>
      </c>
      <c r="BX126" s="681" t="str">
        <f ca="1">IF($AU126="","",DATA!DG75)</f>
        <v/>
      </c>
      <c r="BY126" s="680" t="str">
        <f ca="1">IF($AU126="","",OFFSET(DATA!DE75,0,'Intermediate Data'!$AX$48))</f>
        <v/>
      </c>
      <c r="BZ126" s="681" t="str">
        <f ca="1">IF($AU126="","",DATA!DH75)</f>
        <v/>
      </c>
      <c r="CA126" s="90" t="str">
        <f t="shared" ca="1" si="25"/>
        <v/>
      </c>
      <c r="CB126" s="99" t="str">
        <f t="shared" ca="1" si="26"/>
        <v/>
      </c>
      <c r="CC126" s="90" t="str">
        <f t="shared" ca="1" si="27"/>
        <v/>
      </c>
      <c r="CD126" s="90" t="str">
        <f t="shared" ca="1" si="28"/>
        <v/>
      </c>
      <c r="CF126" s="90" t="str">
        <f ca="1">IF($CD126="","",IF(OFFSET(AV$55,'Intermediate Data'!$CD126,0)=-98,"Unknown",IF(OFFSET(AV$55,'Intermediate Data'!$CD126,0)=-99,"N/A",OFFSET(AV$55,'Intermediate Data'!$CD126,0))))</f>
        <v/>
      </c>
      <c r="CG126" s="90" t="str">
        <f ca="1">IF($CD126="","",IF(OFFSET(AW$55,'Intermediate Data'!$CD126,0)=-98,"",IF(OFFSET(AW$55,'Intermediate Data'!$CD126,0)=-99,"N/A",OFFSET(AW$55,'Intermediate Data'!$CD126,0))))</f>
        <v/>
      </c>
      <c r="CH126" s="90" t="str">
        <f ca="1">IF($CD126="","",IF(OFFSET(AX$55,'Intermediate Data'!$CD126,0)=-98,"Unknown",IF(OFFSET(AX$55,'Intermediate Data'!$CD126,0)=-99,"N/A",OFFSET(AX$55,'Intermediate Data'!$CD126,0))))</f>
        <v/>
      </c>
      <c r="CI126" s="125" t="str">
        <f ca="1">IF($CD126="","",IF(OFFSET(AY$55,'Intermediate Data'!$CD126,0)=-98,"Unknown",IF(OFFSET(AY$55,'Intermediate Data'!$CD126,0)=-99,"No spec",OFFSET(AY$55,'Intermediate Data'!$CD126,0))))</f>
        <v/>
      </c>
      <c r="CJ126" s="125" t="str">
        <f ca="1">IF($CD126="","",IF(OFFSET(AZ$55,'Intermediate Data'!$CD126,0)=-98,"Unknown",IF(OFFSET(AZ$55,'Intermediate Data'!$CD126,0)=-99,"N/A",OFFSET(AZ$55,'Intermediate Data'!$CD126,0))))</f>
        <v/>
      </c>
      <c r="CK126" s="90" t="str">
        <f ca="1">IF($CD126="","",IF(OFFSET(BA$55,'Intermediate Data'!$CD126,0)=-98,"Unknown",IF(OFFSET(BA$55,'Intermediate Data'!$CD126,0)=-99,"N/A",OFFSET(BA$55,'Intermediate Data'!$CD126,0))))</f>
        <v/>
      </c>
      <c r="CL126" s="90" t="str">
        <f ca="1">IF($CD126="","",IF(OFFSET(BB$55,'Intermediate Data'!$CD126,$AX$50)=-98,"Unknown",IF(OFFSET(BB$55,'Intermediate Data'!$CD126,$AX$50)="N/A","",OFFSET(BB$55,'Intermediate Data'!$CD126,$AX$50))))</f>
        <v/>
      </c>
      <c r="CM126" s="90" t="str">
        <f ca="1">IF($CD126="","",IF(OFFSET(BG$55,'Intermediate Data'!$CD126,0)="ET","ET",""))</f>
        <v/>
      </c>
      <c r="CN126" s="90" t="str">
        <f ca="1">IF($CD126="","",IF(OFFSET(BH$55,'Intermediate Data'!$CD126,$AX$50)=-98,"Unknown",IF(OFFSET(BH$55,'Intermediate Data'!$CD126,$AX$50)="N/A","",OFFSET(BH$55,'Intermediate Data'!$CD126,$AX$50))))</f>
        <v/>
      </c>
      <c r="CO126" s="90" t="str">
        <f ca="1">IF($CD126="","",IF(OFFSET(BM$55,'Intermediate Data'!$CD126,0)=-98,"Not published",IF(OFFSET(BM$55,'Intermediate Data'!$CD126,0)=-99,"No spec",OFFSET(BM$55,'Intermediate Data'!$CD126,0))))</f>
        <v/>
      </c>
      <c r="CP126" s="114" t="str">
        <f ca="1">IF($CD126="","",IF(OFFSET(BN$55,'Intermediate Data'!$CD126,0)=-98,"Unknown",IF(OFFSET(BN$55,'Intermediate Data'!$CD126,0)=-99,"N/A",OFFSET(BN$55,'Intermediate Data'!$CD126,0))))</f>
        <v/>
      </c>
      <c r="CQ126" s="114" t="str">
        <f ca="1">IF($CD126="","",IF(OFFSET(BO$55,'Intermediate Data'!$CD126,0)=-98,"Unknown",IF(OFFSET(BO$55,'Intermediate Data'!$CD126,0)=-99,"N/A",OFFSET(BO$55,'Intermediate Data'!$CD126,0))))</f>
        <v/>
      </c>
      <c r="CR126" s="114" t="str">
        <f ca="1">IF($CD126="","",IF(OFFSET(BP$55,'Intermediate Data'!$CD126,0)=-98,"Unknown",IF(OFFSET(BP$55,'Intermediate Data'!$CD126,0)=-99,"N/A",OFFSET(BP$55,'Intermediate Data'!$CD126,0))))</f>
        <v/>
      </c>
      <c r="CS126" s="114" t="str">
        <f ca="1">IF($CD126="","",IF(OFFSET(BQ$55,'Intermediate Data'!$CD126,0)=-98,"Unknown",IF(OFFSET(BQ$55,'Intermediate Data'!$CD126,0)=-99,"N/A",OFFSET(BQ$55,'Intermediate Data'!$CD126,0))))</f>
        <v/>
      </c>
      <c r="CT126" s="114" t="str">
        <f ca="1">IF($CD126="","",IF(OFFSET(BR$55,'Intermediate Data'!$CD126,0)=-98,"Unknown",IF(OFFSET(BR$55,'Intermediate Data'!$CD126,0)=-99,"N/A",OFFSET(BR$55,'Intermediate Data'!$CD126,0))))</f>
        <v/>
      </c>
      <c r="CU126" s="114" t="str">
        <f ca="1">IF($CD126="","",IF(OFFSET(BS$55,'Intermediate Data'!$CD126,0)=-98,"Unknown",IF(OFFSET(BS$55,'Intermediate Data'!$CD126,0)=-99,"N/A",OFFSET(BS$55,'Intermediate Data'!$CD126,0))))</f>
        <v/>
      </c>
      <c r="CV126" s="114" t="str">
        <f ca="1">IF($CD126="","",IF(OFFSET(BT$55,'Intermediate Data'!$CD126,0)=-98,"Unknown",IF(OFFSET(BT$55,'Intermediate Data'!$CD126,0)=-99,"N/A",OFFSET(BT$55,'Intermediate Data'!$CD126,0))))</f>
        <v/>
      </c>
      <c r="CW126" s="114" t="str">
        <f ca="1">IF($CD126="","",IF(OFFSET(BU$55,'Intermediate Data'!$CD126,0)=-98,"Unknown",IF(OFFSET(BU$55,'Intermediate Data'!$CD126,0)=-99,"N/A",OFFSET(BU$55,'Intermediate Data'!$CD126,0))))</f>
        <v/>
      </c>
      <c r="CX126" s="114" t="str">
        <f ca="1">IF($CD126="","",IF(OFFSET(BV$55,'Intermediate Data'!$CD126,0)=-98,"Unknown",IF(OFFSET(BV$55,'Intermediate Data'!$CD126,0)=-99,"N/A",OFFSET(BV$55,'Intermediate Data'!$CD126,0))))</f>
        <v/>
      </c>
      <c r="CY126" s="682" t="str">
        <f ca="1">IF($CD126="","",IF(OFFSET(BW$55,'Intermediate Data'!$CD126,0)=-98,"Unknown",IF(OFFSET(BW$55,'Intermediate Data'!$CD126,0)="N/A","",OFFSET(BW$55,'Intermediate Data'!$CD126,0))))</f>
        <v/>
      </c>
      <c r="CZ126" s="682" t="str">
        <f ca="1">IF($CD126="","",IF(OFFSET(BX$55,'Intermediate Data'!$CD126,0)=-98,"Unknown",IF(OFFSET(BX$55,'Intermediate Data'!$CD126,0)="N/A","",OFFSET(BX$55,'Intermediate Data'!$CD126,0))))</f>
        <v/>
      </c>
      <c r="DA126" s="682" t="str">
        <f ca="1">IF($CD126="","",IF(OFFSET(BY$55,'Intermediate Data'!$CD126,0)=-98,"Unknown",IF(OFFSET(BY$55,'Intermediate Data'!$CD126,0)="N/A","",OFFSET(BY$55,'Intermediate Data'!$CD126,0))))</f>
        <v/>
      </c>
      <c r="DB126" s="682" t="str">
        <f ca="1">IF($CD126="","",IF(OFFSET(BZ$55,'Intermediate Data'!$CD126,0)=-98,"Unknown",IF(OFFSET(BZ$55,'Intermediate Data'!$CD126,0)="N/A","",OFFSET(BZ$55,'Intermediate Data'!$CD126,0))))</f>
        <v/>
      </c>
    </row>
    <row r="127" spans="1:106" x14ac:dyDescent="0.2">
      <c r="A127" s="90" t="str">
        <f ca="1">IF(OFFSET(DATA!F76,0,$D$48)='Intermediate Data'!$E$48,IF(OR($E$49=$C$27,$E$48=$B$4),DATA!A76,IF($G$49=DATA!D76,DATA!A76,"")),"")</f>
        <v/>
      </c>
      <c r="B127" s="90" t="str">
        <f ca="1">IF($A127="","",DATA!EH76)</f>
        <v/>
      </c>
      <c r="C127" s="90" t="str">
        <f ca="1">IF($A127="","",DATA!B76)</f>
        <v/>
      </c>
      <c r="D127" s="90" t="str">
        <f ca="1">IF($A127="","",OFFSET(DATA!$H76,0,($D$50*5)))</f>
        <v/>
      </c>
      <c r="E127" s="90" t="str">
        <f ca="1">IF($A127="","",OFFSET(DATA!$H76,0,($D$50*5)+1))</f>
        <v/>
      </c>
      <c r="F127" s="90" t="str">
        <f ca="1">IF($A127="","",OFFSET(DATA!$H76,0,($D$50*5)+2))</f>
        <v/>
      </c>
      <c r="G127" s="90" t="str">
        <f ca="1">IF($A127="","",OFFSET(DATA!$H76,0,($D$50*5)+3))</f>
        <v/>
      </c>
      <c r="H127" s="90" t="str">
        <f ca="1">IF($A127="","",OFFSET(DATA!$H76,0,($D$50*5)+4))</f>
        <v/>
      </c>
      <c r="I127" s="90" t="str">
        <f t="shared" ca="1" si="17"/>
        <v/>
      </c>
      <c r="J127" s="90" t="str">
        <f t="shared" ca="1" si="18"/>
        <v/>
      </c>
      <c r="K127" s="90" t="str">
        <f ca="1">IF($A127="","",OFFSET(DATA!$AG76,0,($D$50*5)))</f>
        <v/>
      </c>
      <c r="L127" s="90" t="str">
        <f ca="1">IF($A127="","",OFFSET(DATA!$AG76,0,($D$50*5)+1))</f>
        <v/>
      </c>
      <c r="M127" s="90" t="str">
        <f ca="1">IF($A127="","",OFFSET(DATA!$AG76,0,($D$50*5)+2))</f>
        <v/>
      </c>
      <c r="N127" s="90" t="str">
        <f ca="1">IF($A127="","",OFFSET(DATA!$AG76,0,($D$50*5)+3))</f>
        <v/>
      </c>
      <c r="O127" s="90" t="str">
        <f ca="1">IF($A127="","",OFFSET(DATA!$AG76,0,($D$50*5)+4))</f>
        <v/>
      </c>
      <c r="P127" s="90" t="str">
        <f t="shared" ca="1" si="19"/>
        <v/>
      </c>
      <c r="Q127" s="90" t="str">
        <f t="shared" ca="1" si="20"/>
        <v/>
      </c>
      <c r="R127" s="699" t="str">
        <f ca="1">IF($A127="","",IF(DATA!BF76="",-99,DATA!BF76))</f>
        <v/>
      </c>
      <c r="S127" s="90" t="str">
        <f ca="1">IF($A127="","",IF(DATA!BG76="",-99,DATA!BF76-DATA!BG76))</f>
        <v/>
      </c>
      <c r="T127" s="90" t="str">
        <f ca="1">IF($A127="","",DATA!BH76)</f>
        <v/>
      </c>
      <c r="U127" s="90" t="str">
        <f ca="1">IF($A127="","",OFFSET(DATA!BM76,0,$D$48))</f>
        <v/>
      </c>
      <c r="V127" s="90" t="str">
        <f t="shared" ca="1" si="16"/>
        <v/>
      </c>
      <c r="W127" s="99" t="str">
        <f t="shared" ca="1" si="21"/>
        <v/>
      </c>
      <c r="X127" s="112">
        <f t="shared" ca="1" si="22"/>
        <v>59.99988120103</v>
      </c>
      <c r="Y127" s="90">
        <f t="shared" ca="1" si="23"/>
        <v>48</v>
      </c>
      <c r="AA127" s="90" t="str">
        <f ca="1">IF($Y127="","",IF(OFFSET(C$55,'Intermediate Data'!$Y127,0)=-98,"Unknown",IF(OFFSET(C$55,'Intermediate Data'!$Y127,0)=-99,"N/A",OFFSET(C$55,'Intermediate Data'!$Y127,0))))</f>
        <v>Occupancy sensor</v>
      </c>
      <c r="AB127" s="90" t="str">
        <f ca="1">IF($Y127="","",IF(OFFSET(D$55,'Intermediate Data'!$Y127,0)=-98,"N/A",IF(OFFSET(D$55,'Intermediate Data'!$Y127,0)=-99,"N/A",OFFSET(D$55,'Intermediate Data'!$Y127,0))))</f>
        <v>N/A</v>
      </c>
      <c r="AC127" s="90" t="str">
        <f ca="1">IF($Y127="","",IF(OFFSET(E$55,'Intermediate Data'!$Y127,0)=-98,"N/A",IF(OFFSET(E$55,'Intermediate Data'!$Y127,0)=-99,"N/A",OFFSET(E$55,'Intermediate Data'!$Y127,0))))</f>
        <v>N/A</v>
      </c>
      <c r="AD127" s="90" t="str">
        <f ca="1">IF($Y127="","",IF(OFFSET(F$55,'Intermediate Data'!$Y127,0)=-98,"N/A",IF(OFFSET(F$55,'Intermediate Data'!$Y127,0)=-99,"N/A",OFFSET(F$55,'Intermediate Data'!$Y127,0))))</f>
        <v>N/A</v>
      </c>
      <c r="AE127" s="90" t="str">
        <f ca="1">IF($Y127="","",IF(OFFSET(G$55,'Intermediate Data'!$Y127,0)=-98,"N/A",IF(OFFSET(G$55,'Intermediate Data'!$Y127,0)=-99,"N/A",OFFSET(G$55,'Intermediate Data'!$Y127,0))))</f>
        <v>N/A</v>
      </c>
      <c r="AF127" s="90" t="str">
        <f ca="1">IF($Y127="","",IF(OFFSET(H$55,'Intermediate Data'!$Y127,0)=-98,"N/A",IF(OFFSET(H$55,'Intermediate Data'!$Y127,0)=-99,"N/A",OFFSET(H$55,'Intermediate Data'!$Y127,0))))</f>
        <v>N/A</v>
      </c>
      <c r="AG127" s="90" t="str">
        <f ca="1">IF($Y127="","",IF(OFFSET(I$55,'Intermediate Data'!$Y127,0)=-98,"N/A",IF(OFFSET(I$55,'Intermediate Data'!$Y127,0)=-99,"N/A",OFFSET(I$55,'Intermediate Data'!$Y127,0))))</f>
        <v>N/A</v>
      </c>
      <c r="AH127" s="90" t="str">
        <f ca="1">IF($Y127="","",IF(OFFSET(J$55,'Intermediate Data'!$Y127,0)=-98,"N/A",IF(OFFSET(J$55,'Intermediate Data'!$Y127,0)=-99,"N/A",OFFSET(J$55,'Intermediate Data'!$Y127,0))))</f>
        <v/>
      </c>
      <c r="AI127" s="90" t="str">
        <f ca="1">IF($Y127="","",IF(OFFSET(K$55,'Intermediate Data'!$Y127,0)=-98,"N/A",IF(OFFSET(K$55,'Intermediate Data'!$Y127,0)=-99,"N/A",OFFSET(K$55,'Intermediate Data'!$Y127,0))))</f>
        <v>N/A</v>
      </c>
      <c r="AJ127" s="90" t="str">
        <f ca="1">IF($Y127="","",IF(OFFSET(L$55,'Intermediate Data'!$Y127,0)=-98,"N/A",IF(OFFSET(L$55,'Intermediate Data'!$Y127,0)=-99,"N/A",OFFSET(L$55,'Intermediate Data'!$Y127,0))))</f>
        <v>N/A</v>
      </c>
      <c r="AK127" s="90" t="str">
        <f ca="1">IF($Y127="","",IF(OFFSET(M$55,'Intermediate Data'!$Y127,0)=-98,"N/A",IF(OFFSET(M$55,'Intermediate Data'!$Y127,0)=-99,"N/A",OFFSET(M$55,'Intermediate Data'!$Y127,0))))</f>
        <v>N/A</v>
      </c>
      <c r="AL127" s="90" t="str">
        <f ca="1">IF($Y127="","",IF(OFFSET(N$55,'Intermediate Data'!$Y127,0)=-98,"N/A",IF(OFFSET(N$55,'Intermediate Data'!$Y127,0)=-99,"N/A",OFFSET(N$55,'Intermediate Data'!$Y127,0))))</f>
        <v>N/A</v>
      </c>
      <c r="AM127" s="90" t="str">
        <f ca="1">IF($Y127="","",IF(OFFSET(O$55,'Intermediate Data'!$Y127,0)=-98,"N/A",IF(OFFSET(O$55,'Intermediate Data'!$Y127,0)=-99,"N/A",OFFSET(O$55,'Intermediate Data'!$Y127,0))))</f>
        <v>N/A</v>
      </c>
      <c r="AN127" s="90" t="str">
        <f ca="1">IF($Y127="","",IF(OFFSET(P$55,'Intermediate Data'!$Y127,0)=-98,"N/A",IF(OFFSET(P$55,'Intermediate Data'!$Y127,0)=-99,"N/A",OFFSET(P$55,'Intermediate Data'!$Y127,0))))</f>
        <v>N/A</v>
      </c>
      <c r="AO127" s="90" t="str">
        <f ca="1">IF($Y127="","",IF(OFFSET(Q$55,'Intermediate Data'!$Y127,0)=-98,"N/A",IF(OFFSET(Q$55,'Intermediate Data'!$Y127,0)=-99,"N/A",OFFSET(Q$55,'Intermediate Data'!$Y127,0))))</f>
        <v/>
      </c>
      <c r="AP127" s="697" t="str">
        <f ca="1">IF($Y127="","",IF(OFFSET(S$55,'Intermediate Data'!$Y127,0)=-98,"",IF(OFFSET(S$55,'Intermediate Data'!$Y127,0)=-99,"",OFFSET(S$55,'Intermediate Data'!$Y127,0))))</f>
        <v/>
      </c>
      <c r="AQ127" s="90" t="str">
        <f ca="1">IF($Y127="","",IF(OFFSET(T$55,'Intermediate Data'!$Y127,0)=-98,"Not published",IF(OFFSET(T$55,'Intermediate Data'!$Y127,0)=-99,"",OFFSET(T$55,'Intermediate Data'!$Y127,0))))</f>
        <v/>
      </c>
      <c r="AR127" s="90" t="str">
        <f ca="1">IF($Y127="","",IF(OFFSET(U$55,'Intermediate Data'!$Y127,0)=-98,"Unknown",IF(OFFSET(U$55,'Intermediate Data'!$Y127,0)=-99,"",OFFSET(U$55,'Intermediate Data'!$Y127,0))))</f>
        <v/>
      </c>
      <c r="AU127" s="112" t="str">
        <f ca="1">IF(AND(OFFSET(DATA!$F76,0,$AX$48)='Intermediate Data'!$AY$48,DATA!$E76="Tier 1"),IF(OR($AX$49=0,$AX$48=1),DATA!A76,IF(AND($AX$49=1,INDEX('Intermediate Data'!$AY$25:$AY$44,MATCH(DATA!$B76,'Intermediate Data'!$AX$25:$AX$44,0))=TRUE),DATA!A76,"")),"")</f>
        <v/>
      </c>
      <c r="AV127" s="112" t="str">
        <f ca="1">IF($AU127="","",DATA!B76)</f>
        <v/>
      </c>
      <c r="AW127" s="112" t="str">
        <f ca="1">IF(OR($AU127="",DATA!BI76=""),"",DATA!BI76)</f>
        <v/>
      </c>
      <c r="AX127" s="112" t="str">
        <f ca="1">IF(OR($AU127="",OFFSET(DATA!BK76,0,$AX$48)=""),"",OFFSET(DATA!BK76,0,$AX$48))</f>
        <v/>
      </c>
      <c r="AY127" s="112" t="str">
        <f ca="1">IF(OR($AU127="",OFFSET(DATA!BM76,0,$AX$48)=""),"",OFFSET(DATA!BM76,0,$AX$48))</f>
        <v/>
      </c>
      <c r="AZ127" s="112" t="str">
        <f ca="1">IF(OR($AU127="",OFFSET(DATA!BO76,0,'Intermediate Data'!$AX$48)=""),"",OFFSET(DATA!BO76,0,$AX$48))</f>
        <v/>
      </c>
      <c r="BA127" s="112" t="str">
        <f ca="1">IF(OR($AU127="",DATA!BQ76=""),"",DATA!BQ76)</f>
        <v/>
      </c>
      <c r="BB127" s="112" t="str">
        <f ca="1">IF($AU127="","",OFFSET(DATA!BS76,0,$AX$48))</f>
        <v/>
      </c>
      <c r="BC127" s="112" t="str">
        <f ca="1">IF($AU127="","",OFFSET(DATA!BU76,0,$AX$48))</f>
        <v/>
      </c>
      <c r="BD127" s="112" t="str">
        <f ca="1">IF($AU127="","",OFFSET(DATA!BW76,0,$AX$48))</f>
        <v/>
      </c>
      <c r="BE127" s="112" t="str">
        <f ca="1">IF($AU127="","",OFFSET(DATA!BY76,0,$AX$48))</f>
        <v/>
      </c>
      <c r="BF127" s="112" t="str">
        <f ca="1">IF($AU127="","",OFFSET(DATA!CA76,0,$AX$48))</f>
        <v/>
      </c>
      <c r="BG127" s="112" t="str">
        <f ca="1">IF($AU127="","",DATA!CC76)</f>
        <v/>
      </c>
      <c r="BH127" s="112" t="str">
        <f ca="1">IF($AU127="","",OFFSET(DATA!CE76,0,$AX$48))</f>
        <v/>
      </c>
      <c r="BI127" s="112" t="str">
        <f ca="1">IF($AU127="","",OFFSET(DATA!CG76,0,$AX$48))</f>
        <v/>
      </c>
      <c r="BJ127" s="112" t="str">
        <f ca="1">IF($AU127="","",OFFSET(DATA!CI76,0,$AX$48))</f>
        <v/>
      </c>
      <c r="BK127" s="112" t="str">
        <f ca="1">IF($AU127="","",OFFSET(DATA!CK76,0,$AX$48))</f>
        <v/>
      </c>
      <c r="BL127" s="112" t="str">
        <f ca="1">IF($AU127="","",OFFSET(DATA!CM76,0,$AX$48))</f>
        <v/>
      </c>
      <c r="BM127" s="112" t="str">
        <f ca="1">IF($AU127="","",DATA!BH76)</f>
        <v/>
      </c>
      <c r="BN127" s="112" t="str">
        <f ca="1">IF($AU127="","",DATA!DS76)</f>
        <v/>
      </c>
      <c r="BO127" s="112" t="str">
        <f ca="1">IF($AU127="","",DATA!DU76)</f>
        <v/>
      </c>
      <c r="BP127" s="112" t="str">
        <f ca="1">IF($AU127="","",DATA!DV76)</f>
        <v/>
      </c>
      <c r="BQ127" s="112" t="str">
        <f ca="1">IF($AU127="","",DATA!DX76)</f>
        <v/>
      </c>
      <c r="BR127" s="112" t="str">
        <f ca="1">IF($AU127="","",DATA!DZ76)</f>
        <v/>
      </c>
      <c r="BS127" s="171" t="str">
        <f ca="1">IF($AU127="","",DATA!EA76)</f>
        <v/>
      </c>
      <c r="BT127" s="171" t="str">
        <f ca="1">IF($AU127="","",DATA!EC76)</f>
        <v/>
      </c>
      <c r="BU127" s="171" t="str">
        <f ca="1">IF($AU127="","",DATA!EF76)</f>
        <v/>
      </c>
      <c r="BV127" s="113" t="str">
        <f t="shared" ca="1" si="24"/>
        <v/>
      </c>
      <c r="BW127" s="680" t="str">
        <f ca="1">IF(AU127="","",OFFSET(DATA!DC76,0,'Intermediate Data'!$AX$48))</f>
        <v/>
      </c>
      <c r="BX127" s="681" t="str">
        <f ca="1">IF($AU127="","",DATA!DG76)</f>
        <v/>
      </c>
      <c r="BY127" s="680" t="str">
        <f ca="1">IF($AU127="","",OFFSET(DATA!DE76,0,'Intermediate Data'!$AX$48))</f>
        <v/>
      </c>
      <c r="BZ127" s="681" t="str">
        <f ca="1">IF($AU127="","",DATA!DH76)</f>
        <v/>
      </c>
      <c r="CA127" s="90" t="str">
        <f t="shared" ca="1" si="25"/>
        <v/>
      </c>
      <c r="CB127" s="99" t="str">
        <f t="shared" ca="1" si="26"/>
        <v/>
      </c>
      <c r="CC127" s="90" t="str">
        <f t="shared" ca="1" si="27"/>
        <v/>
      </c>
      <c r="CD127" s="90" t="str">
        <f t="shared" ca="1" si="28"/>
        <v/>
      </c>
      <c r="CF127" s="90" t="str">
        <f ca="1">IF($CD127="","",IF(OFFSET(AV$55,'Intermediate Data'!$CD127,0)=-98,"Unknown",IF(OFFSET(AV$55,'Intermediate Data'!$CD127,0)=-99,"N/A",OFFSET(AV$55,'Intermediate Data'!$CD127,0))))</f>
        <v/>
      </c>
      <c r="CG127" s="90" t="str">
        <f ca="1">IF($CD127="","",IF(OFFSET(AW$55,'Intermediate Data'!$CD127,0)=-98,"",IF(OFFSET(AW$55,'Intermediate Data'!$CD127,0)=-99,"N/A",OFFSET(AW$55,'Intermediate Data'!$CD127,0))))</f>
        <v/>
      </c>
      <c r="CH127" s="90" t="str">
        <f ca="1">IF($CD127="","",IF(OFFSET(AX$55,'Intermediate Data'!$CD127,0)=-98,"Unknown",IF(OFFSET(AX$55,'Intermediate Data'!$CD127,0)=-99,"N/A",OFFSET(AX$55,'Intermediate Data'!$CD127,0))))</f>
        <v/>
      </c>
      <c r="CI127" s="125" t="str">
        <f ca="1">IF($CD127="","",IF(OFFSET(AY$55,'Intermediate Data'!$CD127,0)=-98,"Unknown",IF(OFFSET(AY$55,'Intermediate Data'!$CD127,0)=-99,"No spec",OFFSET(AY$55,'Intermediate Data'!$CD127,0))))</f>
        <v/>
      </c>
      <c r="CJ127" s="125" t="str">
        <f ca="1">IF($CD127="","",IF(OFFSET(AZ$55,'Intermediate Data'!$CD127,0)=-98,"Unknown",IF(OFFSET(AZ$55,'Intermediate Data'!$CD127,0)=-99,"N/A",OFFSET(AZ$55,'Intermediate Data'!$CD127,0))))</f>
        <v/>
      </c>
      <c r="CK127" s="90" t="str">
        <f ca="1">IF($CD127="","",IF(OFFSET(BA$55,'Intermediate Data'!$CD127,0)=-98,"Unknown",IF(OFFSET(BA$55,'Intermediate Data'!$CD127,0)=-99,"N/A",OFFSET(BA$55,'Intermediate Data'!$CD127,0))))</f>
        <v/>
      </c>
      <c r="CL127" s="90" t="str">
        <f ca="1">IF($CD127="","",IF(OFFSET(BB$55,'Intermediate Data'!$CD127,$AX$50)=-98,"Unknown",IF(OFFSET(BB$55,'Intermediate Data'!$CD127,$AX$50)="N/A","",OFFSET(BB$55,'Intermediate Data'!$CD127,$AX$50))))</f>
        <v/>
      </c>
      <c r="CM127" s="90" t="str">
        <f ca="1">IF($CD127="","",IF(OFFSET(BG$55,'Intermediate Data'!$CD127,0)="ET","ET",""))</f>
        <v/>
      </c>
      <c r="CN127" s="90" t="str">
        <f ca="1">IF($CD127="","",IF(OFFSET(BH$55,'Intermediate Data'!$CD127,$AX$50)=-98,"Unknown",IF(OFFSET(BH$55,'Intermediate Data'!$CD127,$AX$50)="N/A","",OFFSET(BH$55,'Intermediate Data'!$CD127,$AX$50))))</f>
        <v/>
      </c>
      <c r="CO127" s="90" t="str">
        <f ca="1">IF($CD127="","",IF(OFFSET(BM$55,'Intermediate Data'!$CD127,0)=-98,"Not published",IF(OFFSET(BM$55,'Intermediate Data'!$CD127,0)=-99,"No spec",OFFSET(BM$55,'Intermediate Data'!$CD127,0))))</f>
        <v/>
      </c>
      <c r="CP127" s="114" t="str">
        <f ca="1">IF($CD127="","",IF(OFFSET(BN$55,'Intermediate Data'!$CD127,0)=-98,"Unknown",IF(OFFSET(BN$55,'Intermediate Data'!$CD127,0)=-99,"N/A",OFFSET(BN$55,'Intermediate Data'!$CD127,0))))</f>
        <v/>
      </c>
      <c r="CQ127" s="114" t="str">
        <f ca="1">IF($CD127="","",IF(OFFSET(BO$55,'Intermediate Data'!$CD127,0)=-98,"Unknown",IF(OFFSET(BO$55,'Intermediate Data'!$CD127,0)=-99,"N/A",OFFSET(BO$55,'Intermediate Data'!$CD127,0))))</f>
        <v/>
      </c>
      <c r="CR127" s="114" t="str">
        <f ca="1">IF($CD127="","",IF(OFFSET(BP$55,'Intermediate Data'!$CD127,0)=-98,"Unknown",IF(OFFSET(BP$55,'Intermediate Data'!$CD127,0)=-99,"N/A",OFFSET(BP$55,'Intermediate Data'!$CD127,0))))</f>
        <v/>
      </c>
      <c r="CS127" s="114" t="str">
        <f ca="1">IF($CD127="","",IF(OFFSET(BQ$55,'Intermediate Data'!$CD127,0)=-98,"Unknown",IF(OFFSET(BQ$55,'Intermediate Data'!$CD127,0)=-99,"N/A",OFFSET(BQ$55,'Intermediate Data'!$CD127,0))))</f>
        <v/>
      </c>
      <c r="CT127" s="114" t="str">
        <f ca="1">IF($CD127="","",IF(OFFSET(BR$55,'Intermediate Data'!$CD127,0)=-98,"Unknown",IF(OFFSET(BR$55,'Intermediate Data'!$CD127,0)=-99,"N/A",OFFSET(BR$55,'Intermediate Data'!$CD127,0))))</f>
        <v/>
      </c>
      <c r="CU127" s="114" t="str">
        <f ca="1">IF($CD127="","",IF(OFFSET(BS$55,'Intermediate Data'!$CD127,0)=-98,"Unknown",IF(OFFSET(BS$55,'Intermediate Data'!$CD127,0)=-99,"N/A",OFFSET(BS$55,'Intermediate Data'!$CD127,0))))</f>
        <v/>
      </c>
      <c r="CV127" s="114" t="str">
        <f ca="1">IF($CD127="","",IF(OFFSET(BT$55,'Intermediate Data'!$CD127,0)=-98,"Unknown",IF(OFFSET(BT$55,'Intermediate Data'!$CD127,0)=-99,"N/A",OFFSET(BT$55,'Intermediate Data'!$CD127,0))))</f>
        <v/>
      </c>
      <c r="CW127" s="114" t="str">
        <f ca="1">IF($CD127="","",IF(OFFSET(BU$55,'Intermediate Data'!$CD127,0)=-98,"Unknown",IF(OFFSET(BU$55,'Intermediate Data'!$CD127,0)=-99,"N/A",OFFSET(BU$55,'Intermediate Data'!$CD127,0))))</f>
        <v/>
      </c>
      <c r="CX127" s="114" t="str">
        <f ca="1">IF($CD127="","",IF(OFFSET(BV$55,'Intermediate Data'!$CD127,0)=-98,"Unknown",IF(OFFSET(BV$55,'Intermediate Data'!$CD127,0)=-99,"N/A",OFFSET(BV$55,'Intermediate Data'!$CD127,0))))</f>
        <v/>
      </c>
      <c r="CY127" s="682" t="str">
        <f ca="1">IF($CD127="","",IF(OFFSET(BW$55,'Intermediate Data'!$CD127,0)=-98,"Unknown",IF(OFFSET(BW$55,'Intermediate Data'!$CD127,0)="N/A","",OFFSET(BW$55,'Intermediate Data'!$CD127,0))))</f>
        <v/>
      </c>
      <c r="CZ127" s="682" t="str">
        <f ca="1">IF($CD127="","",IF(OFFSET(BX$55,'Intermediate Data'!$CD127,0)=-98,"Unknown",IF(OFFSET(BX$55,'Intermediate Data'!$CD127,0)="N/A","",OFFSET(BX$55,'Intermediate Data'!$CD127,0))))</f>
        <v/>
      </c>
      <c r="DA127" s="682" t="str">
        <f ca="1">IF($CD127="","",IF(OFFSET(BY$55,'Intermediate Data'!$CD127,0)=-98,"Unknown",IF(OFFSET(BY$55,'Intermediate Data'!$CD127,0)="N/A","",OFFSET(BY$55,'Intermediate Data'!$CD127,0))))</f>
        <v/>
      </c>
      <c r="DB127" s="682" t="str">
        <f ca="1">IF($CD127="","",IF(OFFSET(BZ$55,'Intermediate Data'!$CD127,0)=-98,"Unknown",IF(OFFSET(BZ$55,'Intermediate Data'!$CD127,0)="N/A","",OFFSET(BZ$55,'Intermediate Data'!$CD127,0))))</f>
        <v/>
      </c>
    </row>
    <row r="128" spans="1:106" x14ac:dyDescent="0.2">
      <c r="A128" s="90">
        <f ca="1">IF(OFFSET(DATA!F77,0,$D$48)='Intermediate Data'!$E$48,IF(OR($E$49=$C$27,$E$48=$B$4),DATA!A77,IF($G$49=DATA!D77,DATA!A77,"")),"")</f>
        <v>73</v>
      </c>
      <c r="B128" s="90">
        <f ca="1">IF($A128="","",DATA!EH77)</f>
        <v>82</v>
      </c>
      <c r="C128" s="90" t="str">
        <f ca="1">IF($A128="","",DATA!B77)</f>
        <v>Heat pump</v>
      </c>
      <c r="D128" s="90">
        <f ca="1">IF($A128="","",OFFSET(DATA!$H77,0,($D$50*5)))</f>
        <v>4.3999999999999997E-2</v>
      </c>
      <c r="E128" s="90">
        <f ca="1">IF($A128="","",OFFSET(DATA!$H77,0,($D$50*5)+1))</f>
        <v>4.0531049377393852E-2</v>
      </c>
      <c r="F128" s="90">
        <f ca="1">IF($A128="","",OFFSET(DATA!$H77,0,($D$50*5)+2))</f>
        <v>-99</v>
      </c>
      <c r="G128" s="90">
        <f ca="1">IF($A128="","",OFFSET(DATA!$H77,0,($D$50*5)+3))</f>
        <v>5.6374665779841827E-2</v>
      </c>
      <c r="H128" s="90">
        <f ca="1">IF($A128="","",OFFSET(DATA!$H77,0,($D$50*5)+4))</f>
        <v>2.2585999999999998E-2</v>
      </c>
      <c r="I128" s="90">
        <f t="shared" ca="1" si="17"/>
        <v>2.2585999999999998E-2</v>
      </c>
      <c r="J128" s="90" t="str">
        <f t="shared" ca="1" si="18"/>
        <v>CLASS</v>
      </c>
      <c r="K128" s="90">
        <f ca="1">IF($A128="","",OFFSET(DATA!$AG77,0,($D$50*5)))</f>
        <v>-99</v>
      </c>
      <c r="L128" s="90">
        <f ca="1">IF($A128="","",OFFSET(DATA!$AG77,0,($D$50*5)+1))</f>
        <v>4.4268114450989965E-2</v>
      </c>
      <c r="M128" s="90">
        <f ca="1">IF($A128="","",OFFSET(DATA!$AG77,0,($D$50*5)+2))</f>
        <v>-99</v>
      </c>
      <c r="N128" s="90">
        <f ca="1">IF($A128="","",OFFSET(DATA!$AG77,0,($D$50*5)+3))</f>
        <v>6.1386405006444072E-2</v>
      </c>
      <c r="O128" s="90">
        <f ca="1">IF($A128="","",OFFSET(DATA!$AG77,0,($D$50*5)+4))</f>
        <v>-99</v>
      </c>
      <c r="P128" s="90">
        <f t="shared" ca="1" si="19"/>
        <v>6.1386405006444072E-2</v>
      </c>
      <c r="Q128" s="90" t="str">
        <f t="shared" ca="1" si="20"/>
        <v>RASS</v>
      </c>
      <c r="R128" s="699">
        <f ca="1">IF($A128="","",IF(DATA!BF77="",-99,DATA!BF77))</f>
        <v>-99</v>
      </c>
      <c r="S128" s="90">
        <f ca="1">IF($A128="","",IF(DATA!BG77="",-99,DATA!BF77-DATA!BG77))</f>
        <v>-99</v>
      </c>
      <c r="T128" s="90">
        <f ca="1">IF($A128="","",DATA!BH77)</f>
        <v>0.37</v>
      </c>
      <c r="U128" s="90">
        <f ca="1">IF($A128="","",OFFSET(DATA!BM77,0,$D$48))</f>
        <v>570</v>
      </c>
      <c r="V128" s="90">
        <f t="shared" ca="1" si="16"/>
        <v>82</v>
      </c>
      <c r="W128" s="99">
        <f t="shared" ca="1" si="21"/>
        <v>82.000017463053226</v>
      </c>
      <c r="X128" s="112">
        <f t="shared" ca="1" si="22"/>
        <v>58.999920954884338</v>
      </c>
      <c r="Y128" s="90">
        <f t="shared" ca="1" si="23"/>
        <v>2</v>
      </c>
      <c r="AA128" s="90" t="str">
        <f ca="1">IF($Y128="","",IF(OFFSET(C$55,'Intermediate Data'!$Y128,0)=-98,"Unknown",IF(OFFSET(C$55,'Intermediate Data'!$Y128,0)=-99,"N/A",OFFSET(C$55,'Intermediate Data'!$Y128,0))))</f>
        <v>Oven/Range - Electric</v>
      </c>
      <c r="AB128" s="90" t="str">
        <f ca="1">IF($Y128="","",IF(OFFSET(D$55,'Intermediate Data'!$Y128,0)=-98,"N/A",IF(OFFSET(D$55,'Intermediate Data'!$Y128,0)=-99,"N/A",OFFSET(D$55,'Intermediate Data'!$Y128,0))))</f>
        <v>N/A</v>
      </c>
      <c r="AC128" s="90">
        <f ca="1">IF($Y128="","",IF(OFFSET(E$55,'Intermediate Data'!$Y128,0)=-98,"N/A",IF(OFFSET(E$55,'Intermediate Data'!$Y128,0)=-99,"N/A",OFFSET(E$55,'Intermediate Data'!$Y128,0))))</f>
        <v>0.35085418252428829</v>
      </c>
      <c r="AD128" s="90" t="str">
        <f ca="1">IF($Y128="","",IF(OFFSET(F$55,'Intermediate Data'!$Y128,0)=-98,"N/A",IF(OFFSET(F$55,'Intermediate Data'!$Y128,0)=-99,"N/A",OFFSET(F$55,'Intermediate Data'!$Y128,0))))</f>
        <v>N/A</v>
      </c>
      <c r="AE128" s="90">
        <f ca="1">IF($Y128="","",IF(OFFSET(G$55,'Intermediate Data'!$Y128,0)=-98,"N/A",IF(OFFSET(G$55,'Intermediate Data'!$Y128,0)=-99,"N/A",OFFSET(G$55,'Intermediate Data'!$Y128,0))))</f>
        <v>0.38628919820289026</v>
      </c>
      <c r="AF128" s="90">
        <f ca="1">IF($Y128="","",IF(OFFSET(H$55,'Intermediate Data'!$Y128,0)=-98,"N/A",IF(OFFSET(H$55,'Intermediate Data'!$Y128,0)=-99,"N/A",OFFSET(H$55,'Intermediate Data'!$Y128,0))))</f>
        <v>0.40300000000000002</v>
      </c>
      <c r="AG128" s="90">
        <f ca="1">IF($Y128="","",IF(OFFSET(I$55,'Intermediate Data'!$Y128,0)=-98,"N/A",IF(OFFSET(I$55,'Intermediate Data'!$Y128,0)=-99,"N/A",OFFSET(I$55,'Intermediate Data'!$Y128,0))))</f>
        <v>0.40300000000000002</v>
      </c>
      <c r="AH128" s="90" t="str">
        <f ca="1">IF($Y128="","",IF(OFFSET(J$55,'Intermediate Data'!$Y128,0)=-98,"N/A",IF(OFFSET(J$55,'Intermediate Data'!$Y128,0)=-99,"N/A",OFFSET(J$55,'Intermediate Data'!$Y128,0))))</f>
        <v>CLASS</v>
      </c>
      <c r="AI128" s="90" t="str">
        <f ca="1">IF($Y128="","",IF(OFFSET(K$55,'Intermediate Data'!$Y128,0)=-98,"N/A",IF(OFFSET(K$55,'Intermediate Data'!$Y128,0)=-99,"N/A",OFFSET(K$55,'Intermediate Data'!$Y128,0))))</f>
        <v>N/A</v>
      </c>
      <c r="AJ128" s="90" t="str">
        <f ca="1">IF($Y128="","",IF(OFFSET(L$55,'Intermediate Data'!$Y128,0)=-98,"N/A",IF(OFFSET(L$55,'Intermediate Data'!$Y128,0)=-99,"N/A",OFFSET(L$55,'Intermediate Data'!$Y128,0))))</f>
        <v>N/A</v>
      </c>
      <c r="AK128" s="90" t="str">
        <f ca="1">IF($Y128="","",IF(OFFSET(M$55,'Intermediate Data'!$Y128,0)=-98,"N/A",IF(OFFSET(M$55,'Intermediate Data'!$Y128,0)=-99,"N/A",OFFSET(M$55,'Intermediate Data'!$Y128,0))))</f>
        <v>N/A</v>
      </c>
      <c r="AL128" s="90" t="str">
        <f ca="1">IF($Y128="","",IF(OFFSET(N$55,'Intermediate Data'!$Y128,0)=-98,"N/A",IF(OFFSET(N$55,'Intermediate Data'!$Y128,0)=-99,"N/A",OFFSET(N$55,'Intermediate Data'!$Y128,0))))</f>
        <v>N/A</v>
      </c>
      <c r="AM128" s="90" t="str">
        <f ca="1">IF($Y128="","",IF(OFFSET(O$55,'Intermediate Data'!$Y128,0)=-98,"N/A",IF(OFFSET(O$55,'Intermediate Data'!$Y128,0)=-99,"N/A",OFFSET(O$55,'Intermediate Data'!$Y128,0))))</f>
        <v>N/A</v>
      </c>
      <c r="AN128" s="90" t="str">
        <f ca="1">IF($Y128="","",IF(OFFSET(P$55,'Intermediate Data'!$Y128,0)=-98,"N/A",IF(OFFSET(P$55,'Intermediate Data'!$Y128,0)=-99,"N/A",OFFSET(P$55,'Intermediate Data'!$Y128,0))))</f>
        <v>N/A</v>
      </c>
      <c r="AO128" s="90" t="str">
        <f ca="1">IF($Y128="","",IF(OFFSET(Q$55,'Intermediate Data'!$Y128,0)=-98,"N/A",IF(OFFSET(Q$55,'Intermediate Data'!$Y128,0)=-99,"N/A",OFFSET(Q$55,'Intermediate Data'!$Y128,0))))</f>
        <v/>
      </c>
      <c r="AP128" s="697" t="str">
        <f ca="1">IF($Y128="","",IF(OFFSET(S$55,'Intermediate Data'!$Y128,0)=-98,"",IF(OFFSET(S$55,'Intermediate Data'!$Y128,0)=-99,"",OFFSET(S$55,'Intermediate Data'!$Y128,0))))</f>
        <v/>
      </c>
      <c r="AQ128" s="90" t="str">
        <f ca="1">IF($Y128="","",IF(OFFSET(T$55,'Intermediate Data'!$Y128,0)=-98,"Not published",IF(OFFSET(T$55,'Intermediate Data'!$Y128,0)=-99,"",OFFSET(T$55,'Intermediate Data'!$Y128,0))))</f>
        <v/>
      </c>
      <c r="AR128" s="90" t="str">
        <f ca="1">IF($Y128="","",IF(OFFSET(U$55,'Intermediate Data'!$Y128,0)=-98,"Unknown",IF(OFFSET(U$55,'Intermediate Data'!$Y128,0)=-99,"",OFFSET(U$55,'Intermediate Data'!$Y128,0))))</f>
        <v/>
      </c>
      <c r="AU128" s="112" t="str">
        <f ca="1">IF(AND(OFFSET(DATA!$F77,0,$AX$48)='Intermediate Data'!$AY$48,DATA!$E77="Tier 1"),IF(OR($AX$49=0,$AX$48=1),DATA!A77,IF(AND($AX$49=1,INDEX('Intermediate Data'!$AY$25:$AY$44,MATCH(DATA!$B77,'Intermediate Data'!$AX$25:$AX$44,0))=TRUE),DATA!A77,"")),"")</f>
        <v/>
      </c>
      <c r="AV128" s="112" t="str">
        <f ca="1">IF($AU128="","",DATA!B77)</f>
        <v/>
      </c>
      <c r="AW128" s="112" t="str">
        <f ca="1">IF(OR($AU128="",DATA!BI77=""),"",DATA!BI77)</f>
        <v/>
      </c>
      <c r="AX128" s="112" t="str">
        <f ca="1">IF(OR($AU128="",OFFSET(DATA!BK77,0,$AX$48)=""),"",OFFSET(DATA!BK77,0,$AX$48))</f>
        <v/>
      </c>
      <c r="AY128" s="112" t="str">
        <f ca="1">IF(OR($AU128="",OFFSET(DATA!BM77,0,$AX$48)=""),"",OFFSET(DATA!BM77,0,$AX$48))</f>
        <v/>
      </c>
      <c r="AZ128" s="112" t="str">
        <f ca="1">IF(OR($AU128="",OFFSET(DATA!BO77,0,'Intermediate Data'!$AX$48)=""),"",OFFSET(DATA!BO77,0,$AX$48))</f>
        <v/>
      </c>
      <c r="BA128" s="112" t="str">
        <f ca="1">IF(OR($AU128="",DATA!BQ77=""),"",DATA!BQ77)</f>
        <v/>
      </c>
      <c r="BB128" s="112" t="str">
        <f ca="1">IF($AU128="","",OFFSET(DATA!BS77,0,$AX$48))</f>
        <v/>
      </c>
      <c r="BC128" s="112" t="str">
        <f ca="1">IF($AU128="","",OFFSET(DATA!BU77,0,$AX$48))</f>
        <v/>
      </c>
      <c r="BD128" s="112" t="str">
        <f ca="1">IF($AU128="","",OFFSET(DATA!BW77,0,$AX$48))</f>
        <v/>
      </c>
      <c r="BE128" s="112" t="str">
        <f ca="1">IF($AU128="","",OFFSET(DATA!BY77,0,$AX$48))</f>
        <v/>
      </c>
      <c r="BF128" s="112" t="str">
        <f ca="1">IF($AU128="","",OFFSET(DATA!CA77,0,$AX$48))</f>
        <v/>
      </c>
      <c r="BG128" s="112" t="str">
        <f ca="1">IF($AU128="","",DATA!CC77)</f>
        <v/>
      </c>
      <c r="BH128" s="112" t="str">
        <f ca="1">IF($AU128="","",OFFSET(DATA!CE77,0,$AX$48))</f>
        <v/>
      </c>
      <c r="BI128" s="112" t="str">
        <f ca="1">IF($AU128="","",OFFSET(DATA!CG77,0,$AX$48))</f>
        <v/>
      </c>
      <c r="BJ128" s="112" t="str">
        <f ca="1">IF($AU128="","",OFFSET(DATA!CI77,0,$AX$48))</f>
        <v/>
      </c>
      <c r="BK128" s="112" t="str">
        <f ca="1">IF($AU128="","",OFFSET(DATA!CK77,0,$AX$48))</f>
        <v/>
      </c>
      <c r="BL128" s="112" t="str">
        <f ca="1">IF($AU128="","",OFFSET(DATA!CM77,0,$AX$48))</f>
        <v/>
      </c>
      <c r="BM128" s="112" t="str">
        <f ca="1">IF($AU128="","",DATA!BH77)</f>
        <v/>
      </c>
      <c r="BN128" s="112" t="str">
        <f ca="1">IF($AU128="","",DATA!DS77)</f>
        <v/>
      </c>
      <c r="BO128" s="112" t="str">
        <f ca="1">IF($AU128="","",DATA!DU77)</f>
        <v/>
      </c>
      <c r="BP128" s="112" t="str">
        <f ca="1">IF($AU128="","",DATA!DV77)</f>
        <v/>
      </c>
      <c r="BQ128" s="112" t="str">
        <f ca="1">IF($AU128="","",DATA!DX77)</f>
        <v/>
      </c>
      <c r="BR128" s="112" t="str">
        <f ca="1">IF($AU128="","",DATA!DZ77)</f>
        <v/>
      </c>
      <c r="BS128" s="171" t="str">
        <f ca="1">IF($AU128="","",DATA!EA77)</f>
        <v/>
      </c>
      <c r="BT128" s="171" t="str">
        <f ca="1">IF($AU128="","",DATA!EC77)</f>
        <v/>
      </c>
      <c r="BU128" s="171" t="str">
        <f ca="1">IF($AU128="","",DATA!EF77)</f>
        <v/>
      </c>
      <c r="BV128" s="113" t="str">
        <f t="shared" ca="1" si="24"/>
        <v/>
      </c>
      <c r="BW128" s="680" t="str">
        <f ca="1">IF(AU128="","",OFFSET(DATA!DC77,0,'Intermediate Data'!$AX$48))</f>
        <v/>
      </c>
      <c r="BX128" s="681" t="str">
        <f ca="1">IF($AU128="","",DATA!DG77)</f>
        <v/>
      </c>
      <c r="BY128" s="680" t="str">
        <f ca="1">IF($AU128="","",OFFSET(DATA!DE77,0,'Intermediate Data'!$AX$48))</f>
        <v/>
      </c>
      <c r="BZ128" s="681" t="str">
        <f ca="1">IF($AU128="","",DATA!DH77)</f>
        <v/>
      </c>
      <c r="CA128" s="90" t="str">
        <f t="shared" ca="1" si="25"/>
        <v/>
      </c>
      <c r="CB128" s="99" t="str">
        <f t="shared" ca="1" si="26"/>
        <v/>
      </c>
      <c r="CC128" s="90" t="str">
        <f t="shared" ca="1" si="27"/>
        <v/>
      </c>
      <c r="CD128" s="90" t="str">
        <f t="shared" ca="1" si="28"/>
        <v/>
      </c>
      <c r="CF128" s="90" t="str">
        <f ca="1">IF($CD128="","",IF(OFFSET(AV$55,'Intermediate Data'!$CD128,0)=-98,"Unknown",IF(OFFSET(AV$55,'Intermediate Data'!$CD128,0)=-99,"N/A",OFFSET(AV$55,'Intermediate Data'!$CD128,0))))</f>
        <v/>
      </c>
      <c r="CG128" s="90" t="str">
        <f ca="1">IF($CD128="","",IF(OFFSET(AW$55,'Intermediate Data'!$CD128,0)=-98,"",IF(OFFSET(AW$55,'Intermediate Data'!$CD128,0)=-99,"N/A",OFFSET(AW$55,'Intermediate Data'!$CD128,0))))</f>
        <v/>
      </c>
      <c r="CH128" s="90" t="str">
        <f ca="1">IF($CD128="","",IF(OFFSET(AX$55,'Intermediate Data'!$CD128,0)=-98,"Unknown",IF(OFFSET(AX$55,'Intermediate Data'!$CD128,0)=-99,"N/A",OFFSET(AX$55,'Intermediate Data'!$CD128,0))))</f>
        <v/>
      </c>
      <c r="CI128" s="125" t="str">
        <f ca="1">IF($CD128="","",IF(OFFSET(AY$55,'Intermediate Data'!$CD128,0)=-98,"Unknown",IF(OFFSET(AY$55,'Intermediate Data'!$CD128,0)=-99,"No spec",OFFSET(AY$55,'Intermediate Data'!$CD128,0))))</f>
        <v/>
      </c>
      <c r="CJ128" s="125" t="str">
        <f ca="1">IF($CD128="","",IF(OFFSET(AZ$55,'Intermediate Data'!$CD128,0)=-98,"Unknown",IF(OFFSET(AZ$55,'Intermediate Data'!$CD128,0)=-99,"N/A",OFFSET(AZ$55,'Intermediate Data'!$CD128,0))))</f>
        <v/>
      </c>
      <c r="CK128" s="90" t="str">
        <f ca="1">IF($CD128="","",IF(OFFSET(BA$55,'Intermediate Data'!$CD128,0)=-98,"Unknown",IF(OFFSET(BA$55,'Intermediate Data'!$CD128,0)=-99,"N/A",OFFSET(BA$55,'Intermediate Data'!$CD128,0))))</f>
        <v/>
      </c>
      <c r="CL128" s="90" t="str">
        <f ca="1">IF($CD128="","",IF(OFFSET(BB$55,'Intermediate Data'!$CD128,$AX$50)=-98,"Unknown",IF(OFFSET(BB$55,'Intermediate Data'!$CD128,$AX$50)="N/A","",OFFSET(BB$55,'Intermediate Data'!$CD128,$AX$50))))</f>
        <v/>
      </c>
      <c r="CM128" s="90" t="str">
        <f ca="1">IF($CD128="","",IF(OFFSET(BG$55,'Intermediate Data'!$CD128,0)="ET","ET",""))</f>
        <v/>
      </c>
      <c r="CN128" s="90" t="str">
        <f ca="1">IF($CD128="","",IF(OFFSET(BH$55,'Intermediate Data'!$CD128,$AX$50)=-98,"Unknown",IF(OFFSET(BH$55,'Intermediate Data'!$CD128,$AX$50)="N/A","",OFFSET(BH$55,'Intermediate Data'!$CD128,$AX$50))))</f>
        <v/>
      </c>
      <c r="CO128" s="90" t="str">
        <f ca="1">IF($CD128="","",IF(OFFSET(BM$55,'Intermediate Data'!$CD128,0)=-98,"Not published",IF(OFFSET(BM$55,'Intermediate Data'!$CD128,0)=-99,"No spec",OFFSET(BM$55,'Intermediate Data'!$CD128,0))))</f>
        <v/>
      </c>
      <c r="CP128" s="114" t="str">
        <f ca="1">IF($CD128="","",IF(OFFSET(BN$55,'Intermediate Data'!$CD128,0)=-98,"Unknown",IF(OFFSET(BN$55,'Intermediate Data'!$CD128,0)=-99,"N/A",OFFSET(BN$55,'Intermediate Data'!$CD128,0))))</f>
        <v/>
      </c>
      <c r="CQ128" s="114" t="str">
        <f ca="1">IF($CD128="","",IF(OFFSET(BO$55,'Intermediate Data'!$CD128,0)=-98,"Unknown",IF(OFFSET(BO$55,'Intermediate Data'!$CD128,0)=-99,"N/A",OFFSET(BO$55,'Intermediate Data'!$CD128,0))))</f>
        <v/>
      </c>
      <c r="CR128" s="114" t="str">
        <f ca="1">IF($CD128="","",IF(OFFSET(BP$55,'Intermediate Data'!$CD128,0)=-98,"Unknown",IF(OFFSET(BP$55,'Intermediate Data'!$CD128,0)=-99,"N/A",OFFSET(BP$55,'Intermediate Data'!$CD128,0))))</f>
        <v/>
      </c>
      <c r="CS128" s="114" t="str">
        <f ca="1">IF($CD128="","",IF(OFFSET(BQ$55,'Intermediate Data'!$CD128,0)=-98,"Unknown",IF(OFFSET(BQ$55,'Intermediate Data'!$CD128,0)=-99,"N/A",OFFSET(BQ$55,'Intermediate Data'!$CD128,0))))</f>
        <v/>
      </c>
      <c r="CT128" s="114" t="str">
        <f ca="1">IF($CD128="","",IF(OFFSET(BR$55,'Intermediate Data'!$CD128,0)=-98,"Unknown",IF(OFFSET(BR$55,'Intermediate Data'!$CD128,0)=-99,"N/A",OFFSET(BR$55,'Intermediate Data'!$CD128,0))))</f>
        <v/>
      </c>
      <c r="CU128" s="114" t="str">
        <f ca="1">IF($CD128="","",IF(OFFSET(BS$55,'Intermediate Data'!$CD128,0)=-98,"Unknown",IF(OFFSET(BS$55,'Intermediate Data'!$CD128,0)=-99,"N/A",OFFSET(BS$55,'Intermediate Data'!$CD128,0))))</f>
        <v/>
      </c>
      <c r="CV128" s="114" t="str">
        <f ca="1">IF($CD128="","",IF(OFFSET(BT$55,'Intermediate Data'!$CD128,0)=-98,"Unknown",IF(OFFSET(BT$55,'Intermediate Data'!$CD128,0)=-99,"N/A",OFFSET(BT$55,'Intermediate Data'!$CD128,0))))</f>
        <v/>
      </c>
      <c r="CW128" s="114" t="str">
        <f ca="1">IF($CD128="","",IF(OFFSET(BU$55,'Intermediate Data'!$CD128,0)=-98,"Unknown",IF(OFFSET(BU$55,'Intermediate Data'!$CD128,0)=-99,"N/A",OFFSET(BU$55,'Intermediate Data'!$CD128,0))))</f>
        <v/>
      </c>
      <c r="CX128" s="114" t="str">
        <f ca="1">IF($CD128="","",IF(OFFSET(BV$55,'Intermediate Data'!$CD128,0)=-98,"Unknown",IF(OFFSET(BV$55,'Intermediate Data'!$CD128,0)=-99,"N/A",OFFSET(BV$55,'Intermediate Data'!$CD128,0))))</f>
        <v/>
      </c>
      <c r="CY128" s="682" t="str">
        <f ca="1">IF($CD128="","",IF(OFFSET(BW$55,'Intermediate Data'!$CD128,0)=-98,"Unknown",IF(OFFSET(BW$55,'Intermediate Data'!$CD128,0)="N/A","",OFFSET(BW$55,'Intermediate Data'!$CD128,0))))</f>
        <v/>
      </c>
      <c r="CZ128" s="682" t="str">
        <f ca="1">IF($CD128="","",IF(OFFSET(BX$55,'Intermediate Data'!$CD128,0)=-98,"Unknown",IF(OFFSET(BX$55,'Intermediate Data'!$CD128,0)="N/A","",OFFSET(BX$55,'Intermediate Data'!$CD128,0))))</f>
        <v/>
      </c>
      <c r="DA128" s="682" t="str">
        <f ca="1">IF($CD128="","",IF(OFFSET(BY$55,'Intermediate Data'!$CD128,0)=-98,"Unknown",IF(OFFSET(BY$55,'Intermediate Data'!$CD128,0)="N/A","",OFFSET(BY$55,'Intermediate Data'!$CD128,0))))</f>
        <v/>
      </c>
      <c r="DB128" s="682" t="str">
        <f ca="1">IF($CD128="","",IF(OFFSET(BZ$55,'Intermediate Data'!$CD128,0)=-98,"Unknown",IF(OFFSET(BZ$55,'Intermediate Data'!$CD128,0)="N/A","",OFFSET(BZ$55,'Intermediate Data'!$CD128,0))))</f>
        <v/>
      </c>
    </row>
    <row r="129" spans="1:106" x14ac:dyDescent="0.2">
      <c r="A129" s="90">
        <f ca="1">IF(OFFSET(DATA!F78,0,$D$48)='Intermediate Data'!$E$48,IF(OR($E$49=$C$27,$E$48=$B$4),DATA!A78,IF($G$49=DATA!D78,DATA!A78,"")),"")</f>
        <v>74</v>
      </c>
      <c r="B129" s="90">
        <f ca="1">IF($A129="","",DATA!EH78)</f>
        <v>73</v>
      </c>
      <c r="C129" s="90" t="str">
        <f ca="1">IF($A129="","",DATA!B78)</f>
        <v>Humidifier</v>
      </c>
      <c r="D129" s="90">
        <f ca="1">IF($A129="","",OFFSET(DATA!$H78,0,($D$50*5)))</f>
        <v>-99</v>
      </c>
      <c r="E129" s="90">
        <f ca="1">IF($A129="","",OFFSET(DATA!$H78,0,($D$50*5)+1))</f>
        <v>4.3762746484937595E-2</v>
      </c>
      <c r="F129" s="90">
        <f ca="1">IF($A129="","",OFFSET(DATA!$H78,0,($D$50*5)+2))</f>
        <v>-99</v>
      </c>
      <c r="G129" s="90">
        <f ca="1">IF($A129="","",OFFSET(DATA!$H78,0,($D$50*5)+3))</f>
        <v>-99</v>
      </c>
      <c r="H129" s="90">
        <f ca="1">IF($A129="","",OFFSET(DATA!$H78,0,($D$50*5)+4))</f>
        <v>-99</v>
      </c>
      <c r="I129" s="90">
        <f t="shared" ca="1" si="17"/>
        <v>4.3762746484937595E-2</v>
      </c>
      <c r="J129" s="90" t="str">
        <f t="shared" ca="1" si="18"/>
        <v>RASS</v>
      </c>
      <c r="K129" s="90">
        <f ca="1">IF($A129="","",OFFSET(DATA!$AG78,0,($D$50*5)))</f>
        <v>-99</v>
      </c>
      <c r="L129" s="90">
        <f ca="1">IF($A129="","",OFFSET(DATA!$AG78,0,($D$50*5)+1))</f>
        <v>4.6099773967094367E-2</v>
      </c>
      <c r="M129" s="90">
        <f ca="1">IF($A129="","",OFFSET(DATA!$AG78,0,($D$50*5)+2))</f>
        <v>-99</v>
      </c>
      <c r="N129" s="90">
        <f ca="1">IF($A129="","",OFFSET(DATA!$AG78,0,($D$50*5)+3))</f>
        <v>-99</v>
      </c>
      <c r="O129" s="90">
        <f ca="1">IF($A129="","",OFFSET(DATA!$AG78,0,($D$50*5)+4))</f>
        <v>-99</v>
      </c>
      <c r="P129" s="90">
        <f t="shared" ca="1" si="19"/>
        <v>4.6099773967094367E-2</v>
      </c>
      <c r="Q129" s="90" t="str">
        <f t="shared" ca="1" si="20"/>
        <v>RASS</v>
      </c>
      <c r="R129" s="699">
        <f ca="1">IF($A129="","",IF(DATA!BF78="",-99,DATA!BF78))</f>
        <v>-99</v>
      </c>
      <c r="S129" s="90">
        <f ca="1">IF($A129="","",IF(DATA!BG78="",-99,DATA!BF78-DATA!BG78))</f>
        <v>-99</v>
      </c>
      <c r="T129" s="90">
        <f ca="1">IF($A129="","",DATA!BH78)</f>
        <v>-99</v>
      </c>
      <c r="U129" s="90">
        <f ca="1">IF($A129="","",OFFSET(DATA!BM78,0,$D$48))</f>
        <v>-99</v>
      </c>
      <c r="V129" s="90">
        <f t="shared" ca="1" si="16"/>
        <v>73</v>
      </c>
      <c r="W129" s="99">
        <f t="shared" ca="1" si="21"/>
        <v>72.999910914652531</v>
      </c>
      <c r="X129" s="112">
        <f t="shared" ca="1" si="22"/>
        <v>55.999930744468628</v>
      </c>
      <c r="Y129" s="90">
        <f t="shared" ca="1" si="23"/>
        <v>132</v>
      </c>
      <c r="AA129" s="90" t="str">
        <f ca="1">IF($Y129="","",IF(OFFSET(C$55,'Intermediate Data'!$Y129,0)=-98,"Unknown",IF(OFFSET(C$55,'Intermediate Data'!$Y129,0)=-99,"N/A",OFFSET(C$55,'Intermediate Data'!$Y129,0))))</f>
        <v>Pond pump</v>
      </c>
      <c r="AB129" s="90" t="str">
        <f ca="1">IF($Y129="","",IF(OFFSET(D$55,'Intermediate Data'!$Y129,0)=-98,"N/A",IF(OFFSET(D$55,'Intermediate Data'!$Y129,0)=-99,"N/A",OFFSET(D$55,'Intermediate Data'!$Y129,0))))</f>
        <v>N/A</v>
      </c>
      <c r="AC129" s="90">
        <f ca="1">IF($Y129="","",IF(OFFSET(E$55,'Intermediate Data'!$Y129,0)=-98,"N/A",IF(OFFSET(E$55,'Intermediate Data'!$Y129,0)=-99,"N/A",OFFSET(E$55,'Intermediate Data'!$Y129,0))))</f>
        <v>6.7916924928752453E-2</v>
      </c>
      <c r="AD129" s="90" t="str">
        <f ca="1">IF($Y129="","",IF(OFFSET(F$55,'Intermediate Data'!$Y129,0)=-98,"N/A",IF(OFFSET(F$55,'Intermediate Data'!$Y129,0)=-99,"N/A",OFFSET(F$55,'Intermediate Data'!$Y129,0))))</f>
        <v>N/A</v>
      </c>
      <c r="AE129" s="90">
        <f ca="1">IF($Y129="","",IF(OFFSET(G$55,'Intermediate Data'!$Y129,0)=-98,"N/A",IF(OFFSET(G$55,'Intermediate Data'!$Y129,0)=-99,"N/A",OFFSET(G$55,'Intermediate Data'!$Y129,0))))</f>
        <v>8.9089064933867201E-2</v>
      </c>
      <c r="AF129" s="90" t="str">
        <f ca="1">IF($Y129="","",IF(OFFSET(H$55,'Intermediate Data'!$Y129,0)=-98,"N/A",IF(OFFSET(H$55,'Intermediate Data'!$Y129,0)=-99,"N/A",OFFSET(H$55,'Intermediate Data'!$Y129,0))))</f>
        <v>N/A</v>
      </c>
      <c r="AG129" s="90">
        <f ca="1">IF($Y129="","",IF(OFFSET(I$55,'Intermediate Data'!$Y129,0)=-98,"N/A",IF(OFFSET(I$55,'Intermediate Data'!$Y129,0)=-99,"N/A",OFFSET(I$55,'Intermediate Data'!$Y129,0))))</f>
        <v>8.9089064933867201E-2</v>
      </c>
      <c r="AH129" s="90" t="str">
        <f ca="1">IF($Y129="","",IF(OFFSET(J$55,'Intermediate Data'!$Y129,0)=-98,"N/A",IF(OFFSET(J$55,'Intermediate Data'!$Y129,0)=-99,"N/A",OFFSET(J$55,'Intermediate Data'!$Y129,0))))</f>
        <v>RASS</v>
      </c>
      <c r="AI129" s="90" t="str">
        <f ca="1">IF($Y129="","",IF(OFFSET(K$55,'Intermediate Data'!$Y129,0)=-98,"N/A",IF(OFFSET(K$55,'Intermediate Data'!$Y129,0)=-99,"N/A",OFFSET(K$55,'Intermediate Data'!$Y129,0))))</f>
        <v>N/A</v>
      </c>
      <c r="AJ129" s="90">
        <f ca="1">IF($Y129="","",IF(OFFSET(L$55,'Intermediate Data'!$Y129,0)=-98,"N/A",IF(OFFSET(L$55,'Intermediate Data'!$Y129,0)=-99,"N/A",OFFSET(L$55,'Intermediate Data'!$Y129,0))))</f>
        <v>7.7998270741605993E-2</v>
      </c>
      <c r="AK129" s="90" t="str">
        <f ca="1">IF($Y129="","",IF(OFFSET(M$55,'Intermediate Data'!$Y129,0)=-98,"N/A",IF(OFFSET(M$55,'Intermediate Data'!$Y129,0)=-99,"N/A",OFFSET(M$55,'Intermediate Data'!$Y129,0))))</f>
        <v>N/A</v>
      </c>
      <c r="AL129" s="90">
        <f ca="1">IF($Y129="","",IF(OFFSET(N$55,'Intermediate Data'!$Y129,0)=-98,"N/A",IF(OFFSET(N$55,'Intermediate Data'!$Y129,0)=-99,"N/A",OFFSET(N$55,'Intermediate Data'!$Y129,0))))</f>
        <v>0.10189298936826235</v>
      </c>
      <c r="AM129" s="90" t="str">
        <f ca="1">IF($Y129="","",IF(OFFSET(O$55,'Intermediate Data'!$Y129,0)=-98,"N/A",IF(OFFSET(O$55,'Intermediate Data'!$Y129,0)=-99,"N/A",OFFSET(O$55,'Intermediate Data'!$Y129,0))))</f>
        <v>N/A</v>
      </c>
      <c r="AN129" s="90">
        <f ca="1">IF($Y129="","",IF(OFFSET(P$55,'Intermediate Data'!$Y129,0)=-98,"N/A",IF(OFFSET(P$55,'Intermediate Data'!$Y129,0)=-99,"N/A",OFFSET(P$55,'Intermediate Data'!$Y129,0))))</f>
        <v>0.10189298936826235</v>
      </c>
      <c r="AO129" s="90" t="str">
        <f ca="1">IF($Y129="","",IF(OFFSET(Q$55,'Intermediate Data'!$Y129,0)=-98,"N/A",IF(OFFSET(Q$55,'Intermediate Data'!$Y129,0)=-99,"N/A",OFFSET(Q$55,'Intermediate Data'!$Y129,0))))</f>
        <v>RASS</v>
      </c>
      <c r="AP129" s="697" t="str">
        <f ca="1">IF($Y129="","",IF(OFFSET(S$55,'Intermediate Data'!$Y129,0)=-98,"",IF(OFFSET(S$55,'Intermediate Data'!$Y129,0)=-99,"",OFFSET(S$55,'Intermediate Data'!$Y129,0))))</f>
        <v/>
      </c>
      <c r="AQ129" s="90" t="str">
        <f ca="1">IF($Y129="","",IF(OFFSET(T$55,'Intermediate Data'!$Y129,0)=-98,"Not published",IF(OFFSET(T$55,'Intermediate Data'!$Y129,0)=-99,"",OFFSET(T$55,'Intermediate Data'!$Y129,0))))</f>
        <v/>
      </c>
      <c r="AR129" s="90" t="str">
        <f ca="1">IF($Y129="","",IF(OFFSET(U$55,'Intermediate Data'!$Y129,0)=-98,"Unknown",IF(OFFSET(U$55,'Intermediate Data'!$Y129,0)=-99,"",OFFSET(U$55,'Intermediate Data'!$Y129,0))))</f>
        <v/>
      </c>
      <c r="AU129" s="112" t="str">
        <f ca="1">IF(AND(OFFSET(DATA!$F78,0,$AX$48)='Intermediate Data'!$AY$48,DATA!$E78="Tier 1"),IF(OR($AX$49=0,$AX$48=1),DATA!A78,IF(AND($AX$49=1,INDEX('Intermediate Data'!$AY$25:$AY$44,MATCH(DATA!$B78,'Intermediate Data'!$AX$25:$AX$44,0))=TRUE),DATA!A78,"")),"")</f>
        <v/>
      </c>
      <c r="AV129" s="112" t="str">
        <f ca="1">IF($AU129="","",DATA!B78)</f>
        <v/>
      </c>
      <c r="AW129" s="112" t="str">
        <f ca="1">IF(OR($AU129="",DATA!BI78=""),"",DATA!BI78)</f>
        <v/>
      </c>
      <c r="AX129" s="112" t="str">
        <f ca="1">IF(OR($AU129="",OFFSET(DATA!BK78,0,$AX$48)=""),"",OFFSET(DATA!BK78,0,$AX$48))</f>
        <v/>
      </c>
      <c r="AY129" s="112" t="str">
        <f ca="1">IF(OR($AU129="",OFFSET(DATA!BM78,0,$AX$48)=""),"",OFFSET(DATA!BM78,0,$AX$48))</f>
        <v/>
      </c>
      <c r="AZ129" s="112" t="str">
        <f ca="1">IF(OR($AU129="",OFFSET(DATA!BO78,0,'Intermediate Data'!$AX$48)=""),"",OFFSET(DATA!BO78,0,$AX$48))</f>
        <v/>
      </c>
      <c r="BA129" s="112" t="str">
        <f ca="1">IF(OR($AU129="",DATA!BQ78=""),"",DATA!BQ78)</f>
        <v/>
      </c>
      <c r="BB129" s="112" t="str">
        <f ca="1">IF($AU129="","",OFFSET(DATA!BS78,0,$AX$48))</f>
        <v/>
      </c>
      <c r="BC129" s="112" t="str">
        <f ca="1">IF($AU129="","",OFFSET(DATA!BU78,0,$AX$48))</f>
        <v/>
      </c>
      <c r="BD129" s="112" t="str">
        <f ca="1">IF($AU129="","",OFFSET(DATA!BW78,0,$AX$48))</f>
        <v/>
      </c>
      <c r="BE129" s="112" t="str">
        <f ca="1">IF($AU129="","",OFFSET(DATA!BY78,0,$AX$48))</f>
        <v/>
      </c>
      <c r="BF129" s="112" t="str">
        <f ca="1">IF($AU129="","",OFFSET(DATA!CA78,0,$AX$48))</f>
        <v/>
      </c>
      <c r="BG129" s="112" t="str">
        <f ca="1">IF($AU129="","",DATA!CC78)</f>
        <v/>
      </c>
      <c r="BH129" s="112" t="str">
        <f ca="1">IF($AU129="","",OFFSET(DATA!CE78,0,$AX$48))</f>
        <v/>
      </c>
      <c r="BI129" s="112" t="str">
        <f ca="1">IF($AU129="","",OFFSET(DATA!CG78,0,$AX$48))</f>
        <v/>
      </c>
      <c r="BJ129" s="112" t="str">
        <f ca="1">IF($AU129="","",OFFSET(DATA!CI78,0,$AX$48))</f>
        <v/>
      </c>
      <c r="BK129" s="112" t="str">
        <f ca="1">IF($AU129="","",OFFSET(DATA!CK78,0,$AX$48))</f>
        <v/>
      </c>
      <c r="BL129" s="112" t="str">
        <f ca="1">IF($AU129="","",OFFSET(DATA!CM78,0,$AX$48))</f>
        <v/>
      </c>
      <c r="BM129" s="112" t="str">
        <f ca="1">IF($AU129="","",DATA!BH78)</f>
        <v/>
      </c>
      <c r="BN129" s="112" t="str">
        <f ca="1">IF($AU129="","",DATA!DS78)</f>
        <v/>
      </c>
      <c r="BO129" s="112" t="str">
        <f ca="1">IF($AU129="","",DATA!DU78)</f>
        <v/>
      </c>
      <c r="BP129" s="112" t="str">
        <f ca="1">IF($AU129="","",DATA!DV78)</f>
        <v/>
      </c>
      <c r="BQ129" s="112" t="str">
        <f ca="1">IF($AU129="","",DATA!DX78)</f>
        <v/>
      </c>
      <c r="BR129" s="112" t="str">
        <f ca="1">IF($AU129="","",DATA!DZ78)</f>
        <v/>
      </c>
      <c r="BS129" s="171" t="str">
        <f ca="1">IF($AU129="","",DATA!EA78)</f>
        <v/>
      </c>
      <c r="BT129" s="171" t="str">
        <f ca="1">IF($AU129="","",DATA!EC78)</f>
        <v/>
      </c>
      <c r="BU129" s="171" t="str">
        <f ca="1">IF($AU129="","",DATA!EF78)</f>
        <v/>
      </c>
      <c r="BV129" s="113" t="str">
        <f t="shared" ca="1" si="24"/>
        <v/>
      </c>
      <c r="BW129" s="680" t="str">
        <f ca="1">IF(AU129="","",OFFSET(DATA!DC78,0,'Intermediate Data'!$AX$48))</f>
        <v/>
      </c>
      <c r="BX129" s="681" t="str">
        <f ca="1">IF($AU129="","",DATA!DG78)</f>
        <v/>
      </c>
      <c r="BY129" s="680" t="str">
        <f ca="1">IF($AU129="","",OFFSET(DATA!DE78,0,'Intermediate Data'!$AX$48))</f>
        <v/>
      </c>
      <c r="BZ129" s="681" t="str">
        <f ca="1">IF($AU129="","",DATA!DH78)</f>
        <v/>
      </c>
      <c r="CA129" s="90" t="str">
        <f t="shared" ca="1" si="25"/>
        <v/>
      </c>
      <c r="CB129" s="99" t="str">
        <f t="shared" ca="1" si="26"/>
        <v/>
      </c>
      <c r="CC129" s="90" t="str">
        <f t="shared" ca="1" si="27"/>
        <v/>
      </c>
      <c r="CD129" s="90" t="str">
        <f t="shared" ca="1" si="28"/>
        <v/>
      </c>
      <c r="CF129" s="90" t="str">
        <f ca="1">IF($CD129="","",IF(OFFSET(AV$55,'Intermediate Data'!$CD129,0)=-98,"Unknown",IF(OFFSET(AV$55,'Intermediate Data'!$CD129,0)=-99,"N/A",OFFSET(AV$55,'Intermediate Data'!$CD129,0))))</f>
        <v/>
      </c>
      <c r="CG129" s="90" t="str">
        <f ca="1">IF($CD129="","",IF(OFFSET(AW$55,'Intermediate Data'!$CD129,0)=-98,"",IF(OFFSET(AW$55,'Intermediate Data'!$CD129,0)=-99,"N/A",OFFSET(AW$55,'Intermediate Data'!$CD129,0))))</f>
        <v/>
      </c>
      <c r="CH129" s="90" t="str">
        <f ca="1">IF($CD129="","",IF(OFFSET(AX$55,'Intermediate Data'!$CD129,0)=-98,"Unknown",IF(OFFSET(AX$55,'Intermediate Data'!$CD129,0)=-99,"N/A",OFFSET(AX$55,'Intermediate Data'!$CD129,0))))</f>
        <v/>
      </c>
      <c r="CI129" s="125" t="str">
        <f ca="1">IF($CD129="","",IF(OFFSET(AY$55,'Intermediate Data'!$CD129,0)=-98,"Unknown",IF(OFFSET(AY$55,'Intermediate Data'!$CD129,0)=-99,"No spec",OFFSET(AY$55,'Intermediate Data'!$CD129,0))))</f>
        <v/>
      </c>
      <c r="CJ129" s="125" t="str">
        <f ca="1">IF($CD129="","",IF(OFFSET(AZ$55,'Intermediate Data'!$CD129,0)=-98,"Unknown",IF(OFFSET(AZ$55,'Intermediate Data'!$CD129,0)=-99,"N/A",OFFSET(AZ$55,'Intermediate Data'!$CD129,0))))</f>
        <v/>
      </c>
      <c r="CK129" s="90" t="str">
        <f ca="1">IF($CD129="","",IF(OFFSET(BA$55,'Intermediate Data'!$CD129,0)=-98,"Unknown",IF(OFFSET(BA$55,'Intermediate Data'!$CD129,0)=-99,"N/A",OFFSET(BA$55,'Intermediate Data'!$CD129,0))))</f>
        <v/>
      </c>
      <c r="CL129" s="90" t="str">
        <f ca="1">IF($CD129="","",IF(OFFSET(BB$55,'Intermediate Data'!$CD129,$AX$50)=-98,"Unknown",IF(OFFSET(BB$55,'Intermediate Data'!$CD129,$AX$50)="N/A","",OFFSET(BB$55,'Intermediate Data'!$CD129,$AX$50))))</f>
        <v/>
      </c>
      <c r="CM129" s="90" t="str">
        <f ca="1">IF($CD129="","",IF(OFFSET(BG$55,'Intermediate Data'!$CD129,0)="ET","ET",""))</f>
        <v/>
      </c>
      <c r="CN129" s="90" t="str">
        <f ca="1">IF($CD129="","",IF(OFFSET(BH$55,'Intermediate Data'!$CD129,$AX$50)=-98,"Unknown",IF(OFFSET(BH$55,'Intermediate Data'!$CD129,$AX$50)="N/A","",OFFSET(BH$55,'Intermediate Data'!$CD129,$AX$50))))</f>
        <v/>
      </c>
      <c r="CO129" s="90" t="str">
        <f ca="1">IF($CD129="","",IF(OFFSET(BM$55,'Intermediate Data'!$CD129,0)=-98,"Not published",IF(OFFSET(BM$55,'Intermediate Data'!$CD129,0)=-99,"No spec",OFFSET(BM$55,'Intermediate Data'!$CD129,0))))</f>
        <v/>
      </c>
      <c r="CP129" s="114" t="str">
        <f ca="1">IF($CD129="","",IF(OFFSET(BN$55,'Intermediate Data'!$CD129,0)=-98,"Unknown",IF(OFFSET(BN$55,'Intermediate Data'!$CD129,0)=-99,"N/A",OFFSET(BN$55,'Intermediate Data'!$CD129,0))))</f>
        <v/>
      </c>
      <c r="CQ129" s="114" t="str">
        <f ca="1">IF($CD129="","",IF(OFFSET(BO$55,'Intermediate Data'!$CD129,0)=-98,"Unknown",IF(OFFSET(BO$55,'Intermediate Data'!$CD129,0)=-99,"N/A",OFFSET(BO$55,'Intermediate Data'!$CD129,0))))</f>
        <v/>
      </c>
      <c r="CR129" s="114" t="str">
        <f ca="1">IF($CD129="","",IF(OFFSET(BP$55,'Intermediate Data'!$CD129,0)=-98,"Unknown",IF(OFFSET(BP$55,'Intermediate Data'!$CD129,0)=-99,"N/A",OFFSET(BP$55,'Intermediate Data'!$CD129,0))))</f>
        <v/>
      </c>
      <c r="CS129" s="114" t="str">
        <f ca="1">IF($CD129="","",IF(OFFSET(BQ$55,'Intermediate Data'!$CD129,0)=-98,"Unknown",IF(OFFSET(BQ$55,'Intermediate Data'!$CD129,0)=-99,"N/A",OFFSET(BQ$55,'Intermediate Data'!$CD129,0))))</f>
        <v/>
      </c>
      <c r="CT129" s="114" t="str">
        <f ca="1">IF($CD129="","",IF(OFFSET(BR$55,'Intermediate Data'!$CD129,0)=-98,"Unknown",IF(OFFSET(BR$55,'Intermediate Data'!$CD129,0)=-99,"N/A",OFFSET(BR$55,'Intermediate Data'!$CD129,0))))</f>
        <v/>
      </c>
      <c r="CU129" s="114" t="str">
        <f ca="1">IF($CD129="","",IF(OFFSET(BS$55,'Intermediate Data'!$CD129,0)=-98,"Unknown",IF(OFFSET(BS$55,'Intermediate Data'!$CD129,0)=-99,"N/A",OFFSET(BS$55,'Intermediate Data'!$CD129,0))))</f>
        <v/>
      </c>
      <c r="CV129" s="114" t="str">
        <f ca="1">IF($CD129="","",IF(OFFSET(BT$55,'Intermediate Data'!$CD129,0)=-98,"Unknown",IF(OFFSET(BT$55,'Intermediate Data'!$CD129,0)=-99,"N/A",OFFSET(BT$55,'Intermediate Data'!$CD129,0))))</f>
        <v/>
      </c>
      <c r="CW129" s="114" t="str">
        <f ca="1">IF($CD129="","",IF(OFFSET(BU$55,'Intermediate Data'!$CD129,0)=-98,"Unknown",IF(OFFSET(BU$55,'Intermediate Data'!$CD129,0)=-99,"N/A",OFFSET(BU$55,'Intermediate Data'!$CD129,0))))</f>
        <v/>
      </c>
      <c r="CX129" s="114" t="str">
        <f ca="1">IF($CD129="","",IF(OFFSET(BV$55,'Intermediate Data'!$CD129,0)=-98,"Unknown",IF(OFFSET(BV$55,'Intermediate Data'!$CD129,0)=-99,"N/A",OFFSET(BV$55,'Intermediate Data'!$CD129,0))))</f>
        <v/>
      </c>
      <c r="CY129" s="682" t="str">
        <f ca="1">IF($CD129="","",IF(OFFSET(BW$55,'Intermediate Data'!$CD129,0)=-98,"Unknown",IF(OFFSET(BW$55,'Intermediate Data'!$CD129,0)="N/A","",OFFSET(BW$55,'Intermediate Data'!$CD129,0))))</f>
        <v/>
      </c>
      <c r="CZ129" s="682" t="str">
        <f ca="1">IF($CD129="","",IF(OFFSET(BX$55,'Intermediate Data'!$CD129,0)=-98,"Unknown",IF(OFFSET(BX$55,'Intermediate Data'!$CD129,0)="N/A","",OFFSET(BX$55,'Intermediate Data'!$CD129,0))))</f>
        <v/>
      </c>
      <c r="DA129" s="682" t="str">
        <f ca="1">IF($CD129="","",IF(OFFSET(BY$55,'Intermediate Data'!$CD129,0)=-98,"Unknown",IF(OFFSET(BY$55,'Intermediate Data'!$CD129,0)="N/A","",OFFSET(BY$55,'Intermediate Data'!$CD129,0))))</f>
        <v/>
      </c>
      <c r="DB129" s="682" t="str">
        <f ca="1">IF($CD129="","",IF(OFFSET(BZ$55,'Intermediate Data'!$CD129,0)=-98,"Unknown",IF(OFFSET(BZ$55,'Intermediate Data'!$CD129,0)="N/A","",OFFSET(BZ$55,'Intermediate Data'!$CD129,0))))</f>
        <v/>
      </c>
    </row>
    <row r="130" spans="1:106" x14ac:dyDescent="0.2">
      <c r="A130" s="90">
        <f ca="1">IF(OFFSET(DATA!F79,0,$D$48)='Intermediate Data'!$E$48,IF(OR($E$49=$C$27,$E$48=$B$4),DATA!A79,IF($G$49=DATA!D79,DATA!A79,"")),"")</f>
        <v>75</v>
      </c>
      <c r="B130" s="90">
        <f ca="1">IF($A130="","",DATA!EH79)</f>
        <v>52</v>
      </c>
      <c r="C130" s="90" t="str">
        <f ca="1">IF($A130="","",DATA!B79)</f>
        <v>Portable AC</v>
      </c>
      <c r="D130" s="90">
        <f ca="1">IF($A130="","",OFFSET(DATA!$H79,0,($D$50*5)))</f>
        <v>-99</v>
      </c>
      <c r="E130" s="90">
        <f ca="1">IF($A130="","",OFFSET(DATA!$H79,0,($D$50*5)+1))</f>
        <v>-99</v>
      </c>
      <c r="F130" s="90">
        <f ca="1">IF($A130="","",OFFSET(DATA!$H79,0,($D$50*5)+2))</f>
        <v>-99</v>
      </c>
      <c r="G130" s="90">
        <f ca="1">IF($A130="","",OFFSET(DATA!$H79,0,($D$50*5)+3))</f>
        <v>-99</v>
      </c>
      <c r="H130" s="90">
        <f ca="1">IF($A130="","",OFFSET(DATA!$H79,0,($D$50*5)+4))</f>
        <v>-99</v>
      </c>
      <c r="I130" s="90">
        <f t="shared" ca="1" si="17"/>
        <v>-99</v>
      </c>
      <c r="J130" s="90" t="str">
        <f t="shared" ca="1" si="18"/>
        <v/>
      </c>
      <c r="K130" s="90">
        <f ca="1">IF($A130="","",OFFSET(DATA!$AG79,0,($D$50*5)))</f>
        <v>-99</v>
      </c>
      <c r="L130" s="90">
        <f ca="1">IF($A130="","",OFFSET(DATA!$AG79,0,($D$50*5)+1))</f>
        <v>-99</v>
      </c>
      <c r="M130" s="90">
        <f ca="1">IF($A130="","",OFFSET(DATA!$AG79,0,($D$50*5)+2))</f>
        <v>-99</v>
      </c>
      <c r="N130" s="90">
        <f ca="1">IF($A130="","",OFFSET(DATA!$AG79,0,($D$50*5)+3))</f>
        <v>-99</v>
      </c>
      <c r="O130" s="90">
        <f ca="1">IF($A130="","",OFFSET(DATA!$AG79,0,($D$50*5)+4))</f>
        <v>-99</v>
      </c>
      <c r="P130" s="90">
        <f t="shared" ca="1" si="19"/>
        <v>-99</v>
      </c>
      <c r="Q130" s="90" t="str">
        <f t="shared" ca="1" si="20"/>
        <v/>
      </c>
      <c r="R130" s="699">
        <f ca="1">IF($A130="","",IF(DATA!BF79="",-99,DATA!BF79))</f>
        <v>-99</v>
      </c>
      <c r="S130" s="90">
        <f ca="1">IF($A130="","",IF(DATA!BG79="",-99,DATA!BF79-DATA!BG79))</f>
        <v>-99</v>
      </c>
      <c r="T130" s="90">
        <f ca="1">IF($A130="","",DATA!BH79)</f>
        <v>-99</v>
      </c>
      <c r="U130" s="90">
        <f ca="1">IF($A130="","",OFFSET(DATA!BM79,0,$D$48))</f>
        <v>-99</v>
      </c>
      <c r="V130" s="90">
        <f t="shared" ca="1" si="16"/>
        <v>52</v>
      </c>
      <c r="W130" s="99">
        <f t="shared" ca="1" si="21"/>
        <v>51.999881201299999</v>
      </c>
      <c r="X130" s="112">
        <f t="shared" ca="1" si="22"/>
        <v>54.000220744153495</v>
      </c>
      <c r="Y130" s="90">
        <f t="shared" ca="1" si="23"/>
        <v>16</v>
      </c>
      <c r="AA130" s="90" t="str">
        <f ca="1">IF($Y130="","",IF(OFFSET(C$55,'Intermediate Data'!$Y130,0)=-98,"Unknown",IF(OFFSET(C$55,'Intermediate Data'!$Y130,0)=-99,"N/A",OFFSET(C$55,'Intermediate Data'!$Y130,0))))</f>
        <v>Pool pump</v>
      </c>
      <c r="AB130" s="90" t="str">
        <f ca="1">IF($Y130="","",IF(OFFSET(D$55,'Intermediate Data'!$Y130,0)=-98,"N/A",IF(OFFSET(D$55,'Intermediate Data'!$Y130,0)=-99,"N/A",OFFSET(D$55,'Intermediate Data'!$Y130,0))))</f>
        <v>N/A</v>
      </c>
      <c r="AC130" s="90">
        <f ca="1">IF($Y130="","",IF(OFFSET(E$55,'Intermediate Data'!$Y130,0)=-98,"N/A",IF(OFFSET(E$55,'Intermediate Data'!$Y130,0)=-99,"N/A",OFFSET(E$55,'Intermediate Data'!$Y130,0))))</f>
        <v>8.981819405146052E-2</v>
      </c>
      <c r="AD130" s="90">
        <f ca="1">IF($Y130="","",IF(OFFSET(F$55,'Intermediate Data'!$Y130,0)=-98,"N/A",IF(OFFSET(F$55,'Intermediate Data'!$Y130,0)=-99,"N/A",OFFSET(F$55,'Intermediate Data'!$Y130,0))))</f>
        <v>7.0588235294117646E-2</v>
      </c>
      <c r="AE130" s="90">
        <f ca="1">IF($Y130="","",IF(OFFSET(G$55,'Intermediate Data'!$Y130,0)=-98,"N/A",IF(OFFSET(G$55,'Intermediate Data'!$Y130,0)=-99,"N/A",OFFSET(G$55,'Intermediate Data'!$Y130,0))))</f>
        <v>0.10602847719599769</v>
      </c>
      <c r="AF130" s="90">
        <f ca="1">IF($Y130="","",IF(OFFSET(H$55,'Intermediate Data'!$Y130,0)=-98,"N/A",IF(OFFSET(H$55,'Intermediate Data'!$Y130,0)=-99,"N/A",OFFSET(H$55,'Intermediate Data'!$Y130,0))))</f>
        <v>8.4000000000000005E-2</v>
      </c>
      <c r="AG130" s="90">
        <f ca="1">IF($Y130="","",IF(OFFSET(I$55,'Intermediate Data'!$Y130,0)=-98,"N/A",IF(OFFSET(I$55,'Intermediate Data'!$Y130,0)=-99,"N/A",OFFSET(I$55,'Intermediate Data'!$Y130,0))))</f>
        <v>8.4000000000000005E-2</v>
      </c>
      <c r="AH130" s="90" t="str">
        <f ca="1">IF($Y130="","",IF(OFFSET(J$55,'Intermediate Data'!$Y130,0)=-98,"N/A",IF(OFFSET(J$55,'Intermediate Data'!$Y130,0)=-99,"N/A",OFFSET(J$55,'Intermediate Data'!$Y130,0))))</f>
        <v>CLASS</v>
      </c>
      <c r="AI130" s="90" t="str">
        <f ca="1">IF($Y130="","",IF(OFFSET(K$55,'Intermediate Data'!$Y130,0)=-98,"N/A",IF(OFFSET(K$55,'Intermediate Data'!$Y130,0)=-99,"N/A",OFFSET(K$55,'Intermediate Data'!$Y130,0))))</f>
        <v>N/A</v>
      </c>
      <c r="AJ130" s="90" t="str">
        <f ca="1">IF($Y130="","",IF(OFFSET(L$55,'Intermediate Data'!$Y130,0)=-98,"N/A",IF(OFFSET(L$55,'Intermediate Data'!$Y130,0)=-99,"N/A",OFFSET(L$55,'Intermediate Data'!$Y130,0))))</f>
        <v>N/A</v>
      </c>
      <c r="AK130" s="90" t="str">
        <f ca="1">IF($Y130="","",IF(OFFSET(M$55,'Intermediate Data'!$Y130,0)=-98,"N/A",IF(OFFSET(M$55,'Intermediate Data'!$Y130,0)=-99,"N/A",OFFSET(M$55,'Intermediate Data'!$Y130,0))))</f>
        <v>N/A</v>
      </c>
      <c r="AL130" s="90" t="str">
        <f ca="1">IF($Y130="","",IF(OFFSET(N$55,'Intermediate Data'!$Y130,0)=-98,"N/A",IF(OFFSET(N$55,'Intermediate Data'!$Y130,0)=-99,"N/A",OFFSET(N$55,'Intermediate Data'!$Y130,0))))</f>
        <v>N/A</v>
      </c>
      <c r="AM130" s="90" t="str">
        <f ca="1">IF($Y130="","",IF(OFFSET(O$55,'Intermediate Data'!$Y130,0)=-98,"N/A",IF(OFFSET(O$55,'Intermediate Data'!$Y130,0)=-99,"N/A",OFFSET(O$55,'Intermediate Data'!$Y130,0))))</f>
        <v>N/A</v>
      </c>
      <c r="AN130" s="90" t="str">
        <f ca="1">IF($Y130="","",IF(OFFSET(P$55,'Intermediate Data'!$Y130,0)=-98,"N/A",IF(OFFSET(P$55,'Intermediate Data'!$Y130,0)=-99,"N/A",OFFSET(P$55,'Intermediate Data'!$Y130,0))))</f>
        <v>N/A</v>
      </c>
      <c r="AO130" s="90" t="str">
        <f ca="1">IF($Y130="","",IF(OFFSET(Q$55,'Intermediate Data'!$Y130,0)=-98,"N/A",IF(OFFSET(Q$55,'Intermediate Data'!$Y130,0)=-99,"N/A",OFFSET(Q$55,'Intermediate Data'!$Y130,0))))</f>
        <v/>
      </c>
      <c r="AP130" s="697" t="str">
        <f ca="1">IF($Y130="","",IF(OFFSET(S$55,'Intermediate Data'!$Y130,0)=-98,"",IF(OFFSET(S$55,'Intermediate Data'!$Y130,0)=-99,"",OFFSET(S$55,'Intermediate Data'!$Y130,0))))</f>
        <v/>
      </c>
      <c r="AQ130" s="90" t="str">
        <f ca="1">IF($Y130="","",IF(OFFSET(T$55,'Intermediate Data'!$Y130,0)=-98,"Not published",IF(OFFSET(T$55,'Intermediate Data'!$Y130,0)=-99,"",OFFSET(T$55,'Intermediate Data'!$Y130,0))))</f>
        <v>Not published</v>
      </c>
      <c r="AR130" s="90">
        <f ca="1">IF($Y130="","",IF(OFFSET(U$55,'Intermediate Data'!$Y130,0)=-98,"Unknown",IF(OFFSET(U$55,'Intermediate Data'!$Y130,0)=-99,"",OFFSET(U$55,'Intermediate Data'!$Y130,0))))</f>
        <v>2800</v>
      </c>
      <c r="AU130" s="112" t="str">
        <f ca="1">IF(AND(OFFSET(DATA!$F79,0,$AX$48)='Intermediate Data'!$AY$48,DATA!$E79="Tier 1"),IF(OR($AX$49=0,$AX$48=1),DATA!A79,IF(AND($AX$49=1,INDEX('Intermediate Data'!$AY$25:$AY$44,MATCH(DATA!$B79,'Intermediate Data'!$AX$25:$AX$44,0))=TRUE),DATA!A79,"")),"")</f>
        <v/>
      </c>
      <c r="AV130" s="112" t="str">
        <f ca="1">IF($AU130="","",DATA!B79)</f>
        <v/>
      </c>
      <c r="AW130" s="112" t="str">
        <f ca="1">IF(OR($AU130="",DATA!BI79=""),"",DATA!BI79)</f>
        <v/>
      </c>
      <c r="AX130" s="112" t="str">
        <f ca="1">IF(OR($AU130="",OFFSET(DATA!BK79,0,$AX$48)=""),"",OFFSET(DATA!BK79,0,$AX$48))</f>
        <v/>
      </c>
      <c r="AY130" s="112" t="str">
        <f ca="1">IF(OR($AU130="",OFFSET(DATA!BM79,0,$AX$48)=""),"",OFFSET(DATA!BM79,0,$AX$48))</f>
        <v/>
      </c>
      <c r="AZ130" s="112" t="str">
        <f ca="1">IF(OR($AU130="",OFFSET(DATA!BO79,0,'Intermediate Data'!$AX$48)=""),"",OFFSET(DATA!BO79,0,$AX$48))</f>
        <v/>
      </c>
      <c r="BA130" s="112" t="str">
        <f ca="1">IF(OR($AU130="",DATA!BQ79=""),"",DATA!BQ79)</f>
        <v/>
      </c>
      <c r="BB130" s="112" t="str">
        <f ca="1">IF($AU130="","",OFFSET(DATA!BS79,0,$AX$48))</f>
        <v/>
      </c>
      <c r="BC130" s="112" t="str">
        <f ca="1">IF($AU130="","",OFFSET(DATA!BU79,0,$AX$48))</f>
        <v/>
      </c>
      <c r="BD130" s="112" t="str">
        <f ca="1">IF($AU130="","",OFFSET(DATA!BW79,0,$AX$48))</f>
        <v/>
      </c>
      <c r="BE130" s="112" t="str">
        <f ca="1">IF($AU130="","",OFFSET(DATA!BY79,0,$AX$48))</f>
        <v/>
      </c>
      <c r="BF130" s="112" t="str">
        <f ca="1">IF($AU130="","",OFFSET(DATA!CA79,0,$AX$48))</f>
        <v/>
      </c>
      <c r="BG130" s="112" t="str">
        <f ca="1">IF($AU130="","",DATA!CC79)</f>
        <v/>
      </c>
      <c r="BH130" s="112" t="str">
        <f ca="1">IF($AU130="","",OFFSET(DATA!CE79,0,$AX$48))</f>
        <v/>
      </c>
      <c r="BI130" s="112" t="str">
        <f ca="1">IF($AU130="","",OFFSET(DATA!CG79,0,$AX$48))</f>
        <v/>
      </c>
      <c r="BJ130" s="112" t="str">
        <f ca="1">IF($AU130="","",OFFSET(DATA!CI79,0,$AX$48))</f>
        <v/>
      </c>
      <c r="BK130" s="112" t="str">
        <f ca="1">IF($AU130="","",OFFSET(DATA!CK79,0,$AX$48))</f>
        <v/>
      </c>
      <c r="BL130" s="112" t="str">
        <f ca="1">IF($AU130="","",OFFSET(DATA!CM79,0,$AX$48))</f>
        <v/>
      </c>
      <c r="BM130" s="112" t="str">
        <f ca="1">IF($AU130="","",DATA!BH79)</f>
        <v/>
      </c>
      <c r="BN130" s="112" t="str">
        <f ca="1">IF($AU130="","",DATA!DS79)</f>
        <v/>
      </c>
      <c r="BO130" s="112" t="str">
        <f ca="1">IF($AU130="","",DATA!DU79)</f>
        <v/>
      </c>
      <c r="BP130" s="112" t="str">
        <f ca="1">IF($AU130="","",DATA!DV79)</f>
        <v/>
      </c>
      <c r="BQ130" s="112" t="str">
        <f ca="1">IF($AU130="","",DATA!DX79)</f>
        <v/>
      </c>
      <c r="BR130" s="112" t="str">
        <f ca="1">IF($AU130="","",DATA!DZ79)</f>
        <v/>
      </c>
      <c r="BS130" s="171" t="str">
        <f ca="1">IF($AU130="","",DATA!EA79)</f>
        <v/>
      </c>
      <c r="BT130" s="171" t="str">
        <f ca="1">IF($AU130="","",DATA!EC79)</f>
        <v/>
      </c>
      <c r="BU130" s="171" t="str">
        <f ca="1">IF($AU130="","",DATA!EF79)</f>
        <v/>
      </c>
      <c r="BV130" s="113" t="str">
        <f t="shared" ca="1" si="24"/>
        <v/>
      </c>
      <c r="BW130" s="680" t="str">
        <f ca="1">IF(AU130="","",OFFSET(DATA!DC79,0,'Intermediate Data'!$AX$48))</f>
        <v/>
      </c>
      <c r="BX130" s="681" t="str">
        <f ca="1">IF($AU130="","",DATA!DG79)</f>
        <v/>
      </c>
      <c r="BY130" s="680" t="str">
        <f ca="1">IF($AU130="","",OFFSET(DATA!DE79,0,'Intermediate Data'!$AX$48))</f>
        <v/>
      </c>
      <c r="BZ130" s="681" t="str">
        <f ca="1">IF($AU130="","",DATA!DH79)</f>
        <v/>
      </c>
      <c r="CA130" s="90" t="str">
        <f t="shared" ca="1" si="25"/>
        <v/>
      </c>
      <c r="CB130" s="99" t="str">
        <f t="shared" ca="1" si="26"/>
        <v/>
      </c>
      <c r="CC130" s="90" t="str">
        <f t="shared" ca="1" si="27"/>
        <v/>
      </c>
      <c r="CD130" s="90" t="str">
        <f t="shared" ca="1" si="28"/>
        <v/>
      </c>
      <c r="CF130" s="90" t="str">
        <f ca="1">IF($CD130="","",IF(OFFSET(AV$55,'Intermediate Data'!$CD130,0)=-98,"Unknown",IF(OFFSET(AV$55,'Intermediate Data'!$CD130,0)=-99,"N/A",OFFSET(AV$55,'Intermediate Data'!$CD130,0))))</f>
        <v/>
      </c>
      <c r="CG130" s="90" t="str">
        <f ca="1">IF($CD130="","",IF(OFFSET(AW$55,'Intermediate Data'!$CD130,0)=-98,"",IF(OFFSET(AW$55,'Intermediate Data'!$CD130,0)=-99,"N/A",OFFSET(AW$55,'Intermediate Data'!$CD130,0))))</f>
        <v/>
      </c>
      <c r="CH130" s="90" t="str">
        <f ca="1">IF($CD130="","",IF(OFFSET(AX$55,'Intermediate Data'!$CD130,0)=-98,"Unknown",IF(OFFSET(AX$55,'Intermediate Data'!$CD130,0)=-99,"N/A",OFFSET(AX$55,'Intermediate Data'!$CD130,0))))</f>
        <v/>
      </c>
      <c r="CI130" s="125" t="str">
        <f ca="1">IF($CD130="","",IF(OFFSET(AY$55,'Intermediate Data'!$CD130,0)=-98,"Unknown",IF(OFFSET(AY$55,'Intermediate Data'!$CD130,0)=-99,"No spec",OFFSET(AY$55,'Intermediate Data'!$CD130,0))))</f>
        <v/>
      </c>
      <c r="CJ130" s="125" t="str">
        <f ca="1">IF($CD130="","",IF(OFFSET(AZ$55,'Intermediate Data'!$CD130,0)=-98,"Unknown",IF(OFFSET(AZ$55,'Intermediate Data'!$CD130,0)=-99,"N/A",OFFSET(AZ$55,'Intermediate Data'!$CD130,0))))</f>
        <v/>
      </c>
      <c r="CK130" s="90" t="str">
        <f ca="1">IF($CD130="","",IF(OFFSET(BA$55,'Intermediate Data'!$CD130,0)=-98,"Unknown",IF(OFFSET(BA$55,'Intermediate Data'!$CD130,0)=-99,"N/A",OFFSET(BA$55,'Intermediate Data'!$CD130,0))))</f>
        <v/>
      </c>
      <c r="CL130" s="90" t="str">
        <f ca="1">IF($CD130="","",IF(OFFSET(BB$55,'Intermediate Data'!$CD130,$AX$50)=-98,"Unknown",IF(OFFSET(BB$55,'Intermediate Data'!$CD130,$AX$50)="N/A","",OFFSET(BB$55,'Intermediate Data'!$CD130,$AX$50))))</f>
        <v/>
      </c>
      <c r="CM130" s="90" t="str">
        <f ca="1">IF($CD130="","",IF(OFFSET(BG$55,'Intermediate Data'!$CD130,0)="ET","ET",""))</f>
        <v/>
      </c>
      <c r="CN130" s="90" t="str">
        <f ca="1">IF($CD130="","",IF(OFFSET(BH$55,'Intermediate Data'!$CD130,$AX$50)=-98,"Unknown",IF(OFFSET(BH$55,'Intermediate Data'!$CD130,$AX$50)="N/A","",OFFSET(BH$55,'Intermediate Data'!$CD130,$AX$50))))</f>
        <v/>
      </c>
      <c r="CO130" s="90" t="str">
        <f ca="1">IF($CD130="","",IF(OFFSET(BM$55,'Intermediate Data'!$CD130,0)=-98,"Not published",IF(OFFSET(BM$55,'Intermediate Data'!$CD130,0)=-99,"No spec",OFFSET(BM$55,'Intermediate Data'!$CD130,0))))</f>
        <v/>
      </c>
      <c r="CP130" s="114" t="str">
        <f ca="1">IF($CD130="","",IF(OFFSET(BN$55,'Intermediate Data'!$CD130,0)=-98,"Unknown",IF(OFFSET(BN$55,'Intermediate Data'!$CD130,0)=-99,"N/A",OFFSET(BN$55,'Intermediate Data'!$CD130,0))))</f>
        <v/>
      </c>
      <c r="CQ130" s="114" t="str">
        <f ca="1">IF($CD130="","",IF(OFFSET(BO$55,'Intermediate Data'!$CD130,0)=-98,"Unknown",IF(OFFSET(BO$55,'Intermediate Data'!$CD130,0)=-99,"N/A",OFFSET(BO$55,'Intermediate Data'!$CD130,0))))</f>
        <v/>
      </c>
      <c r="CR130" s="114" t="str">
        <f ca="1">IF($CD130="","",IF(OFFSET(BP$55,'Intermediate Data'!$CD130,0)=-98,"Unknown",IF(OFFSET(BP$55,'Intermediate Data'!$CD130,0)=-99,"N/A",OFFSET(BP$55,'Intermediate Data'!$CD130,0))))</f>
        <v/>
      </c>
      <c r="CS130" s="114" t="str">
        <f ca="1">IF($CD130="","",IF(OFFSET(BQ$55,'Intermediate Data'!$CD130,0)=-98,"Unknown",IF(OFFSET(BQ$55,'Intermediate Data'!$CD130,0)=-99,"N/A",OFFSET(BQ$55,'Intermediate Data'!$CD130,0))))</f>
        <v/>
      </c>
      <c r="CT130" s="114" t="str">
        <f ca="1">IF($CD130="","",IF(OFFSET(BR$55,'Intermediate Data'!$CD130,0)=-98,"Unknown",IF(OFFSET(BR$55,'Intermediate Data'!$CD130,0)=-99,"N/A",OFFSET(BR$55,'Intermediate Data'!$CD130,0))))</f>
        <v/>
      </c>
      <c r="CU130" s="114" t="str">
        <f ca="1">IF($CD130="","",IF(OFFSET(BS$55,'Intermediate Data'!$CD130,0)=-98,"Unknown",IF(OFFSET(BS$55,'Intermediate Data'!$CD130,0)=-99,"N/A",OFFSET(BS$55,'Intermediate Data'!$CD130,0))))</f>
        <v/>
      </c>
      <c r="CV130" s="114" t="str">
        <f ca="1">IF($CD130="","",IF(OFFSET(BT$55,'Intermediate Data'!$CD130,0)=-98,"Unknown",IF(OFFSET(BT$55,'Intermediate Data'!$CD130,0)=-99,"N/A",OFFSET(BT$55,'Intermediate Data'!$CD130,0))))</f>
        <v/>
      </c>
      <c r="CW130" s="114" t="str">
        <f ca="1">IF($CD130="","",IF(OFFSET(BU$55,'Intermediate Data'!$CD130,0)=-98,"Unknown",IF(OFFSET(BU$55,'Intermediate Data'!$CD130,0)=-99,"N/A",OFFSET(BU$55,'Intermediate Data'!$CD130,0))))</f>
        <v/>
      </c>
      <c r="CX130" s="114" t="str">
        <f ca="1">IF($CD130="","",IF(OFFSET(BV$55,'Intermediate Data'!$CD130,0)=-98,"Unknown",IF(OFFSET(BV$55,'Intermediate Data'!$CD130,0)=-99,"N/A",OFFSET(BV$55,'Intermediate Data'!$CD130,0))))</f>
        <v/>
      </c>
      <c r="CY130" s="682" t="str">
        <f ca="1">IF($CD130="","",IF(OFFSET(BW$55,'Intermediate Data'!$CD130,0)=-98,"Unknown",IF(OFFSET(BW$55,'Intermediate Data'!$CD130,0)="N/A","",OFFSET(BW$55,'Intermediate Data'!$CD130,0))))</f>
        <v/>
      </c>
      <c r="CZ130" s="682" t="str">
        <f ca="1">IF($CD130="","",IF(OFFSET(BX$55,'Intermediate Data'!$CD130,0)=-98,"Unknown",IF(OFFSET(BX$55,'Intermediate Data'!$CD130,0)="N/A","",OFFSET(BX$55,'Intermediate Data'!$CD130,0))))</f>
        <v/>
      </c>
      <c r="DA130" s="682" t="str">
        <f ca="1">IF($CD130="","",IF(OFFSET(BY$55,'Intermediate Data'!$CD130,0)=-98,"Unknown",IF(OFFSET(BY$55,'Intermediate Data'!$CD130,0)="N/A","",OFFSET(BY$55,'Intermediate Data'!$CD130,0))))</f>
        <v/>
      </c>
      <c r="DB130" s="682" t="str">
        <f ca="1">IF($CD130="","",IF(OFFSET(BZ$55,'Intermediate Data'!$CD130,0)=-98,"Unknown",IF(OFFSET(BZ$55,'Intermediate Data'!$CD130,0)="N/A","",OFFSET(BZ$55,'Intermediate Data'!$CD130,0))))</f>
        <v/>
      </c>
    </row>
    <row r="131" spans="1:106" x14ac:dyDescent="0.2">
      <c r="A131" s="90">
        <f ca="1">IF(OFFSET(DATA!F80,0,$D$48)='Intermediate Data'!$E$48,IF(OR($E$49=$C$27,$E$48=$B$4),DATA!A80,IF($G$49=DATA!D80,DATA!A80,"")),"")</f>
        <v>76</v>
      </c>
      <c r="B131" s="90">
        <f ca="1">IF($A131="","",DATA!EH80)</f>
        <v>50</v>
      </c>
      <c r="C131" s="90" t="str">
        <f ca="1">IF($A131="","",DATA!B80)</f>
        <v>Portable fan</v>
      </c>
      <c r="D131" s="90">
        <f ca="1">IF($A131="","",OFFSET(DATA!$H80,0,($D$50*5)))</f>
        <v>-99</v>
      </c>
      <c r="E131" s="90">
        <f ca="1">IF($A131="","",OFFSET(DATA!$H80,0,($D$50*5)+1))</f>
        <v>0.61502267205466932</v>
      </c>
      <c r="F131" s="90">
        <f ca="1">IF($A131="","",OFFSET(DATA!$H80,0,($D$50*5)+2))</f>
        <v>-99</v>
      </c>
      <c r="G131" s="90">
        <f ca="1">IF($A131="","",OFFSET(DATA!$H80,0,($D$50*5)+3))</f>
        <v>0.47905184261192296</v>
      </c>
      <c r="H131" s="90">
        <f ca="1">IF($A131="","",OFFSET(DATA!$H80,0,($D$50*5)+4))</f>
        <v>-99</v>
      </c>
      <c r="I131" s="90">
        <f t="shared" ca="1" si="17"/>
        <v>0.47905184261192296</v>
      </c>
      <c r="J131" s="90" t="str">
        <f t="shared" ca="1" si="18"/>
        <v>RASS</v>
      </c>
      <c r="K131" s="90">
        <f ca="1">IF($A131="","",OFFSET(DATA!$AG80,0,($D$50*5)))</f>
        <v>-99</v>
      </c>
      <c r="L131" s="90">
        <f ca="1">IF($A131="","",OFFSET(DATA!$AG80,0,($D$50*5)+1))</f>
        <v>0.99578941510944174</v>
      </c>
      <c r="M131" s="90">
        <f ca="1">IF($A131="","",OFFSET(DATA!$AG80,0,($D$50*5)+2))</f>
        <v>-99</v>
      </c>
      <c r="N131" s="90">
        <f ca="1">IF($A131="","",OFFSET(DATA!$AG80,0,($D$50*5)+3))</f>
        <v>0.74921190581772601</v>
      </c>
      <c r="O131" s="90">
        <f ca="1">IF($A131="","",OFFSET(DATA!$AG80,0,($D$50*5)+4))</f>
        <v>-99</v>
      </c>
      <c r="P131" s="90">
        <f t="shared" ca="1" si="19"/>
        <v>0.74921190581772601</v>
      </c>
      <c r="Q131" s="90" t="str">
        <f t="shared" ca="1" si="20"/>
        <v>RASS</v>
      </c>
      <c r="R131" s="699">
        <f ca="1">IF($A131="","",IF(DATA!BF80="",-99,DATA!BF80))</f>
        <v>-99</v>
      </c>
      <c r="S131" s="90">
        <f ca="1">IF($A131="","",IF(DATA!BG80="",-99,DATA!BF80-DATA!BG80))</f>
        <v>-99</v>
      </c>
      <c r="T131" s="90">
        <f ca="1">IF($A131="","",DATA!BH80)</f>
        <v>-99</v>
      </c>
      <c r="U131" s="90">
        <f ca="1">IF($A131="","",OFFSET(DATA!BM80,0,$D$48))</f>
        <v>-99</v>
      </c>
      <c r="V131" s="90">
        <f t="shared" ca="1" si="16"/>
        <v>50</v>
      </c>
      <c r="W131" s="99">
        <f t="shared" ca="1" si="21"/>
        <v>49.99993103312277</v>
      </c>
      <c r="X131" s="112">
        <f t="shared" ca="1" si="22"/>
        <v>52.99988120095</v>
      </c>
      <c r="Y131" s="90">
        <f t="shared" ca="1" si="23"/>
        <v>40</v>
      </c>
      <c r="AA131" s="90" t="str">
        <f ca="1">IF($Y131="","",IF(OFFSET(C$55,'Intermediate Data'!$Y131,0)=-98,"Unknown",IF(OFFSET(C$55,'Intermediate Data'!$Y131,0)=-99,"N/A",OFFSET(C$55,'Intermediate Data'!$Y131,0))))</f>
        <v>Popcorn maker</v>
      </c>
      <c r="AB131" s="90" t="str">
        <f ca="1">IF($Y131="","",IF(OFFSET(D$55,'Intermediate Data'!$Y131,0)=-98,"N/A",IF(OFFSET(D$55,'Intermediate Data'!$Y131,0)=-99,"N/A",OFFSET(D$55,'Intermediate Data'!$Y131,0))))</f>
        <v>N/A</v>
      </c>
      <c r="AC131" s="90" t="str">
        <f ca="1">IF($Y131="","",IF(OFFSET(E$55,'Intermediate Data'!$Y131,0)=-98,"N/A",IF(OFFSET(E$55,'Intermediate Data'!$Y131,0)=-99,"N/A",OFFSET(E$55,'Intermediate Data'!$Y131,0))))</f>
        <v>N/A</v>
      </c>
      <c r="AD131" s="90" t="str">
        <f ca="1">IF($Y131="","",IF(OFFSET(F$55,'Intermediate Data'!$Y131,0)=-98,"N/A",IF(OFFSET(F$55,'Intermediate Data'!$Y131,0)=-99,"N/A",OFFSET(F$55,'Intermediate Data'!$Y131,0))))</f>
        <v>N/A</v>
      </c>
      <c r="AE131" s="90" t="str">
        <f ca="1">IF($Y131="","",IF(OFFSET(G$55,'Intermediate Data'!$Y131,0)=-98,"N/A",IF(OFFSET(G$55,'Intermediate Data'!$Y131,0)=-99,"N/A",OFFSET(G$55,'Intermediate Data'!$Y131,0))))</f>
        <v>N/A</v>
      </c>
      <c r="AF131" s="90" t="str">
        <f ca="1">IF($Y131="","",IF(OFFSET(H$55,'Intermediate Data'!$Y131,0)=-98,"N/A",IF(OFFSET(H$55,'Intermediate Data'!$Y131,0)=-99,"N/A",OFFSET(H$55,'Intermediate Data'!$Y131,0))))</f>
        <v>N/A</v>
      </c>
      <c r="AG131" s="90" t="str">
        <f ca="1">IF($Y131="","",IF(OFFSET(I$55,'Intermediate Data'!$Y131,0)=-98,"N/A",IF(OFFSET(I$55,'Intermediate Data'!$Y131,0)=-99,"N/A",OFFSET(I$55,'Intermediate Data'!$Y131,0))))</f>
        <v>N/A</v>
      </c>
      <c r="AH131" s="90" t="str">
        <f ca="1">IF($Y131="","",IF(OFFSET(J$55,'Intermediate Data'!$Y131,0)=-98,"N/A",IF(OFFSET(J$55,'Intermediate Data'!$Y131,0)=-99,"N/A",OFFSET(J$55,'Intermediate Data'!$Y131,0))))</f>
        <v/>
      </c>
      <c r="AI131" s="90" t="str">
        <f ca="1">IF($Y131="","",IF(OFFSET(K$55,'Intermediate Data'!$Y131,0)=-98,"N/A",IF(OFFSET(K$55,'Intermediate Data'!$Y131,0)=-99,"N/A",OFFSET(K$55,'Intermediate Data'!$Y131,0))))</f>
        <v>N/A</v>
      </c>
      <c r="AJ131" s="90" t="str">
        <f ca="1">IF($Y131="","",IF(OFFSET(L$55,'Intermediate Data'!$Y131,0)=-98,"N/A",IF(OFFSET(L$55,'Intermediate Data'!$Y131,0)=-99,"N/A",OFFSET(L$55,'Intermediate Data'!$Y131,0))))</f>
        <v>N/A</v>
      </c>
      <c r="AK131" s="90" t="str">
        <f ca="1">IF($Y131="","",IF(OFFSET(M$55,'Intermediate Data'!$Y131,0)=-98,"N/A",IF(OFFSET(M$55,'Intermediate Data'!$Y131,0)=-99,"N/A",OFFSET(M$55,'Intermediate Data'!$Y131,0))))</f>
        <v>N/A</v>
      </c>
      <c r="AL131" s="90" t="str">
        <f ca="1">IF($Y131="","",IF(OFFSET(N$55,'Intermediate Data'!$Y131,0)=-98,"N/A",IF(OFFSET(N$55,'Intermediate Data'!$Y131,0)=-99,"N/A",OFFSET(N$55,'Intermediate Data'!$Y131,0))))</f>
        <v>N/A</v>
      </c>
      <c r="AM131" s="90" t="str">
        <f ca="1">IF($Y131="","",IF(OFFSET(O$55,'Intermediate Data'!$Y131,0)=-98,"N/A",IF(OFFSET(O$55,'Intermediate Data'!$Y131,0)=-99,"N/A",OFFSET(O$55,'Intermediate Data'!$Y131,0))))</f>
        <v>N/A</v>
      </c>
      <c r="AN131" s="90" t="str">
        <f ca="1">IF($Y131="","",IF(OFFSET(P$55,'Intermediate Data'!$Y131,0)=-98,"N/A",IF(OFFSET(P$55,'Intermediate Data'!$Y131,0)=-99,"N/A",OFFSET(P$55,'Intermediate Data'!$Y131,0))))</f>
        <v>N/A</v>
      </c>
      <c r="AO131" s="90" t="str">
        <f ca="1">IF($Y131="","",IF(OFFSET(Q$55,'Intermediate Data'!$Y131,0)=-98,"N/A",IF(OFFSET(Q$55,'Intermediate Data'!$Y131,0)=-99,"N/A",OFFSET(Q$55,'Intermediate Data'!$Y131,0))))</f>
        <v/>
      </c>
      <c r="AP131" s="697" t="str">
        <f ca="1">IF($Y131="","",IF(OFFSET(S$55,'Intermediate Data'!$Y131,0)=-98,"",IF(OFFSET(S$55,'Intermediate Data'!$Y131,0)=-99,"",OFFSET(S$55,'Intermediate Data'!$Y131,0))))</f>
        <v/>
      </c>
      <c r="AQ131" s="90" t="str">
        <f ca="1">IF($Y131="","",IF(OFFSET(T$55,'Intermediate Data'!$Y131,0)=-98,"Not published",IF(OFFSET(T$55,'Intermediate Data'!$Y131,0)=-99,"",OFFSET(T$55,'Intermediate Data'!$Y131,0))))</f>
        <v/>
      </c>
      <c r="AR131" s="90" t="str">
        <f ca="1">IF($Y131="","",IF(OFFSET(U$55,'Intermediate Data'!$Y131,0)=-98,"Unknown",IF(OFFSET(U$55,'Intermediate Data'!$Y131,0)=-99,"",OFFSET(U$55,'Intermediate Data'!$Y131,0))))</f>
        <v/>
      </c>
      <c r="AU131" s="112" t="str">
        <f ca="1">IF(AND(OFFSET(DATA!$F80,0,$AX$48)='Intermediate Data'!$AY$48,DATA!$E80="Tier 1"),IF(OR($AX$49=0,$AX$48=1),DATA!A80,IF(AND($AX$49=1,INDEX('Intermediate Data'!$AY$25:$AY$44,MATCH(DATA!$B80,'Intermediate Data'!$AX$25:$AX$44,0))=TRUE),DATA!A80,"")),"")</f>
        <v/>
      </c>
      <c r="AV131" s="112" t="str">
        <f ca="1">IF($AU131="","",DATA!B80)</f>
        <v/>
      </c>
      <c r="AW131" s="112" t="str">
        <f ca="1">IF(OR($AU131="",DATA!BI80=""),"",DATA!BI80)</f>
        <v/>
      </c>
      <c r="AX131" s="112" t="str">
        <f ca="1">IF(OR($AU131="",OFFSET(DATA!BK80,0,$AX$48)=""),"",OFFSET(DATA!BK80,0,$AX$48))</f>
        <v/>
      </c>
      <c r="AY131" s="112" t="str">
        <f ca="1">IF(OR($AU131="",OFFSET(DATA!BM80,0,$AX$48)=""),"",OFFSET(DATA!BM80,0,$AX$48))</f>
        <v/>
      </c>
      <c r="AZ131" s="112" t="str">
        <f ca="1">IF(OR($AU131="",OFFSET(DATA!BO80,0,'Intermediate Data'!$AX$48)=""),"",OFFSET(DATA!BO80,0,$AX$48))</f>
        <v/>
      </c>
      <c r="BA131" s="112" t="str">
        <f ca="1">IF(OR($AU131="",DATA!BQ80=""),"",DATA!BQ80)</f>
        <v/>
      </c>
      <c r="BB131" s="112" t="str">
        <f ca="1">IF($AU131="","",OFFSET(DATA!BS80,0,$AX$48))</f>
        <v/>
      </c>
      <c r="BC131" s="112" t="str">
        <f ca="1">IF($AU131="","",OFFSET(DATA!BU80,0,$AX$48))</f>
        <v/>
      </c>
      <c r="BD131" s="112" t="str">
        <f ca="1">IF($AU131="","",OFFSET(DATA!BW80,0,$AX$48))</f>
        <v/>
      </c>
      <c r="BE131" s="112" t="str">
        <f ca="1">IF($AU131="","",OFFSET(DATA!BY80,0,$AX$48))</f>
        <v/>
      </c>
      <c r="BF131" s="112" t="str">
        <f ca="1">IF($AU131="","",OFFSET(DATA!CA80,0,$AX$48))</f>
        <v/>
      </c>
      <c r="BG131" s="112" t="str">
        <f ca="1">IF($AU131="","",DATA!CC80)</f>
        <v/>
      </c>
      <c r="BH131" s="112" t="str">
        <f ca="1">IF($AU131="","",OFFSET(DATA!CE80,0,$AX$48))</f>
        <v/>
      </c>
      <c r="BI131" s="112" t="str">
        <f ca="1">IF($AU131="","",OFFSET(DATA!CG80,0,$AX$48))</f>
        <v/>
      </c>
      <c r="BJ131" s="112" t="str">
        <f ca="1">IF($AU131="","",OFFSET(DATA!CI80,0,$AX$48))</f>
        <v/>
      </c>
      <c r="BK131" s="112" t="str">
        <f ca="1">IF($AU131="","",OFFSET(DATA!CK80,0,$AX$48))</f>
        <v/>
      </c>
      <c r="BL131" s="112" t="str">
        <f ca="1">IF($AU131="","",OFFSET(DATA!CM80,0,$AX$48))</f>
        <v/>
      </c>
      <c r="BM131" s="112" t="str">
        <f ca="1">IF($AU131="","",DATA!BH80)</f>
        <v/>
      </c>
      <c r="BN131" s="112" t="str">
        <f ca="1">IF($AU131="","",DATA!DS80)</f>
        <v/>
      </c>
      <c r="BO131" s="112" t="str">
        <f ca="1">IF($AU131="","",DATA!DU80)</f>
        <v/>
      </c>
      <c r="BP131" s="112" t="str">
        <f ca="1">IF($AU131="","",DATA!DV80)</f>
        <v/>
      </c>
      <c r="BQ131" s="112" t="str">
        <f ca="1">IF($AU131="","",DATA!DX80)</f>
        <v/>
      </c>
      <c r="BR131" s="112" t="str">
        <f ca="1">IF($AU131="","",DATA!DZ80)</f>
        <v/>
      </c>
      <c r="BS131" s="171" t="str">
        <f ca="1">IF($AU131="","",DATA!EA80)</f>
        <v/>
      </c>
      <c r="BT131" s="171" t="str">
        <f ca="1">IF($AU131="","",DATA!EC80)</f>
        <v/>
      </c>
      <c r="BU131" s="171" t="str">
        <f ca="1">IF($AU131="","",DATA!EF80)</f>
        <v/>
      </c>
      <c r="BV131" s="113" t="str">
        <f t="shared" ca="1" si="24"/>
        <v/>
      </c>
      <c r="BW131" s="680" t="str">
        <f ca="1">IF(AU131="","",OFFSET(DATA!DC80,0,'Intermediate Data'!$AX$48))</f>
        <v/>
      </c>
      <c r="BX131" s="681" t="str">
        <f ca="1">IF($AU131="","",DATA!DG80)</f>
        <v/>
      </c>
      <c r="BY131" s="680" t="str">
        <f ca="1">IF($AU131="","",OFFSET(DATA!DE80,0,'Intermediate Data'!$AX$48))</f>
        <v/>
      </c>
      <c r="BZ131" s="681" t="str">
        <f ca="1">IF($AU131="","",DATA!DH80)</f>
        <v/>
      </c>
      <c r="CA131" s="90" t="str">
        <f t="shared" ca="1" si="25"/>
        <v/>
      </c>
      <c r="CB131" s="99" t="str">
        <f t="shared" ca="1" si="26"/>
        <v/>
      </c>
      <c r="CC131" s="90" t="str">
        <f t="shared" ca="1" si="27"/>
        <v/>
      </c>
      <c r="CD131" s="90" t="str">
        <f t="shared" ca="1" si="28"/>
        <v/>
      </c>
      <c r="CF131" s="90" t="str">
        <f ca="1">IF($CD131="","",IF(OFFSET(AV$55,'Intermediate Data'!$CD131,0)=-98,"Unknown",IF(OFFSET(AV$55,'Intermediate Data'!$CD131,0)=-99,"N/A",OFFSET(AV$55,'Intermediate Data'!$CD131,0))))</f>
        <v/>
      </c>
      <c r="CG131" s="90" t="str">
        <f ca="1">IF($CD131="","",IF(OFFSET(AW$55,'Intermediate Data'!$CD131,0)=-98,"",IF(OFFSET(AW$55,'Intermediate Data'!$CD131,0)=-99,"N/A",OFFSET(AW$55,'Intermediate Data'!$CD131,0))))</f>
        <v/>
      </c>
      <c r="CH131" s="90" t="str">
        <f ca="1">IF($CD131="","",IF(OFFSET(AX$55,'Intermediate Data'!$CD131,0)=-98,"Unknown",IF(OFFSET(AX$55,'Intermediate Data'!$CD131,0)=-99,"N/A",OFFSET(AX$55,'Intermediate Data'!$CD131,0))))</f>
        <v/>
      </c>
      <c r="CI131" s="125" t="str">
        <f ca="1">IF($CD131="","",IF(OFFSET(AY$55,'Intermediate Data'!$CD131,0)=-98,"Unknown",IF(OFFSET(AY$55,'Intermediate Data'!$CD131,0)=-99,"No spec",OFFSET(AY$55,'Intermediate Data'!$CD131,0))))</f>
        <v/>
      </c>
      <c r="CJ131" s="125" t="str">
        <f ca="1">IF($CD131="","",IF(OFFSET(AZ$55,'Intermediate Data'!$CD131,0)=-98,"Unknown",IF(OFFSET(AZ$55,'Intermediate Data'!$CD131,0)=-99,"N/A",OFFSET(AZ$55,'Intermediate Data'!$CD131,0))))</f>
        <v/>
      </c>
      <c r="CK131" s="90" t="str">
        <f ca="1">IF($CD131="","",IF(OFFSET(BA$55,'Intermediate Data'!$CD131,0)=-98,"Unknown",IF(OFFSET(BA$55,'Intermediate Data'!$CD131,0)=-99,"N/A",OFFSET(BA$55,'Intermediate Data'!$CD131,0))))</f>
        <v/>
      </c>
      <c r="CL131" s="90" t="str">
        <f ca="1">IF($CD131="","",IF(OFFSET(BB$55,'Intermediate Data'!$CD131,$AX$50)=-98,"Unknown",IF(OFFSET(BB$55,'Intermediate Data'!$CD131,$AX$50)="N/A","",OFFSET(BB$55,'Intermediate Data'!$CD131,$AX$50))))</f>
        <v/>
      </c>
      <c r="CM131" s="90" t="str">
        <f ca="1">IF($CD131="","",IF(OFFSET(BG$55,'Intermediate Data'!$CD131,0)="ET","ET",""))</f>
        <v/>
      </c>
      <c r="CN131" s="90" t="str">
        <f ca="1">IF($CD131="","",IF(OFFSET(BH$55,'Intermediate Data'!$CD131,$AX$50)=-98,"Unknown",IF(OFFSET(BH$55,'Intermediate Data'!$CD131,$AX$50)="N/A","",OFFSET(BH$55,'Intermediate Data'!$CD131,$AX$50))))</f>
        <v/>
      </c>
      <c r="CO131" s="90" t="str">
        <f ca="1">IF($CD131="","",IF(OFFSET(BM$55,'Intermediate Data'!$CD131,0)=-98,"Not published",IF(OFFSET(BM$55,'Intermediate Data'!$CD131,0)=-99,"No spec",OFFSET(BM$55,'Intermediate Data'!$CD131,0))))</f>
        <v/>
      </c>
      <c r="CP131" s="114" t="str">
        <f ca="1">IF($CD131="","",IF(OFFSET(BN$55,'Intermediate Data'!$CD131,0)=-98,"Unknown",IF(OFFSET(BN$55,'Intermediate Data'!$CD131,0)=-99,"N/A",OFFSET(BN$55,'Intermediate Data'!$CD131,0))))</f>
        <v/>
      </c>
      <c r="CQ131" s="114" t="str">
        <f ca="1">IF($CD131="","",IF(OFFSET(BO$55,'Intermediate Data'!$CD131,0)=-98,"Unknown",IF(OFFSET(BO$55,'Intermediate Data'!$CD131,0)=-99,"N/A",OFFSET(BO$55,'Intermediate Data'!$CD131,0))))</f>
        <v/>
      </c>
      <c r="CR131" s="114" t="str">
        <f ca="1">IF($CD131="","",IF(OFFSET(BP$55,'Intermediate Data'!$CD131,0)=-98,"Unknown",IF(OFFSET(BP$55,'Intermediate Data'!$CD131,0)=-99,"N/A",OFFSET(BP$55,'Intermediate Data'!$CD131,0))))</f>
        <v/>
      </c>
      <c r="CS131" s="114" t="str">
        <f ca="1">IF($CD131="","",IF(OFFSET(BQ$55,'Intermediate Data'!$CD131,0)=-98,"Unknown",IF(OFFSET(BQ$55,'Intermediate Data'!$CD131,0)=-99,"N/A",OFFSET(BQ$55,'Intermediate Data'!$CD131,0))))</f>
        <v/>
      </c>
      <c r="CT131" s="114" t="str">
        <f ca="1">IF($CD131="","",IF(OFFSET(BR$55,'Intermediate Data'!$CD131,0)=-98,"Unknown",IF(OFFSET(BR$55,'Intermediate Data'!$CD131,0)=-99,"N/A",OFFSET(BR$55,'Intermediate Data'!$CD131,0))))</f>
        <v/>
      </c>
      <c r="CU131" s="114" t="str">
        <f ca="1">IF($CD131="","",IF(OFFSET(BS$55,'Intermediate Data'!$CD131,0)=-98,"Unknown",IF(OFFSET(BS$55,'Intermediate Data'!$CD131,0)=-99,"N/A",OFFSET(BS$55,'Intermediate Data'!$CD131,0))))</f>
        <v/>
      </c>
      <c r="CV131" s="114" t="str">
        <f ca="1">IF($CD131="","",IF(OFFSET(BT$55,'Intermediate Data'!$CD131,0)=-98,"Unknown",IF(OFFSET(BT$55,'Intermediate Data'!$CD131,0)=-99,"N/A",OFFSET(BT$55,'Intermediate Data'!$CD131,0))))</f>
        <v/>
      </c>
      <c r="CW131" s="114" t="str">
        <f ca="1">IF($CD131="","",IF(OFFSET(BU$55,'Intermediate Data'!$CD131,0)=-98,"Unknown",IF(OFFSET(BU$55,'Intermediate Data'!$CD131,0)=-99,"N/A",OFFSET(BU$55,'Intermediate Data'!$CD131,0))))</f>
        <v/>
      </c>
      <c r="CX131" s="114" t="str">
        <f ca="1">IF($CD131="","",IF(OFFSET(BV$55,'Intermediate Data'!$CD131,0)=-98,"Unknown",IF(OFFSET(BV$55,'Intermediate Data'!$CD131,0)=-99,"N/A",OFFSET(BV$55,'Intermediate Data'!$CD131,0))))</f>
        <v/>
      </c>
      <c r="CY131" s="682" t="str">
        <f ca="1">IF($CD131="","",IF(OFFSET(BW$55,'Intermediate Data'!$CD131,0)=-98,"Unknown",IF(OFFSET(BW$55,'Intermediate Data'!$CD131,0)="N/A","",OFFSET(BW$55,'Intermediate Data'!$CD131,0))))</f>
        <v/>
      </c>
      <c r="CZ131" s="682" t="str">
        <f ca="1">IF($CD131="","",IF(OFFSET(BX$55,'Intermediate Data'!$CD131,0)=-98,"Unknown",IF(OFFSET(BX$55,'Intermediate Data'!$CD131,0)="N/A","",OFFSET(BX$55,'Intermediate Data'!$CD131,0))))</f>
        <v/>
      </c>
      <c r="DA131" s="682" t="str">
        <f ca="1">IF($CD131="","",IF(OFFSET(BY$55,'Intermediate Data'!$CD131,0)=-98,"Unknown",IF(OFFSET(BY$55,'Intermediate Data'!$CD131,0)="N/A","",OFFSET(BY$55,'Intermediate Data'!$CD131,0))))</f>
        <v/>
      </c>
      <c r="DB131" s="682" t="str">
        <f ca="1">IF($CD131="","",IF(OFFSET(BZ$55,'Intermediate Data'!$CD131,0)=-98,"Unknown",IF(OFFSET(BZ$55,'Intermediate Data'!$CD131,0)="N/A","",OFFSET(BZ$55,'Intermediate Data'!$CD131,0))))</f>
        <v/>
      </c>
    </row>
    <row r="132" spans="1:106" x14ac:dyDescent="0.2">
      <c r="A132" s="90">
        <f ca="1">IF(OFFSET(DATA!F81,0,$D$48)='Intermediate Data'!$E$48,IF(OR($E$49=$C$27,$E$48=$B$4),DATA!A81,IF($G$49=DATA!D81,DATA!A81,"")),"")</f>
        <v>77</v>
      </c>
      <c r="B132" s="90">
        <f ca="1">IF($A132="","",DATA!EH81)</f>
        <v>49</v>
      </c>
      <c r="C132" s="90" t="str">
        <f ca="1">IF($A132="","",DATA!B81)</f>
        <v>Portable space heater</v>
      </c>
      <c r="D132" s="90">
        <f ca="1">IF($A132="","",OFFSET(DATA!$H81,0,($D$50*5)))</f>
        <v>-99</v>
      </c>
      <c r="E132" s="90">
        <f ca="1">IF($A132="","",OFFSET(DATA!$H81,0,($D$50*5)+1))</f>
        <v>0.23682349997699048</v>
      </c>
      <c r="F132" s="90">
        <f ca="1">IF($A132="","",OFFSET(DATA!$H81,0,($D$50*5)+2))</f>
        <v>-99</v>
      </c>
      <c r="G132" s="90">
        <f ca="1">IF($A132="","",OFFSET(DATA!$H81,0,($D$50*5)+3))</f>
        <v>0.32646402302201455</v>
      </c>
      <c r="H132" s="90">
        <f ca="1">IF($A132="","",OFFSET(DATA!$H81,0,($D$50*5)+4))</f>
        <v>-99</v>
      </c>
      <c r="I132" s="90">
        <f t="shared" ca="1" si="17"/>
        <v>0.32646402302201455</v>
      </c>
      <c r="J132" s="90" t="str">
        <f t="shared" ca="1" si="18"/>
        <v>RASS</v>
      </c>
      <c r="K132" s="90">
        <f ca="1">IF($A132="","",OFFSET(DATA!$AG81,0,($D$50*5)))</f>
        <v>-99</v>
      </c>
      <c r="L132" s="90">
        <f ca="1">IF($A132="","",OFFSET(DATA!$AG81,0,($D$50*5)+1))</f>
        <v>0.3031481797874766</v>
      </c>
      <c r="M132" s="90">
        <f ca="1">IF($A132="","",OFFSET(DATA!$AG81,0,($D$50*5)+2))</f>
        <v>-99</v>
      </c>
      <c r="N132" s="90">
        <f ca="1">IF($A132="","",OFFSET(DATA!$AG81,0,($D$50*5)+3))</f>
        <v>0.43415130159261134</v>
      </c>
      <c r="O132" s="90">
        <f ca="1">IF($A132="","",OFFSET(DATA!$AG81,0,($D$50*5)+4))</f>
        <v>-99</v>
      </c>
      <c r="P132" s="90">
        <f t="shared" ca="1" si="19"/>
        <v>0.43415130159261134</v>
      </c>
      <c r="Q132" s="90" t="str">
        <f t="shared" ca="1" si="20"/>
        <v>RASS</v>
      </c>
      <c r="R132" s="699">
        <f ca="1">IF($A132="","",IF(DATA!BF81="",-99,DATA!BF81))</f>
        <v>-99</v>
      </c>
      <c r="S132" s="90">
        <f ca="1">IF($A132="","",IF(DATA!BG81="",-99,DATA!BF81-DATA!BG81))</f>
        <v>-99</v>
      </c>
      <c r="T132" s="90">
        <f ca="1">IF($A132="","",DATA!BH81)</f>
        <v>-99</v>
      </c>
      <c r="U132" s="90">
        <f ca="1">IF($A132="","",OFFSET(DATA!BM81,0,$D$48))</f>
        <v>-99</v>
      </c>
      <c r="V132" s="90">
        <f t="shared" ca="1" si="16"/>
        <v>49</v>
      </c>
      <c r="W132" s="99">
        <f t="shared" ca="1" si="21"/>
        <v>48.999930864025096</v>
      </c>
      <c r="X132" s="112">
        <f t="shared" ca="1" si="22"/>
        <v>51.999881201299999</v>
      </c>
      <c r="Y132" s="90">
        <f t="shared" ca="1" si="23"/>
        <v>75</v>
      </c>
      <c r="AA132" s="90" t="str">
        <f ca="1">IF($Y132="","",IF(OFFSET(C$55,'Intermediate Data'!$Y132,0)=-98,"Unknown",IF(OFFSET(C$55,'Intermediate Data'!$Y132,0)=-99,"N/A",OFFSET(C$55,'Intermediate Data'!$Y132,0))))</f>
        <v>Portable AC</v>
      </c>
      <c r="AB132" s="90" t="str">
        <f ca="1">IF($Y132="","",IF(OFFSET(D$55,'Intermediate Data'!$Y132,0)=-98,"N/A",IF(OFFSET(D$55,'Intermediate Data'!$Y132,0)=-99,"N/A",OFFSET(D$55,'Intermediate Data'!$Y132,0))))</f>
        <v>N/A</v>
      </c>
      <c r="AC132" s="90" t="str">
        <f ca="1">IF($Y132="","",IF(OFFSET(E$55,'Intermediate Data'!$Y132,0)=-98,"N/A",IF(OFFSET(E$55,'Intermediate Data'!$Y132,0)=-99,"N/A",OFFSET(E$55,'Intermediate Data'!$Y132,0))))</f>
        <v>N/A</v>
      </c>
      <c r="AD132" s="90" t="str">
        <f ca="1">IF($Y132="","",IF(OFFSET(F$55,'Intermediate Data'!$Y132,0)=-98,"N/A",IF(OFFSET(F$55,'Intermediate Data'!$Y132,0)=-99,"N/A",OFFSET(F$55,'Intermediate Data'!$Y132,0))))</f>
        <v>N/A</v>
      </c>
      <c r="AE132" s="90" t="str">
        <f ca="1">IF($Y132="","",IF(OFFSET(G$55,'Intermediate Data'!$Y132,0)=-98,"N/A",IF(OFFSET(G$55,'Intermediate Data'!$Y132,0)=-99,"N/A",OFFSET(G$55,'Intermediate Data'!$Y132,0))))</f>
        <v>N/A</v>
      </c>
      <c r="AF132" s="90" t="str">
        <f ca="1">IF($Y132="","",IF(OFFSET(H$55,'Intermediate Data'!$Y132,0)=-98,"N/A",IF(OFFSET(H$55,'Intermediate Data'!$Y132,0)=-99,"N/A",OFFSET(H$55,'Intermediate Data'!$Y132,0))))</f>
        <v>N/A</v>
      </c>
      <c r="AG132" s="90" t="str">
        <f ca="1">IF($Y132="","",IF(OFFSET(I$55,'Intermediate Data'!$Y132,0)=-98,"N/A",IF(OFFSET(I$55,'Intermediate Data'!$Y132,0)=-99,"N/A",OFFSET(I$55,'Intermediate Data'!$Y132,0))))</f>
        <v>N/A</v>
      </c>
      <c r="AH132" s="90" t="str">
        <f ca="1">IF($Y132="","",IF(OFFSET(J$55,'Intermediate Data'!$Y132,0)=-98,"N/A",IF(OFFSET(J$55,'Intermediate Data'!$Y132,0)=-99,"N/A",OFFSET(J$55,'Intermediate Data'!$Y132,0))))</f>
        <v/>
      </c>
      <c r="AI132" s="90" t="str">
        <f ca="1">IF($Y132="","",IF(OFFSET(K$55,'Intermediate Data'!$Y132,0)=-98,"N/A",IF(OFFSET(K$55,'Intermediate Data'!$Y132,0)=-99,"N/A",OFFSET(K$55,'Intermediate Data'!$Y132,0))))</f>
        <v>N/A</v>
      </c>
      <c r="AJ132" s="90" t="str">
        <f ca="1">IF($Y132="","",IF(OFFSET(L$55,'Intermediate Data'!$Y132,0)=-98,"N/A",IF(OFFSET(L$55,'Intermediate Data'!$Y132,0)=-99,"N/A",OFFSET(L$55,'Intermediate Data'!$Y132,0))))</f>
        <v>N/A</v>
      </c>
      <c r="AK132" s="90" t="str">
        <f ca="1">IF($Y132="","",IF(OFFSET(M$55,'Intermediate Data'!$Y132,0)=-98,"N/A",IF(OFFSET(M$55,'Intermediate Data'!$Y132,0)=-99,"N/A",OFFSET(M$55,'Intermediate Data'!$Y132,0))))</f>
        <v>N/A</v>
      </c>
      <c r="AL132" s="90" t="str">
        <f ca="1">IF($Y132="","",IF(OFFSET(N$55,'Intermediate Data'!$Y132,0)=-98,"N/A",IF(OFFSET(N$55,'Intermediate Data'!$Y132,0)=-99,"N/A",OFFSET(N$55,'Intermediate Data'!$Y132,0))))</f>
        <v>N/A</v>
      </c>
      <c r="AM132" s="90" t="str">
        <f ca="1">IF($Y132="","",IF(OFFSET(O$55,'Intermediate Data'!$Y132,0)=-98,"N/A",IF(OFFSET(O$55,'Intermediate Data'!$Y132,0)=-99,"N/A",OFFSET(O$55,'Intermediate Data'!$Y132,0))))</f>
        <v>N/A</v>
      </c>
      <c r="AN132" s="90" t="str">
        <f ca="1">IF($Y132="","",IF(OFFSET(P$55,'Intermediate Data'!$Y132,0)=-98,"N/A",IF(OFFSET(P$55,'Intermediate Data'!$Y132,0)=-99,"N/A",OFFSET(P$55,'Intermediate Data'!$Y132,0))))</f>
        <v>N/A</v>
      </c>
      <c r="AO132" s="90" t="str">
        <f ca="1">IF($Y132="","",IF(OFFSET(Q$55,'Intermediate Data'!$Y132,0)=-98,"N/A",IF(OFFSET(Q$55,'Intermediate Data'!$Y132,0)=-99,"N/A",OFFSET(Q$55,'Intermediate Data'!$Y132,0))))</f>
        <v/>
      </c>
      <c r="AP132" s="697" t="str">
        <f ca="1">IF($Y132="","",IF(OFFSET(S$55,'Intermediate Data'!$Y132,0)=-98,"",IF(OFFSET(S$55,'Intermediate Data'!$Y132,0)=-99,"",OFFSET(S$55,'Intermediate Data'!$Y132,0))))</f>
        <v/>
      </c>
      <c r="AQ132" s="90" t="str">
        <f ca="1">IF($Y132="","",IF(OFFSET(T$55,'Intermediate Data'!$Y132,0)=-98,"Not published",IF(OFFSET(T$55,'Intermediate Data'!$Y132,0)=-99,"",OFFSET(T$55,'Intermediate Data'!$Y132,0))))</f>
        <v/>
      </c>
      <c r="AR132" s="90" t="str">
        <f ca="1">IF($Y132="","",IF(OFFSET(U$55,'Intermediate Data'!$Y132,0)=-98,"Unknown",IF(OFFSET(U$55,'Intermediate Data'!$Y132,0)=-99,"",OFFSET(U$55,'Intermediate Data'!$Y132,0))))</f>
        <v/>
      </c>
      <c r="AU132" s="112" t="str">
        <f ca="1">IF(AND(OFFSET(DATA!$F81,0,$AX$48)='Intermediate Data'!$AY$48,DATA!$E81="Tier 1"),IF(OR($AX$49=0,$AX$48=1),DATA!A81,IF(AND($AX$49=1,INDEX('Intermediate Data'!$AY$25:$AY$44,MATCH(DATA!$B81,'Intermediate Data'!$AX$25:$AX$44,0))=TRUE),DATA!A81,"")),"")</f>
        <v/>
      </c>
      <c r="AV132" s="112" t="str">
        <f ca="1">IF($AU132="","",DATA!B81)</f>
        <v/>
      </c>
      <c r="AW132" s="112" t="str">
        <f ca="1">IF(OR($AU132="",DATA!BI81=""),"",DATA!BI81)</f>
        <v/>
      </c>
      <c r="AX132" s="112" t="str">
        <f ca="1">IF(OR($AU132="",OFFSET(DATA!BK81,0,$AX$48)=""),"",OFFSET(DATA!BK81,0,$AX$48))</f>
        <v/>
      </c>
      <c r="AY132" s="112" t="str">
        <f ca="1">IF(OR($AU132="",OFFSET(DATA!BM81,0,$AX$48)=""),"",OFFSET(DATA!BM81,0,$AX$48))</f>
        <v/>
      </c>
      <c r="AZ132" s="112" t="str">
        <f ca="1">IF(OR($AU132="",OFFSET(DATA!BO81,0,'Intermediate Data'!$AX$48)=""),"",OFFSET(DATA!BO81,0,$AX$48))</f>
        <v/>
      </c>
      <c r="BA132" s="112" t="str">
        <f ca="1">IF(OR($AU132="",DATA!BQ81=""),"",DATA!BQ81)</f>
        <v/>
      </c>
      <c r="BB132" s="112" t="str">
        <f ca="1">IF($AU132="","",OFFSET(DATA!BS81,0,$AX$48))</f>
        <v/>
      </c>
      <c r="BC132" s="112" t="str">
        <f ca="1">IF($AU132="","",OFFSET(DATA!BU81,0,$AX$48))</f>
        <v/>
      </c>
      <c r="BD132" s="112" t="str">
        <f ca="1">IF($AU132="","",OFFSET(DATA!BW81,0,$AX$48))</f>
        <v/>
      </c>
      <c r="BE132" s="112" t="str">
        <f ca="1">IF($AU132="","",OFFSET(DATA!BY81,0,$AX$48))</f>
        <v/>
      </c>
      <c r="BF132" s="112" t="str">
        <f ca="1">IF($AU132="","",OFFSET(DATA!CA81,0,$AX$48))</f>
        <v/>
      </c>
      <c r="BG132" s="112" t="str">
        <f ca="1">IF($AU132="","",DATA!CC81)</f>
        <v/>
      </c>
      <c r="BH132" s="112" t="str">
        <f ca="1">IF($AU132="","",OFFSET(DATA!CE81,0,$AX$48))</f>
        <v/>
      </c>
      <c r="BI132" s="112" t="str">
        <f ca="1">IF($AU132="","",OFFSET(DATA!CG81,0,$AX$48))</f>
        <v/>
      </c>
      <c r="BJ132" s="112" t="str">
        <f ca="1">IF($AU132="","",OFFSET(DATA!CI81,0,$AX$48))</f>
        <v/>
      </c>
      <c r="BK132" s="112" t="str">
        <f ca="1">IF($AU132="","",OFFSET(DATA!CK81,0,$AX$48))</f>
        <v/>
      </c>
      <c r="BL132" s="112" t="str">
        <f ca="1">IF($AU132="","",OFFSET(DATA!CM81,0,$AX$48))</f>
        <v/>
      </c>
      <c r="BM132" s="112" t="str">
        <f ca="1">IF($AU132="","",DATA!BH81)</f>
        <v/>
      </c>
      <c r="BN132" s="112" t="str">
        <f ca="1">IF($AU132="","",DATA!DS81)</f>
        <v/>
      </c>
      <c r="BO132" s="112" t="str">
        <f ca="1">IF($AU132="","",DATA!DU81)</f>
        <v/>
      </c>
      <c r="BP132" s="112" t="str">
        <f ca="1">IF($AU132="","",DATA!DV81)</f>
        <v/>
      </c>
      <c r="BQ132" s="112" t="str">
        <f ca="1">IF($AU132="","",DATA!DX81)</f>
        <v/>
      </c>
      <c r="BR132" s="112" t="str">
        <f ca="1">IF($AU132="","",DATA!DZ81)</f>
        <v/>
      </c>
      <c r="BS132" s="171" t="str">
        <f ca="1">IF($AU132="","",DATA!EA81)</f>
        <v/>
      </c>
      <c r="BT132" s="171" t="str">
        <f ca="1">IF($AU132="","",DATA!EC81)</f>
        <v/>
      </c>
      <c r="BU132" s="171" t="str">
        <f ca="1">IF($AU132="","",DATA!EF81)</f>
        <v/>
      </c>
      <c r="BV132" s="113" t="str">
        <f t="shared" ca="1" si="24"/>
        <v/>
      </c>
      <c r="BW132" s="680" t="str">
        <f ca="1">IF(AU132="","",OFFSET(DATA!DC81,0,'Intermediate Data'!$AX$48))</f>
        <v/>
      </c>
      <c r="BX132" s="681" t="str">
        <f ca="1">IF($AU132="","",DATA!DG81)</f>
        <v/>
      </c>
      <c r="BY132" s="680" t="str">
        <f ca="1">IF($AU132="","",OFFSET(DATA!DE81,0,'Intermediate Data'!$AX$48))</f>
        <v/>
      </c>
      <c r="BZ132" s="681" t="str">
        <f ca="1">IF($AU132="","",DATA!DH81)</f>
        <v/>
      </c>
      <c r="CA132" s="90" t="str">
        <f t="shared" ca="1" si="25"/>
        <v/>
      </c>
      <c r="CB132" s="99" t="str">
        <f t="shared" ca="1" si="26"/>
        <v/>
      </c>
      <c r="CC132" s="90" t="str">
        <f t="shared" ca="1" si="27"/>
        <v/>
      </c>
      <c r="CD132" s="90" t="str">
        <f t="shared" ca="1" si="28"/>
        <v/>
      </c>
      <c r="CF132" s="90" t="str">
        <f ca="1">IF($CD132="","",IF(OFFSET(AV$55,'Intermediate Data'!$CD132,0)=-98,"Unknown",IF(OFFSET(AV$55,'Intermediate Data'!$CD132,0)=-99,"N/A",OFFSET(AV$55,'Intermediate Data'!$CD132,0))))</f>
        <v/>
      </c>
      <c r="CG132" s="90" t="str">
        <f ca="1">IF($CD132="","",IF(OFFSET(AW$55,'Intermediate Data'!$CD132,0)=-98,"",IF(OFFSET(AW$55,'Intermediate Data'!$CD132,0)=-99,"N/A",OFFSET(AW$55,'Intermediate Data'!$CD132,0))))</f>
        <v/>
      </c>
      <c r="CH132" s="90" t="str">
        <f ca="1">IF($CD132="","",IF(OFFSET(AX$55,'Intermediate Data'!$CD132,0)=-98,"Unknown",IF(OFFSET(AX$55,'Intermediate Data'!$CD132,0)=-99,"N/A",OFFSET(AX$55,'Intermediate Data'!$CD132,0))))</f>
        <v/>
      </c>
      <c r="CI132" s="125" t="str">
        <f ca="1">IF($CD132="","",IF(OFFSET(AY$55,'Intermediate Data'!$CD132,0)=-98,"Unknown",IF(OFFSET(AY$55,'Intermediate Data'!$CD132,0)=-99,"No spec",OFFSET(AY$55,'Intermediate Data'!$CD132,0))))</f>
        <v/>
      </c>
      <c r="CJ132" s="125" t="str">
        <f ca="1">IF($CD132="","",IF(OFFSET(AZ$55,'Intermediate Data'!$CD132,0)=-98,"Unknown",IF(OFFSET(AZ$55,'Intermediate Data'!$CD132,0)=-99,"N/A",OFFSET(AZ$55,'Intermediate Data'!$CD132,0))))</f>
        <v/>
      </c>
      <c r="CK132" s="90" t="str">
        <f ca="1">IF($CD132="","",IF(OFFSET(BA$55,'Intermediate Data'!$CD132,0)=-98,"Unknown",IF(OFFSET(BA$55,'Intermediate Data'!$CD132,0)=-99,"N/A",OFFSET(BA$55,'Intermediate Data'!$CD132,0))))</f>
        <v/>
      </c>
      <c r="CL132" s="90" t="str">
        <f ca="1">IF($CD132="","",IF(OFFSET(BB$55,'Intermediate Data'!$CD132,$AX$50)=-98,"Unknown",IF(OFFSET(BB$55,'Intermediate Data'!$CD132,$AX$50)="N/A","",OFFSET(BB$55,'Intermediate Data'!$CD132,$AX$50))))</f>
        <v/>
      </c>
      <c r="CM132" s="90" t="str">
        <f ca="1">IF($CD132="","",IF(OFFSET(BG$55,'Intermediate Data'!$CD132,0)="ET","ET",""))</f>
        <v/>
      </c>
      <c r="CN132" s="90" t="str">
        <f ca="1">IF($CD132="","",IF(OFFSET(BH$55,'Intermediate Data'!$CD132,$AX$50)=-98,"Unknown",IF(OFFSET(BH$55,'Intermediate Data'!$CD132,$AX$50)="N/A","",OFFSET(BH$55,'Intermediate Data'!$CD132,$AX$50))))</f>
        <v/>
      </c>
      <c r="CO132" s="90" t="str">
        <f ca="1">IF($CD132="","",IF(OFFSET(BM$55,'Intermediate Data'!$CD132,0)=-98,"Not published",IF(OFFSET(BM$55,'Intermediate Data'!$CD132,0)=-99,"No spec",OFFSET(BM$55,'Intermediate Data'!$CD132,0))))</f>
        <v/>
      </c>
      <c r="CP132" s="114" t="str">
        <f ca="1">IF($CD132="","",IF(OFFSET(BN$55,'Intermediate Data'!$CD132,0)=-98,"Unknown",IF(OFFSET(BN$55,'Intermediate Data'!$CD132,0)=-99,"N/A",OFFSET(BN$55,'Intermediate Data'!$CD132,0))))</f>
        <v/>
      </c>
      <c r="CQ132" s="114" t="str">
        <f ca="1">IF($CD132="","",IF(OFFSET(BO$55,'Intermediate Data'!$CD132,0)=-98,"Unknown",IF(OFFSET(BO$55,'Intermediate Data'!$CD132,0)=-99,"N/A",OFFSET(BO$55,'Intermediate Data'!$CD132,0))))</f>
        <v/>
      </c>
      <c r="CR132" s="114" t="str">
        <f ca="1">IF($CD132="","",IF(OFFSET(BP$55,'Intermediate Data'!$CD132,0)=-98,"Unknown",IF(OFFSET(BP$55,'Intermediate Data'!$CD132,0)=-99,"N/A",OFFSET(BP$55,'Intermediate Data'!$CD132,0))))</f>
        <v/>
      </c>
      <c r="CS132" s="114" t="str">
        <f ca="1">IF($CD132="","",IF(OFFSET(BQ$55,'Intermediate Data'!$CD132,0)=-98,"Unknown",IF(OFFSET(BQ$55,'Intermediate Data'!$CD132,0)=-99,"N/A",OFFSET(BQ$55,'Intermediate Data'!$CD132,0))))</f>
        <v/>
      </c>
      <c r="CT132" s="114" t="str">
        <f ca="1">IF($CD132="","",IF(OFFSET(BR$55,'Intermediate Data'!$CD132,0)=-98,"Unknown",IF(OFFSET(BR$55,'Intermediate Data'!$CD132,0)=-99,"N/A",OFFSET(BR$55,'Intermediate Data'!$CD132,0))))</f>
        <v/>
      </c>
      <c r="CU132" s="114" t="str">
        <f ca="1">IF($CD132="","",IF(OFFSET(BS$55,'Intermediate Data'!$CD132,0)=-98,"Unknown",IF(OFFSET(BS$55,'Intermediate Data'!$CD132,0)=-99,"N/A",OFFSET(BS$55,'Intermediate Data'!$CD132,0))))</f>
        <v/>
      </c>
      <c r="CV132" s="114" t="str">
        <f ca="1">IF($CD132="","",IF(OFFSET(BT$55,'Intermediate Data'!$CD132,0)=-98,"Unknown",IF(OFFSET(BT$55,'Intermediate Data'!$CD132,0)=-99,"N/A",OFFSET(BT$55,'Intermediate Data'!$CD132,0))))</f>
        <v/>
      </c>
      <c r="CW132" s="114" t="str">
        <f ca="1">IF($CD132="","",IF(OFFSET(BU$55,'Intermediate Data'!$CD132,0)=-98,"Unknown",IF(OFFSET(BU$55,'Intermediate Data'!$CD132,0)=-99,"N/A",OFFSET(BU$55,'Intermediate Data'!$CD132,0))))</f>
        <v/>
      </c>
      <c r="CX132" s="114" t="str">
        <f ca="1">IF($CD132="","",IF(OFFSET(BV$55,'Intermediate Data'!$CD132,0)=-98,"Unknown",IF(OFFSET(BV$55,'Intermediate Data'!$CD132,0)=-99,"N/A",OFFSET(BV$55,'Intermediate Data'!$CD132,0))))</f>
        <v/>
      </c>
      <c r="CY132" s="682" t="str">
        <f ca="1">IF($CD132="","",IF(OFFSET(BW$55,'Intermediate Data'!$CD132,0)=-98,"Unknown",IF(OFFSET(BW$55,'Intermediate Data'!$CD132,0)="N/A","",OFFSET(BW$55,'Intermediate Data'!$CD132,0))))</f>
        <v/>
      </c>
      <c r="CZ132" s="682" t="str">
        <f ca="1">IF($CD132="","",IF(OFFSET(BX$55,'Intermediate Data'!$CD132,0)=-98,"Unknown",IF(OFFSET(BX$55,'Intermediate Data'!$CD132,0)="N/A","",OFFSET(BX$55,'Intermediate Data'!$CD132,0))))</f>
        <v/>
      </c>
      <c r="DA132" s="682" t="str">
        <f ca="1">IF($CD132="","",IF(OFFSET(BY$55,'Intermediate Data'!$CD132,0)=-98,"Unknown",IF(OFFSET(BY$55,'Intermediate Data'!$CD132,0)="N/A","",OFFSET(BY$55,'Intermediate Data'!$CD132,0))))</f>
        <v/>
      </c>
      <c r="DB132" s="682" t="str">
        <f ca="1">IF($CD132="","",IF(OFFSET(BZ$55,'Intermediate Data'!$CD132,0)=-98,"Unknown",IF(OFFSET(BZ$55,'Intermediate Data'!$CD132,0)="N/A","",OFFSET(BZ$55,'Intermediate Data'!$CD132,0))))</f>
        <v/>
      </c>
    </row>
    <row r="133" spans="1:106" x14ac:dyDescent="0.2">
      <c r="A133" s="90">
        <f ca="1">IF(OFFSET(DATA!F82,0,$D$48)='Intermediate Data'!$E$48,IF(OR($E$49=$C$27,$E$48=$B$4),DATA!A82,IF($G$49=DATA!D82,DATA!A82,"")),"")</f>
        <v>78</v>
      </c>
      <c r="B133" s="90">
        <f ca="1">IF($A133="","",DATA!EH82)</f>
        <v>47</v>
      </c>
      <c r="C133" s="90" t="str">
        <f ca="1">IF($A133="","",DATA!B82)</f>
        <v>Primary electric heat</v>
      </c>
      <c r="D133" s="90">
        <f ca="1">IF($A133="","",OFFSET(DATA!$H82,0,($D$50*5)))</f>
        <v>6.0191999999999996E-2</v>
      </c>
      <c r="E133" s="90">
        <f ca="1">IF($A133="","",OFFSET(DATA!$H82,0,($D$50*5)+1))</f>
        <v>0.10106100888358101</v>
      </c>
      <c r="F133" s="90">
        <f ca="1">IF($A133="","",OFFSET(DATA!$H82,0,($D$50*5)+2))</f>
        <v>0.112661</v>
      </c>
      <c r="G133" s="90">
        <f ca="1">IF($A133="","",OFFSET(DATA!$H82,0,($D$50*5)+3))</f>
        <v>5.069545329760243E-2</v>
      </c>
      <c r="H133" s="90">
        <f ca="1">IF($A133="","",OFFSET(DATA!$H82,0,($D$50*5)+4))</f>
        <v>0.12864200000000001</v>
      </c>
      <c r="I133" s="90">
        <f t="shared" ca="1" si="17"/>
        <v>0.12864200000000001</v>
      </c>
      <c r="J133" s="90" t="str">
        <f t="shared" ca="1" si="18"/>
        <v>CLASS</v>
      </c>
      <c r="K133" s="90">
        <f ca="1">IF($A133="","",OFFSET(DATA!$AG82,0,($D$50*5)))</f>
        <v>-99</v>
      </c>
      <c r="L133" s="90">
        <f ca="1">IF($A133="","",OFFSET(DATA!$AG82,0,($D$50*5)+1))</f>
        <v>-99</v>
      </c>
      <c r="M133" s="90">
        <f ca="1">IF($A133="","",OFFSET(DATA!$AG82,0,($D$50*5)+2))</f>
        <v>-99</v>
      </c>
      <c r="N133" s="90">
        <f ca="1">IF($A133="","",OFFSET(DATA!$AG82,0,($D$50*5)+3))</f>
        <v>-99</v>
      </c>
      <c r="O133" s="90">
        <f ca="1">IF($A133="","",OFFSET(DATA!$AG82,0,($D$50*5)+4))</f>
        <v>-99</v>
      </c>
      <c r="P133" s="90">
        <f t="shared" ca="1" si="19"/>
        <v>-99</v>
      </c>
      <c r="Q133" s="90" t="str">
        <f t="shared" ca="1" si="20"/>
        <v/>
      </c>
      <c r="R133" s="699">
        <f ca="1">IF($A133="","",IF(DATA!BF82="",-99,DATA!BF82))</f>
        <v>-99</v>
      </c>
      <c r="S133" s="90">
        <f ca="1">IF($A133="","",IF(DATA!BG82="",-99,DATA!BF82-DATA!BG82))</f>
        <v>-99</v>
      </c>
      <c r="T133" s="90">
        <f ca="1">IF($A133="","",DATA!BH82)</f>
        <v>-98</v>
      </c>
      <c r="U133" s="90">
        <f ca="1">IF($A133="","",OFFSET(DATA!BM82,0,$D$48))</f>
        <v>-98</v>
      </c>
      <c r="V133" s="90">
        <f t="shared" ca="1" si="16"/>
        <v>47</v>
      </c>
      <c r="W133" s="99">
        <f t="shared" ca="1" si="21"/>
        <v>46.999930953500147</v>
      </c>
      <c r="X133" s="112">
        <f t="shared" ca="1" si="22"/>
        <v>50.999881200959997</v>
      </c>
      <c r="Y133" s="90">
        <f t="shared" ca="1" si="23"/>
        <v>41</v>
      </c>
      <c r="AA133" s="90" t="str">
        <f ca="1">IF($Y133="","",IF(OFFSET(C$55,'Intermediate Data'!$Y133,0)=-98,"Unknown",IF(OFFSET(C$55,'Intermediate Data'!$Y133,0)=-99,"N/A",OFFSET(C$55,'Intermediate Data'!$Y133,0))))</f>
        <v>Portable electric grill</v>
      </c>
      <c r="AB133" s="90" t="str">
        <f ca="1">IF($Y133="","",IF(OFFSET(D$55,'Intermediate Data'!$Y133,0)=-98,"N/A",IF(OFFSET(D$55,'Intermediate Data'!$Y133,0)=-99,"N/A",OFFSET(D$55,'Intermediate Data'!$Y133,0))))</f>
        <v>N/A</v>
      </c>
      <c r="AC133" s="90" t="str">
        <f ca="1">IF($Y133="","",IF(OFFSET(E$55,'Intermediate Data'!$Y133,0)=-98,"N/A",IF(OFFSET(E$55,'Intermediate Data'!$Y133,0)=-99,"N/A",OFFSET(E$55,'Intermediate Data'!$Y133,0))))</f>
        <v>N/A</v>
      </c>
      <c r="AD133" s="90" t="str">
        <f ca="1">IF($Y133="","",IF(OFFSET(F$55,'Intermediate Data'!$Y133,0)=-98,"N/A",IF(OFFSET(F$55,'Intermediate Data'!$Y133,0)=-99,"N/A",OFFSET(F$55,'Intermediate Data'!$Y133,0))))</f>
        <v>N/A</v>
      </c>
      <c r="AE133" s="90" t="str">
        <f ca="1">IF($Y133="","",IF(OFFSET(G$55,'Intermediate Data'!$Y133,0)=-98,"N/A",IF(OFFSET(G$55,'Intermediate Data'!$Y133,0)=-99,"N/A",OFFSET(G$55,'Intermediate Data'!$Y133,0))))</f>
        <v>N/A</v>
      </c>
      <c r="AF133" s="90" t="str">
        <f ca="1">IF($Y133="","",IF(OFFSET(H$55,'Intermediate Data'!$Y133,0)=-98,"N/A",IF(OFFSET(H$55,'Intermediate Data'!$Y133,0)=-99,"N/A",OFFSET(H$55,'Intermediate Data'!$Y133,0))))</f>
        <v>N/A</v>
      </c>
      <c r="AG133" s="90" t="str">
        <f ca="1">IF($Y133="","",IF(OFFSET(I$55,'Intermediate Data'!$Y133,0)=-98,"N/A",IF(OFFSET(I$55,'Intermediate Data'!$Y133,0)=-99,"N/A",OFFSET(I$55,'Intermediate Data'!$Y133,0))))</f>
        <v>N/A</v>
      </c>
      <c r="AH133" s="90" t="str">
        <f ca="1">IF($Y133="","",IF(OFFSET(J$55,'Intermediate Data'!$Y133,0)=-98,"N/A",IF(OFFSET(J$55,'Intermediate Data'!$Y133,0)=-99,"N/A",OFFSET(J$55,'Intermediate Data'!$Y133,0))))</f>
        <v/>
      </c>
      <c r="AI133" s="90" t="str">
        <f ca="1">IF($Y133="","",IF(OFFSET(K$55,'Intermediate Data'!$Y133,0)=-98,"N/A",IF(OFFSET(K$55,'Intermediate Data'!$Y133,0)=-99,"N/A",OFFSET(K$55,'Intermediate Data'!$Y133,0))))</f>
        <v>N/A</v>
      </c>
      <c r="AJ133" s="90" t="str">
        <f ca="1">IF($Y133="","",IF(OFFSET(L$55,'Intermediate Data'!$Y133,0)=-98,"N/A",IF(OFFSET(L$55,'Intermediate Data'!$Y133,0)=-99,"N/A",OFFSET(L$55,'Intermediate Data'!$Y133,0))))</f>
        <v>N/A</v>
      </c>
      <c r="AK133" s="90" t="str">
        <f ca="1">IF($Y133="","",IF(OFFSET(M$55,'Intermediate Data'!$Y133,0)=-98,"N/A",IF(OFFSET(M$55,'Intermediate Data'!$Y133,0)=-99,"N/A",OFFSET(M$55,'Intermediate Data'!$Y133,0))))</f>
        <v>N/A</v>
      </c>
      <c r="AL133" s="90" t="str">
        <f ca="1">IF($Y133="","",IF(OFFSET(N$55,'Intermediate Data'!$Y133,0)=-98,"N/A",IF(OFFSET(N$55,'Intermediate Data'!$Y133,0)=-99,"N/A",OFFSET(N$55,'Intermediate Data'!$Y133,0))))</f>
        <v>N/A</v>
      </c>
      <c r="AM133" s="90" t="str">
        <f ca="1">IF($Y133="","",IF(OFFSET(O$55,'Intermediate Data'!$Y133,0)=-98,"N/A",IF(OFFSET(O$55,'Intermediate Data'!$Y133,0)=-99,"N/A",OFFSET(O$55,'Intermediate Data'!$Y133,0))))</f>
        <v>N/A</v>
      </c>
      <c r="AN133" s="90" t="str">
        <f ca="1">IF($Y133="","",IF(OFFSET(P$55,'Intermediate Data'!$Y133,0)=-98,"N/A",IF(OFFSET(P$55,'Intermediate Data'!$Y133,0)=-99,"N/A",OFFSET(P$55,'Intermediate Data'!$Y133,0))))</f>
        <v>N/A</v>
      </c>
      <c r="AO133" s="90" t="str">
        <f ca="1">IF($Y133="","",IF(OFFSET(Q$55,'Intermediate Data'!$Y133,0)=-98,"N/A",IF(OFFSET(Q$55,'Intermediate Data'!$Y133,0)=-99,"N/A",OFFSET(Q$55,'Intermediate Data'!$Y133,0))))</f>
        <v/>
      </c>
      <c r="AP133" s="697" t="str">
        <f ca="1">IF($Y133="","",IF(OFFSET(S$55,'Intermediate Data'!$Y133,0)=-98,"",IF(OFFSET(S$55,'Intermediate Data'!$Y133,0)=-99,"",OFFSET(S$55,'Intermediate Data'!$Y133,0))))</f>
        <v/>
      </c>
      <c r="AQ133" s="90" t="str">
        <f ca="1">IF($Y133="","",IF(OFFSET(T$55,'Intermediate Data'!$Y133,0)=-98,"Not published",IF(OFFSET(T$55,'Intermediate Data'!$Y133,0)=-99,"",OFFSET(T$55,'Intermediate Data'!$Y133,0))))</f>
        <v/>
      </c>
      <c r="AR133" s="90" t="str">
        <f ca="1">IF($Y133="","",IF(OFFSET(U$55,'Intermediate Data'!$Y133,0)=-98,"Unknown",IF(OFFSET(U$55,'Intermediate Data'!$Y133,0)=-99,"",OFFSET(U$55,'Intermediate Data'!$Y133,0))))</f>
        <v/>
      </c>
      <c r="AU133" s="112" t="str">
        <f ca="1">IF(AND(OFFSET(DATA!$F82,0,$AX$48)='Intermediate Data'!$AY$48,DATA!$E82="Tier 1"),IF(OR($AX$49=0,$AX$48=1),DATA!A82,IF(AND($AX$49=1,INDEX('Intermediate Data'!$AY$25:$AY$44,MATCH(DATA!$B82,'Intermediate Data'!$AX$25:$AX$44,0))=TRUE),DATA!A82,"")),"")</f>
        <v/>
      </c>
      <c r="AV133" s="112" t="str">
        <f ca="1">IF($AU133="","",DATA!B82)</f>
        <v/>
      </c>
      <c r="AW133" s="112" t="str">
        <f ca="1">IF(OR($AU133="",DATA!BI82=""),"",DATA!BI82)</f>
        <v/>
      </c>
      <c r="AX133" s="112" t="str">
        <f ca="1">IF(OR($AU133="",OFFSET(DATA!BK82,0,$AX$48)=""),"",OFFSET(DATA!BK82,0,$AX$48))</f>
        <v/>
      </c>
      <c r="AY133" s="112" t="str">
        <f ca="1">IF(OR($AU133="",OFFSET(DATA!BM82,0,$AX$48)=""),"",OFFSET(DATA!BM82,0,$AX$48))</f>
        <v/>
      </c>
      <c r="AZ133" s="112" t="str">
        <f ca="1">IF(OR($AU133="",OFFSET(DATA!BO82,0,'Intermediate Data'!$AX$48)=""),"",OFFSET(DATA!BO82,0,$AX$48))</f>
        <v/>
      </c>
      <c r="BA133" s="112" t="str">
        <f ca="1">IF(OR($AU133="",DATA!BQ82=""),"",DATA!BQ82)</f>
        <v/>
      </c>
      <c r="BB133" s="112" t="str">
        <f ca="1">IF($AU133="","",OFFSET(DATA!BS82,0,$AX$48))</f>
        <v/>
      </c>
      <c r="BC133" s="112" t="str">
        <f ca="1">IF($AU133="","",OFFSET(DATA!BU82,0,$AX$48))</f>
        <v/>
      </c>
      <c r="BD133" s="112" t="str">
        <f ca="1">IF($AU133="","",OFFSET(DATA!BW82,0,$AX$48))</f>
        <v/>
      </c>
      <c r="BE133" s="112" t="str">
        <f ca="1">IF($AU133="","",OFFSET(DATA!BY82,0,$AX$48))</f>
        <v/>
      </c>
      <c r="BF133" s="112" t="str">
        <f ca="1">IF($AU133="","",OFFSET(DATA!CA82,0,$AX$48))</f>
        <v/>
      </c>
      <c r="BG133" s="112" t="str">
        <f ca="1">IF($AU133="","",DATA!CC82)</f>
        <v/>
      </c>
      <c r="BH133" s="112" t="str">
        <f ca="1">IF($AU133="","",OFFSET(DATA!CE82,0,$AX$48))</f>
        <v/>
      </c>
      <c r="BI133" s="112" t="str">
        <f ca="1">IF($AU133="","",OFFSET(DATA!CG82,0,$AX$48))</f>
        <v/>
      </c>
      <c r="BJ133" s="112" t="str">
        <f ca="1">IF($AU133="","",OFFSET(DATA!CI82,0,$AX$48))</f>
        <v/>
      </c>
      <c r="BK133" s="112" t="str">
        <f ca="1">IF($AU133="","",OFFSET(DATA!CK82,0,$AX$48))</f>
        <v/>
      </c>
      <c r="BL133" s="112" t="str">
        <f ca="1">IF($AU133="","",OFFSET(DATA!CM82,0,$AX$48))</f>
        <v/>
      </c>
      <c r="BM133" s="112" t="str">
        <f ca="1">IF($AU133="","",DATA!BH82)</f>
        <v/>
      </c>
      <c r="BN133" s="112" t="str">
        <f ca="1">IF($AU133="","",DATA!DS82)</f>
        <v/>
      </c>
      <c r="BO133" s="112" t="str">
        <f ca="1">IF($AU133="","",DATA!DU82)</f>
        <v/>
      </c>
      <c r="BP133" s="112" t="str">
        <f ca="1">IF($AU133="","",DATA!DV82)</f>
        <v/>
      </c>
      <c r="BQ133" s="112" t="str">
        <f ca="1">IF($AU133="","",DATA!DX82)</f>
        <v/>
      </c>
      <c r="BR133" s="112" t="str">
        <f ca="1">IF($AU133="","",DATA!DZ82)</f>
        <v/>
      </c>
      <c r="BS133" s="171" t="str">
        <f ca="1">IF($AU133="","",DATA!EA82)</f>
        <v/>
      </c>
      <c r="BT133" s="171" t="str">
        <f ca="1">IF($AU133="","",DATA!EC82)</f>
        <v/>
      </c>
      <c r="BU133" s="171" t="str">
        <f ca="1">IF($AU133="","",DATA!EF82)</f>
        <v/>
      </c>
      <c r="BV133" s="113" t="str">
        <f t="shared" ca="1" si="24"/>
        <v/>
      </c>
      <c r="BW133" s="680" t="str">
        <f ca="1">IF(AU133="","",OFFSET(DATA!DC82,0,'Intermediate Data'!$AX$48))</f>
        <v/>
      </c>
      <c r="BX133" s="681" t="str">
        <f ca="1">IF($AU133="","",DATA!DG82)</f>
        <v/>
      </c>
      <c r="BY133" s="680" t="str">
        <f ca="1">IF($AU133="","",OFFSET(DATA!DE82,0,'Intermediate Data'!$AX$48))</f>
        <v/>
      </c>
      <c r="BZ133" s="681" t="str">
        <f ca="1">IF($AU133="","",DATA!DH82)</f>
        <v/>
      </c>
      <c r="CA133" s="90" t="str">
        <f t="shared" ca="1" si="25"/>
        <v/>
      </c>
      <c r="CB133" s="99" t="str">
        <f t="shared" ca="1" si="26"/>
        <v/>
      </c>
      <c r="CC133" s="90" t="str">
        <f t="shared" ca="1" si="27"/>
        <v/>
      </c>
      <c r="CD133" s="90" t="str">
        <f t="shared" ca="1" si="28"/>
        <v/>
      </c>
      <c r="CF133" s="90" t="str">
        <f ca="1">IF($CD133="","",IF(OFFSET(AV$55,'Intermediate Data'!$CD133,0)=-98,"Unknown",IF(OFFSET(AV$55,'Intermediate Data'!$CD133,0)=-99,"N/A",OFFSET(AV$55,'Intermediate Data'!$CD133,0))))</f>
        <v/>
      </c>
      <c r="CG133" s="90" t="str">
        <f ca="1">IF($CD133="","",IF(OFFSET(AW$55,'Intermediate Data'!$CD133,0)=-98,"",IF(OFFSET(AW$55,'Intermediate Data'!$CD133,0)=-99,"N/A",OFFSET(AW$55,'Intermediate Data'!$CD133,0))))</f>
        <v/>
      </c>
      <c r="CH133" s="90" t="str">
        <f ca="1">IF($CD133="","",IF(OFFSET(AX$55,'Intermediate Data'!$CD133,0)=-98,"Unknown",IF(OFFSET(AX$55,'Intermediate Data'!$CD133,0)=-99,"N/A",OFFSET(AX$55,'Intermediate Data'!$CD133,0))))</f>
        <v/>
      </c>
      <c r="CI133" s="125" t="str">
        <f ca="1">IF($CD133="","",IF(OFFSET(AY$55,'Intermediate Data'!$CD133,0)=-98,"Unknown",IF(OFFSET(AY$55,'Intermediate Data'!$CD133,0)=-99,"No spec",OFFSET(AY$55,'Intermediate Data'!$CD133,0))))</f>
        <v/>
      </c>
      <c r="CJ133" s="125" t="str">
        <f ca="1">IF($CD133="","",IF(OFFSET(AZ$55,'Intermediate Data'!$CD133,0)=-98,"Unknown",IF(OFFSET(AZ$55,'Intermediate Data'!$CD133,0)=-99,"N/A",OFFSET(AZ$55,'Intermediate Data'!$CD133,0))))</f>
        <v/>
      </c>
      <c r="CK133" s="90" t="str">
        <f ca="1">IF($CD133="","",IF(OFFSET(BA$55,'Intermediate Data'!$CD133,0)=-98,"Unknown",IF(OFFSET(BA$55,'Intermediate Data'!$CD133,0)=-99,"N/A",OFFSET(BA$55,'Intermediate Data'!$CD133,0))))</f>
        <v/>
      </c>
      <c r="CL133" s="90" t="str">
        <f ca="1">IF($CD133="","",IF(OFFSET(BB$55,'Intermediate Data'!$CD133,$AX$50)=-98,"Unknown",IF(OFFSET(BB$55,'Intermediate Data'!$CD133,$AX$50)="N/A","",OFFSET(BB$55,'Intermediate Data'!$CD133,$AX$50))))</f>
        <v/>
      </c>
      <c r="CM133" s="90" t="str">
        <f ca="1">IF($CD133="","",IF(OFFSET(BG$55,'Intermediate Data'!$CD133,0)="ET","ET",""))</f>
        <v/>
      </c>
      <c r="CN133" s="90" t="str">
        <f ca="1">IF($CD133="","",IF(OFFSET(BH$55,'Intermediate Data'!$CD133,$AX$50)=-98,"Unknown",IF(OFFSET(BH$55,'Intermediate Data'!$CD133,$AX$50)="N/A","",OFFSET(BH$55,'Intermediate Data'!$CD133,$AX$50))))</f>
        <v/>
      </c>
      <c r="CO133" s="90" t="str">
        <f ca="1">IF($CD133="","",IF(OFFSET(BM$55,'Intermediate Data'!$CD133,0)=-98,"Not published",IF(OFFSET(BM$55,'Intermediate Data'!$CD133,0)=-99,"No spec",OFFSET(BM$55,'Intermediate Data'!$CD133,0))))</f>
        <v/>
      </c>
      <c r="CP133" s="114" t="str">
        <f ca="1">IF($CD133="","",IF(OFFSET(BN$55,'Intermediate Data'!$CD133,0)=-98,"Unknown",IF(OFFSET(BN$55,'Intermediate Data'!$CD133,0)=-99,"N/A",OFFSET(BN$55,'Intermediate Data'!$CD133,0))))</f>
        <v/>
      </c>
      <c r="CQ133" s="114" t="str">
        <f ca="1">IF($CD133="","",IF(OFFSET(BO$55,'Intermediate Data'!$CD133,0)=-98,"Unknown",IF(OFFSET(BO$55,'Intermediate Data'!$CD133,0)=-99,"N/A",OFFSET(BO$55,'Intermediate Data'!$CD133,0))))</f>
        <v/>
      </c>
      <c r="CR133" s="114" t="str">
        <f ca="1">IF($CD133="","",IF(OFFSET(BP$55,'Intermediate Data'!$CD133,0)=-98,"Unknown",IF(OFFSET(BP$55,'Intermediate Data'!$CD133,0)=-99,"N/A",OFFSET(BP$55,'Intermediate Data'!$CD133,0))))</f>
        <v/>
      </c>
      <c r="CS133" s="114" t="str">
        <f ca="1">IF($CD133="","",IF(OFFSET(BQ$55,'Intermediate Data'!$CD133,0)=-98,"Unknown",IF(OFFSET(BQ$55,'Intermediate Data'!$CD133,0)=-99,"N/A",OFFSET(BQ$55,'Intermediate Data'!$CD133,0))))</f>
        <v/>
      </c>
      <c r="CT133" s="114" t="str">
        <f ca="1">IF($CD133="","",IF(OFFSET(BR$55,'Intermediate Data'!$CD133,0)=-98,"Unknown",IF(OFFSET(BR$55,'Intermediate Data'!$CD133,0)=-99,"N/A",OFFSET(BR$55,'Intermediate Data'!$CD133,0))))</f>
        <v/>
      </c>
      <c r="CU133" s="114" t="str">
        <f ca="1">IF($CD133="","",IF(OFFSET(BS$55,'Intermediate Data'!$CD133,0)=-98,"Unknown",IF(OFFSET(BS$55,'Intermediate Data'!$CD133,0)=-99,"N/A",OFFSET(BS$55,'Intermediate Data'!$CD133,0))))</f>
        <v/>
      </c>
      <c r="CV133" s="114" t="str">
        <f ca="1">IF($CD133="","",IF(OFFSET(BT$55,'Intermediate Data'!$CD133,0)=-98,"Unknown",IF(OFFSET(BT$55,'Intermediate Data'!$CD133,0)=-99,"N/A",OFFSET(BT$55,'Intermediate Data'!$CD133,0))))</f>
        <v/>
      </c>
      <c r="CW133" s="114" t="str">
        <f ca="1">IF($CD133="","",IF(OFFSET(BU$55,'Intermediate Data'!$CD133,0)=-98,"Unknown",IF(OFFSET(BU$55,'Intermediate Data'!$CD133,0)=-99,"N/A",OFFSET(BU$55,'Intermediate Data'!$CD133,0))))</f>
        <v/>
      </c>
      <c r="CX133" s="114" t="str">
        <f ca="1">IF($CD133="","",IF(OFFSET(BV$55,'Intermediate Data'!$CD133,0)=-98,"Unknown",IF(OFFSET(BV$55,'Intermediate Data'!$CD133,0)=-99,"N/A",OFFSET(BV$55,'Intermediate Data'!$CD133,0))))</f>
        <v/>
      </c>
      <c r="CY133" s="682" t="str">
        <f ca="1">IF($CD133="","",IF(OFFSET(BW$55,'Intermediate Data'!$CD133,0)=-98,"Unknown",IF(OFFSET(BW$55,'Intermediate Data'!$CD133,0)="N/A","",OFFSET(BW$55,'Intermediate Data'!$CD133,0))))</f>
        <v/>
      </c>
      <c r="CZ133" s="682" t="str">
        <f ca="1">IF($CD133="","",IF(OFFSET(BX$55,'Intermediate Data'!$CD133,0)=-98,"Unknown",IF(OFFSET(BX$55,'Intermediate Data'!$CD133,0)="N/A","",OFFSET(BX$55,'Intermediate Data'!$CD133,0))))</f>
        <v/>
      </c>
      <c r="DA133" s="682" t="str">
        <f ca="1">IF($CD133="","",IF(OFFSET(BY$55,'Intermediate Data'!$CD133,0)=-98,"Unknown",IF(OFFSET(BY$55,'Intermediate Data'!$CD133,0)="N/A","",OFFSET(BY$55,'Intermediate Data'!$CD133,0))))</f>
        <v/>
      </c>
      <c r="DB133" s="682" t="str">
        <f ca="1">IF($CD133="","",IF(OFFSET(BZ$55,'Intermediate Data'!$CD133,0)=-98,"Unknown",IF(OFFSET(BZ$55,'Intermediate Data'!$CD133,0)="N/A","",OFFSET(BZ$55,'Intermediate Data'!$CD133,0))))</f>
        <v/>
      </c>
    </row>
    <row r="134" spans="1:106" x14ac:dyDescent="0.2">
      <c r="A134" s="90">
        <f ca="1">IF(OFFSET(DATA!F83,0,$D$48)='Intermediate Data'!$E$48,IF(OR($E$49=$C$27,$E$48=$B$4),DATA!A83,IF($G$49=DATA!D83,DATA!A83,"")),"")</f>
        <v>79</v>
      </c>
      <c r="B134" s="90">
        <f ca="1">IF($A134="","",DATA!EH83)</f>
        <v>40</v>
      </c>
      <c r="C134" s="90" t="str">
        <f ca="1">IF($A134="","",DATA!B83)</f>
        <v>Room AC</v>
      </c>
      <c r="D134" s="90">
        <f ca="1">IF($A134="","",OFFSET(DATA!$H83,0,($D$50*5)))</f>
        <v>0.09</v>
      </c>
      <c r="E134" s="90">
        <f ca="1">IF($A134="","",OFFSET(DATA!$H83,0,($D$50*5)+1))</f>
        <v>0.17593836027863638</v>
      </c>
      <c r="F134" s="90">
        <f ca="1">IF($A134="","",OFFSET(DATA!$H83,0,($D$50*5)+2))</f>
        <v>-98</v>
      </c>
      <c r="G134" s="90">
        <f ca="1">IF($A134="","",OFFSET(DATA!$H83,0,($D$50*5)+3))</f>
        <v>0.16778750749333124</v>
      </c>
      <c r="H134" s="90">
        <f ca="1">IF($A134="","",OFFSET(DATA!$H83,0,($D$50*5)+4))</f>
        <v>-99</v>
      </c>
      <c r="I134" s="90">
        <f t="shared" ca="1" si="17"/>
        <v>0.16778750749333124</v>
      </c>
      <c r="J134" s="90" t="str">
        <f t="shared" ca="1" si="18"/>
        <v>RASS</v>
      </c>
      <c r="K134" s="90">
        <f ca="1">IF($A134="","",OFFSET(DATA!$AG83,0,($D$50*5)))</f>
        <v>-99</v>
      </c>
      <c r="L134" s="90">
        <f ca="1">IF($A134="","",OFFSET(DATA!$AG83,0,($D$50*5)+1))</f>
        <v>0.20676044257001719</v>
      </c>
      <c r="M134" s="90">
        <f ca="1">IF($A134="","",OFFSET(DATA!$AG83,0,($D$50*5)+2))</f>
        <v>-99</v>
      </c>
      <c r="N134" s="90">
        <f ca="1">IF($A134="","",OFFSET(DATA!$AG83,0,($D$50*5)+3))</f>
        <v>0.20626864540110718</v>
      </c>
      <c r="O134" s="90">
        <f ca="1">IF($A134="","",OFFSET(DATA!$AG83,0,($D$50*5)+4))</f>
        <v>-99</v>
      </c>
      <c r="P134" s="90">
        <f t="shared" ca="1" si="19"/>
        <v>0.20626864540110718</v>
      </c>
      <c r="Q134" s="90" t="str">
        <f t="shared" ca="1" si="20"/>
        <v>RASS</v>
      </c>
      <c r="R134" s="699">
        <f ca="1">IF($A134="","",IF(DATA!BF83="",-99,DATA!BF83))</f>
        <v>0.60199999999999998</v>
      </c>
      <c r="S134" s="90">
        <f ca="1">IF($A134="","",IF(DATA!BG83="",-99,DATA!BF83-DATA!BG83))</f>
        <v>-1.8000000000000016E-2</v>
      </c>
      <c r="T134" s="90">
        <f ca="1">IF($A134="","",DATA!BH83)</f>
        <v>0.72</v>
      </c>
      <c r="U134" s="90">
        <f ca="1">IF($A134="","",OFFSET(DATA!BM83,0,$D$48))</f>
        <v>90</v>
      </c>
      <c r="V134" s="90">
        <f t="shared" ca="1" si="16"/>
        <v>40</v>
      </c>
      <c r="W134" s="99">
        <f t="shared" ca="1" si="21"/>
        <v>39.999959765794245</v>
      </c>
      <c r="X134" s="112">
        <f t="shared" ca="1" si="22"/>
        <v>49.99993103312277</v>
      </c>
      <c r="Y134" s="90">
        <f t="shared" ca="1" si="23"/>
        <v>76</v>
      </c>
      <c r="AA134" s="90" t="str">
        <f ca="1">IF($Y134="","",IF(OFFSET(C$55,'Intermediate Data'!$Y134,0)=-98,"Unknown",IF(OFFSET(C$55,'Intermediate Data'!$Y134,0)=-99,"N/A",OFFSET(C$55,'Intermediate Data'!$Y134,0))))</f>
        <v>Portable fan</v>
      </c>
      <c r="AB134" s="90" t="str">
        <f ca="1">IF($Y134="","",IF(OFFSET(D$55,'Intermediate Data'!$Y134,0)=-98,"N/A",IF(OFFSET(D$55,'Intermediate Data'!$Y134,0)=-99,"N/A",OFFSET(D$55,'Intermediate Data'!$Y134,0))))</f>
        <v>N/A</v>
      </c>
      <c r="AC134" s="90">
        <f ca="1">IF($Y134="","",IF(OFFSET(E$55,'Intermediate Data'!$Y134,0)=-98,"N/A",IF(OFFSET(E$55,'Intermediate Data'!$Y134,0)=-99,"N/A",OFFSET(E$55,'Intermediate Data'!$Y134,0))))</f>
        <v>0.61502267205466932</v>
      </c>
      <c r="AD134" s="90" t="str">
        <f ca="1">IF($Y134="","",IF(OFFSET(F$55,'Intermediate Data'!$Y134,0)=-98,"N/A",IF(OFFSET(F$55,'Intermediate Data'!$Y134,0)=-99,"N/A",OFFSET(F$55,'Intermediate Data'!$Y134,0))))</f>
        <v>N/A</v>
      </c>
      <c r="AE134" s="90">
        <f ca="1">IF($Y134="","",IF(OFFSET(G$55,'Intermediate Data'!$Y134,0)=-98,"N/A",IF(OFFSET(G$55,'Intermediate Data'!$Y134,0)=-99,"N/A",OFFSET(G$55,'Intermediate Data'!$Y134,0))))</f>
        <v>0.47905184261192296</v>
      </c>
      <c r="AF134" s="90" t="str">
        <f ca="1">IF($Y134="","",IF(OFFSET(H$55,'Intermediate Data'!$Y134,0)=-98,"N/A",IF(OFFSET(H$55,'Intermediate Data'!$Y134,0)=-99,"N/A",OFFSET(H$55,'Intermediate Data'!$Y134,0))))</f>
        <v>N/A</v>
      </c>
      <c r="AG134" s="90">
        <f ca="1">IF($Y134="","",IF(OFFSET(I$55,'Intermediate Data'!$Y134,0)=-98,"N/A",IF(OFFSET(I$55,'Intermediate Data'!$Y134,0)=-99,"N/A",OFFSET(I$55,'Intermediate Data'!$Y134,0))))</f>
        <v>0.47905184261192296</v>
      </c>
      <c r="AH134" s="90" t="str">
        <f ca="1">IF($Y134="","",IF(OFFSET(J$55,'Intermediate Data'!$Y134,0)=-98,"N/A",IF(OFFSET(J$55,'Intermediate Data'!$Y134,0)=-99,"N/A",OFFSET(J$55,'Intermediate Data'!$Y134,0))))</f>
        <v>RASS</v>
      </c>
      <c r="AI134" s="90" t="str">
        <f ca="1">IF($Y134="","",IF(OFFSET(K$55,'Intermediate Data'!$Y134,0)=-98,"N/A",IF(OFFSET(K$55,'Intermediate Data'!$Y134,0)=-99,"N/A",OFFSET(K$55,'Intermediate Data'!$Y134,0))))</f>
        <v>N/A</v>
      </c>
      <c r="AJ134" s="90">
        <f ca="1">IF($Y134="","",IF(OFFSET(L$55,'Intermediate Data'!$Y134,0)=-98,"N/A",IF(OFFSET(L$55,'Intermediate Data'!$Y134,0)=-99,"N/A",OFFSET(L$55,'Intermediate Data'!$Y134,0))))</f>
        <v>0.99578941510944174</v>
      </c>
      <c r="AK134" s="90" t="str">
        <f ca="1">IF($Y134="","",IF(OFFSET(M$55,'Intermediate Data'!$Y134,0)=-98,"N/A",IF(OFFSET(M$55,'Intermediate Data'!$Y134,0)=-99,"N/A",OFFSET(M$55,'Intermediate Data'!$Y134,0))))</f>
        <v>N/A</v>
      </c>
      <c r="AL134" s="90">
        <f ca="1">IF($Y134="","",IF(OFFSET(N$55,'Intermediate Data'!$Y134,0)=-98,"N/A",IF(OFFSET(N$55,'Intermediate Data'!$Y134,0)=-99,"N/A",OFFSET(N$55,'Intermediate Data'!$Y134,0))))</f>
        <v>0.74921190581772601</v>
      </c>
      <c r="AM134" s="90" t="str">
        <f ca="1">IF($Y134="","",IF(OFFSET(O$55,'Intermediate Data'!$Y134,0)=-98,"N/A",IF(OFFSET(O$55,'Intermediate Data'!$Y134,0)=-99,"N/A",OFFSET(O$55,'Intermediate Data'!$Y134,0))))</f>
        <v>N/A</v>
      </c>
      <c r="AN134" s="90">
        <f ca="1">IF($Y134="","",IF(OFFSET(P$55,'Intermediate Data'!$Y134,0)=-98,"N/A",IF(OFFSET(P$55,'Intermediate Data'!$Y134,0)=-99,"N/A",OFFSET(P$55,'Intermediate Data'!$Y134,0))))</f>
        <v>0.74921190581772601</v>
      </c>
      <c r="AO134" s="90" t="str">
        <f ca="1">IF($Y134="","",IF(OFFSET(Q$55,'Intermediate Data'!$Y134,0)=-98,"N/A",IF(OFFSET(Q$55,'Intermediate Data'!$Y134,0)=-99,"N/A",OFFSET(Q$55,'Intermediate Data'!$Y134,0))))</f>
        <v>RASS</v>
      </c>
      <c r="AP134" s="697" t="str">
        <f ca="1">IF($Y134="","",IF(OFFSET(S$55,'Intermediate Data'!$Y134,0)=-98,"",IF(OFFSET(S$55,'Intermediate Data'!$Y134,0)=-99,"",OFFSET(S$55,'Intermediate Data'!$Y134,0))))</f>
        <v/>
      </c>
      <c r="AQ134" s="90" t="str">
        <f ca="1">IF($Y134="","",IF(OFFSET(T$55,'Intermediate Data'!$Y134,0)=-98,"Not published",IF(OFFSET(T$55,'Intermediate Data'!$Y134,0)=-99,"",OFFSET(T$55,'Intermediate Data'!$Y134,0))))</f>
        <v/>
      </c>
      <c r="AR134" s="90" t="str">
        <f ca="1">IF($Y134="","",IF(OFFSET(U$55,'Intermediate Data'!$Y134,0)=-98,"Unknown",IF(OFFSET(U$55,'Intermediate Data'!$Y134,0)=-99,"",OFFSET(U$55,'Intermediate Data'!$Y134,0))))</f>
        <v/>
      </c>
      <c r="AU134" s="112" t="str">
        <f ca="1">IF(AND(OFFSET(DATA!$F83,0,$AX$48)='Intermediate Data'!$AY$48,DATA!$E83="Tier 1"),IF(OR($AX$49=0,$AX$48=1),DATA!A83,IF(AND($AX$49=1,INDEX('Intermediate Data'!$AY$25:$AY$44,MATCH(DATA!$B83,'Intermediate Data'!$AX$25:$AX$44,0))=TRUE),DATA!A83,"")),"")</f>
        <v/>
      </c>
      <c r="AV134" s="112" t="str">
        <f ca="1">IF($AU134="","",DATA!B83)</f>
        <v/>
      </c>
      <c r="AW134" s="112" t="str">
        <f ca="1">IF(OR($AU134="",DATA!BI83=""),"",DATA!BI83)</f>
        <v/>
      </c>
      <c r="AX134" s="112" t="str">
        <f ca="1">IF(OR($AU134="",OFFSET(DATA!BK83,0,$AX$48)=""),"",OFFSET(DATA!BK83,0,$AX$48))</f>
        <v/>
      </c>
      <c r="AY134" s="112" t="str">
        <f ca="1">IF(OR($AU134="",OFFSET(DATA!BM83,0,$AX$48)=""),"",OFFSET(DATA!BM83,0,$AX$48))</f>
        <v/>
      </c>
      <c r="AZ134" s="112" t="str">
        <f ca="1">IF(OR($AU134="",OFFSET(DATA!BO83,0,'Intermediate Data'!$AX$48)=""),"",OFFSET(DATA!BO83,0,$AX$48))</f>
        <v/>
      </c>
      <c r="BA134" s="112" t="str">
        <f ca="1">IF(OR($AU134="",DATA!BQ83=""),"",DATA!BQ83)</f>
        <v/>
      </c>
      <c r="BB134" s="112" t="str">
        <f ca="1">IF($AU134="","",OFFSET(DATA!BS83,0,$AX$48))</f>
        <v/>
      </c>
      <c r="BC134" s="112" t="str">
        <f ca="1">IF($AU134="","",OFFSET(DATA!BU83,0,$AX$48))</f>
        <v/>
      </c>
      <c r="BD134" s="112" t="str">
        <f ca="1">IF($AU134="","",OFFSET(DATA!BW83,0,$AX$48))</f>
        <v/>
      </c>
      <c r="BE134" s="112" t="str">
        <f ca="1">IF($AU134="","",OFFSET(DATA!BY83,0,$AX$48))</f>
        <v/>
      </c>
      <c r="BF134" s="112" t="str">
        <f ca="1">IF($AU134="","",OFFSET(DATA!CA83,0,$AX$48))</f>
        <v/>
      </c>
      <c r="BG134" s="112" t="str">
        <f ca="1">IF($AU134="","",DATA!CC83)</f>
        <v/>
      </c>
      <c r="BH134" s="112" t="str">
        <f ca="1">IF($AU134="","",OFFSET(DATA!CE83,0,$AX$48))</f>
        <v/>
      </c>
      <c r="BI134" s="112" t="str">
        <f ca="1">IF($AU134="","",OFFSET(DATA!CG83,0,$AX$48))</f>
        <v/>
      </c>
      <c r="BJ134" s="112" t="str">
        <f ca="1">IF($AU134="","",OFFSET(DATA!CI83,0,$AX$48))</f>
        <v/>
      </c>
      <c r="BK134" s="112" t="str">
        <f ca="1">IF($AU134="","",OFFSET(DATA!CK83,0,$AX$48))</f>
        <v/>
      </c>
      <c r="BL134" s="112" t="str">
        <f ca="1">IF($AU134="","",OFFSET(DATA!CM83,0,$AX$48))</f>
        <v/>
      </c>
      <c r="BM134" s="112" t="str">
        <f ca="1">IF($AU134="","",DATA!BH83)</f>
        <v/>
      </c>
      <c r="BN134" s="112" t="str">
        <f ca="1">IF($AU134="","",DATA!DS83)</f>
        <v/>
      </c>
      <c r="BO134" s="112" t="str">
        <f ca="1">IF($AU134="","",DATA!DU83)</f>
        <v/>
      </c>
      <c r="BP134" s="112" t="str">
        <f ca="1">IF($AU134="","",DATA!DV83)</f>
        <v/>
      </c>
      <c r="BQ134" s="112" t="str">
        <f ca="1">IF($AU134="","",DATA!DX83)</f>
        <v/>
      </c>
      <c r="BR134" s="112" t="str">
        <f ca="1">IF($AU134="","",DATA!DZ83)</f>
        <v/>
      </c>
      <c r="BS134" s="171" t="str">
        <f ca="1">IF($AU134="","",DATA!EA83)</f>
        <v/>
      </c>
      <c r="BT134" s="171" t="str">
        <f ca="1">IF($AU134="","",DATA!EC83)</f>
        <v/>
      </c>
      <c r="BU134" s="171" t="str">
        <f ca="1">IF($AU134="","",DATA!EF83)</f>
        <v/>
      </c>
      <c r="BV134" s="113" t="str">
        <f t="shared" ca="1" si="24"/>
        <v/>
      </c>
      <c r="BW134" s="680" t="str">
        <f ca="1">IF(AU134="","",OFFSET(DATA!DC83,0,'Intermediate Data'!$AX$48))</f>
        <v/>
      </c>
      <c r="BX134" s="681" t="str">
        <f ca="1">IF($AU134="","",DATA!DG83)</f>
        <v/>
      </c>
      <c r="BY134" s="680" t="str">
        <f ca="1">IF($AU134="","",OFFSET(DATA!DE83,0,'Intermediate Data'!$AX$48))</f>
        <v/>
      </c>
      <c r="BZ134" s="681" t="str">
        <f ca="1">IF($AU134="","",DATA!DH83)</f>
        <v/>
      </c>
      <c r="CA134" s="90" t="str">
        <f t="shared" ca="1" si="25"/>
        <v/>
      </c>
      <c r="CB134" s="99" t="str">
        <f t="shared" ca="1" si="26"/>
        <v/>
      </c>
      <c r="CC134" s="90" t="str">
        <f t="shared" ca="1" si="27"/>
        <v/>
      </c>
      <c r="CD134" s="90" t="str">
        <f t="shared" ca="1" si="28"/>
        <v/>
      </c>
      <c r="CF134" s="90" t="str">
        <f ca="1">IF($CD134="","",IF(OFFSET(AV$55,'Intermediate Data'!$CD134,0)=-98,"Unknown",IF(OFFSET(AV$55,'Intermediate Data'!$CD134,0)=-99,"N/A",OFFSET(AV$55,'Intermediate Data'!$CD134,0))))</f>
        <v/>
      </c>
      <c r="CG134" s="90" t="str">
        <f ca="1">IF($CD134="","",IF(OFFSET(AW$55,'Intermediate Data'!$CD134,0)=-98,"",IF(OFFSET(AW$55,'Intermediate Data'!$CD134,0)=-99,"N/A",OFFSET(AW$55,'Intermediate Data'!$CD134,0))))</f>
        <v/>
      </c>
      <c r="CH134" s="90" t="str">
        <f ca="1">IF($CD134="","",IF(OFFSET(AX$55,'Intermediate Data'!$CD134,0)=-98,"Unknown",IF(OFFSET(AX$55,'Intermediate Data'!$CD134,0)=-99,"N/A",OFFSET(AX$55,'Intermediate Data'!$CD134,0))))</f>
        <v/>
      </c>
      <c r="CI134" s="125" t="str">
        <f ca="1">IF($CD134="","",IF(OFFSET(AY$55,'Intermediate Data'!$CD134,0)=-98,"Unknown",IF(OFFSET(AY$55,'Intermediate Data'!$CD134,0)=-99,"No spec",OFFSET(AY$55,'Intermediate Data'!$CD134,0))))</f>
        <v/>
      </c>
      <c r="CJ134" s="125" t="str">
        <f ca="1">IF($CD134="","",IF(OFFSET(AZ$55,'Intermediate Data'!$CD134,0)=-98,"Unknown",IF(OFFSET(AZ$55,'Intermediate Data'!$CD134,0)=-99,"N/A",OFFSET(AZ$55,'Intermediate Data'!$CD134,0))))</f>
        <v/>
      </c>
      <c r="CK134" s="90" t="str">
        <f ca="1">IF($CD134="","",IF(OFFSET(BA$55,'Intermediate Data'!$CD134,0)=-98,"Unknown",IF(OFFSET(BA$55,'Intermediate Data'!$CD134,0)=-99,"N/A",OFFSET(BA$55,'Intermediate Data'!$CD134,0))))</f>
        <v/>
      </c>
      <c r="CL134" s="90" t="str">
        <f ca="1">IF($CD134="","",IF(OFFSET(BB$55,'Intermediate Data'!$CD134,$AX$50)=-98,"Unknown",IF(OFFSET(BB$55,'Intermediate Data'!$CD134,$AX$50)="N/A","",OFFSET(BB$55,'Intermediate Data'!$CD134,$AX$50))))</f>
        <v/>
      </c>
      <c r="CM134" s="90" t="str">
        <f ca="1">IF($CD134="","",IF(OFFSET(BG$55,'Intermediate Data'!$CD134,0)="ET","ET",""))</f>
        <v/>
      </c>
      <c r="CN134" s="90" t="str">
        <f ca="1">IF($CD134="","",IF(OFFSET(BH$55,'Intermediate Data'!$CD134,$AX$50)=-98,"Unknown",IF(OFFSET(BH$55,'Intermediate Data'!$CD134,$AX$50)="N/A","",OFFSET(BH$55,'Intermediate Data'!$CD134,$AX$50))))</f>
        <v/>
      </c>
      <c r="CO134" s="90" t="str">
        <f ca="1">IF($CD134="","",IF(OFFSET(BM$55,'Intermediate Data'!$CD134,0)=-98,"Not published",IF(OFFSET(BM$55,'Intermediate Data'!$CD134,0)=-99,"No spec",OFFSET(BM$55,'Intermediate Data'!$CD134,0))))</f>
        <v/>
      </c>
      <c r="CP134" s="114" t="str">
        <f ca="1">IF($CD134="","",IF(OFFSET(BN$55,'Intermediate Data'!$CD134,0)=-98,"Unknown",IF(OFFSET(BN$55,'Intermediate Data'!$CD134,0)=-99,"N/A",OFFSET(BN$55,'Intermediate Data'!$CD134,0))))</f>
        <v/>
      </c>
      <c r="CQ134" s="114" t="str">
        <f ca="1">IF($CD134="","",IF(OFFSET(BO$55,'Intermediate Data'!$CD134,0)=-98,"Unknown",IF(OFFSET(BO$55,'Intermediate Data'!$CD134,0)=-99,"N/A",OFFSET(BO$55,'Intermediate Data'!$CD134,0))))</f>
        <v/>
      </c>
      <c r="CR134" s="114" t="str">
        <f ca="1">IF($CD134="","",IF(OFFSET(BP$55,'Intermediate Data'!$CD134,0)=-98,"Unknown",IF(OFFSET(BP$55,'Intermediate Data'!$CD134,0)=-99,"N/A",OFFSET(BP$55,'Intermediate Data'!$CD134,0))))</f>
        <v/>
      </c>
      <c r="CS134" s="114" t="str">
        <f ca="1">IF($CD134="","",IF(OFFSET(BQ$55,'Intermediate Data'!$CD134,0)=-98,"Unknown",IF(OFFSET(BQ$55,'Intermediate Data'!$CD134,0)=-99,"N/A",OFFSET(BQ$55,'Intermediate Data'!$CD134,0))))</f>
        <v/>
      </c>
      <c r="CT134" s="114" t="str">
        <f ca="1">IF($CD134="","",IF(OFFSET(BR$55,'Intermediate Data'!$CD134,0)=-98,"Unknown",IF(OFFSET(BR$55,'Intermediate Data'!$CD134,0)=-99,"N/A",OFFSET(BR$55,'Intermediate Data'!$CD134,0))))</f>
        <v/>
      </c>
      <c r="CU134" s="114" t="str">
        <f ca="1">IF($CD134="","",IF(OFFSET(BS$55,'Intermediate Data'!$CD134,0)=-98,"Unknown",IF(OFFSET(BS$55,'Intermediate Data'!$CD134,0)=-99,"N/A",OFFSET(BS$55,'Intermediate Data'!$CD134,0))))</f>
        <v/>
      </c>
      <c r="CV134" s="114" t="str">
        <f ca="1">IF($CD134="","",IF(OFFSET(BT$55,'Intermediate Data'!$CD134,0)=-98,"Unknown",IF(OFFSET(BT$55,'Intermediate Data'!$CD134,0)=-99,"N/A",OFFSET(BT$55,'Intermediate Data'!$CD134,0))))</f>
        <v/>
      </c>
      <c r="CW134" s="114" t="str">
        <f ca="1">IF($CD134="","",IF(OFFSET(BU$55,'Intermediate Data'!$CD134,0)=-98,"Unknown",IF(OFFSET(BU$55,'Intermediate Data'!$CD134,0)=-99,"N/A",OFFSET(BU$55,'Intermediate Data'!$CD134,0))))</f>
        <v/>
      </c>
      <c r="CX134" s="114" t="str">
        <f ca="1">IF($CD134="","",IF(OFFSET(BV$55,'Intermediate Data'!$CD134,0)=-98,"Unknown",IF(OFFSET(BV$55,'Intermediate Data'!$CD134,0)=-99,"N/A",OFFSET(BV$55,'Intermediate Data'!$CD134,0))))</f>
        <v/>
      </c>
      <c r="CY134" s="682" t="str">
        <f ca="1">IF($CD134="","",IF(OFFSET(BW$55,'Intermediate Data'!$CD134,0)=-98,"Unknown",IF(OFFSET(BW$55,'Intermediate Data'!$CD134,0)="N/A","",OFFSET(BW$55,'Intermediate Data'!$CD134,0))))</f>
        <v/>
      </c>
      <c r="CZ134" s="682" t="str">
        <f ca="1">IF($CD134="","",IF(OFFSET(BX$55,'Intermediate Data'!$CD134,0)=-98,"Unknown",IF(OFFSET(BX$55,'Intermediate Data'!$CD134,0)="N/A","",OFFSET(BX$55,'Intermediate Data'!$CD134,0))))</f>
        <v/>
      </c>
      <c r="DA134" s="682" t="str">
        <f ca="1">IF($CD134="","",IF(OFFSET(BY$55,'Intermediate Data'!$CD134,0)=-98,"Unknown",IF(OFFSET(BY$55,'Intermediate Data'!$CD134,0)="N/A","",OFFSET(BY$55,'Intermediate Data'!$CD134,0))))</f>
        <v/>
      </c>
      <c r="DB134" s="682" t="str">
        <f ca="1">IF($CD134="","",IF(OFFSET(BZ$55,'Intermediate Data'!$CD134,0)=-98,"Unknown",IF(OFFSET(BZ$55,'Intermediate Data'!$CD134,0)="N/A","",OFFSET(BZ$55,'Intermediate Data'!$CD134,0))))</f>
        <v/>
      </c>
    </row>
    <row r="135" spans="1:106" x14ac:dyDescent="0.2">
      <c r="A135" s="90">
        <f ca="1">IF(OFFSET(DATA!F84,0,$D$48)='Intermediate Data'!$E$48,IF(OR($E$49=$C$27,$E$48=$B$4),DATA!A84,IF($G$49=DATA!D84,DATA!A84,"")),"")</f>
        <v>80</v>
      </c>
      <c r="B135" s="90">
        <f ca="1">IF($A135="","",DATA!EH84)</f>
        <v>94</v>
      </c>
      <c r="C135" s="90" t="str">
        <f ca="1">IF($A135="","",DATA!B84)</f>
        <v>Evaporative cooler</v>
      </c>
      <c r="D135" s="90">
        <f ca="1">IF($A135="","",OFFSET(DATA!$H84,0,($D$50*5)))</f>
        <v>3.2000000000000001E-2</v>
      </c>
      <c r="E135" s="90">
        <f ca="1">IF($A135="","",OFFSET(DATA!$H84,0,($D$50*5)+1))</f>
        <v>4.9346286092956798E-2</v>
      </c>
      <c r="F135" s="90">
        <f ca="1">IF($A135="","",OFFSET(DATA!$H84,0,($D$50*5)+2))</f>
        <v>-98</v>
      </c>
      <c r="G135" s="90">
        <f ca="1">IF($A135="","",OFFSET(DATA!$H84,0,($D$50*5)+3))</f>
        <v>4.8223933953954405E-2</v>
      </c>
      <c r="H135" s="90">
        <f ca="1">IF($A135="","",OFFSET(DATA!$H84,0,($D$50*5)+4))</f>
        <v>-99</v>
      </c>
      <c r="I135" s="90">
        <f t="shared" ca="1" si="17"/>
        <v>4.8223933953954405E-2</v>
      </c>
      <c r="J135" s="90" t="str">
        <f t="shared" ca="1" si="18"/>
        <v>RASS</v>
      </c>
      <c r="K135" s="90">
        <f ca="1">IF($A135="","",OFFSET(DATA!$AG84,0,($D$50*5)))</f>
        <v>-99</v>
      </c>
      <c r="L135" s="90">
        <f ca="1">IF($A135="","",OFFSET(DATA!$AG84,0,($D$50*5)+1))</f>
        <v>5.5545740507961509E-2</v>
      </c>
      <c r="M135" s="90">
        <f ca="1">IF($A135="","",OFFSET(DATA!$AG84,0,($D$50*5)+2))</f>
        <v>-99</v>
      </c>
      <c r="N135" s="90">
        <f ca="1">IF($A135="","",OFFSET(DATA!$AG84,0,($D$50*5)+3))</f>
        <v>5.4316197866149371E-2</v>
      </c>
      <c r="O135" s="90">
        <f ca="1">IF($A135="","",OFFSET(DATA!$AG84,0,($D$50*5)+4))</f>
        <v>-99</v>
      </c>
      <c r="P135" s="90">
        <f t="shared" ca="1" si="19"/>
        <v>5.4316197866149371E-2</v>
      </c>
      <c r="Q135" s="90" t="str">
        <f t="shared" ca="1" si="20"/>
        <v>RASS</v>
      </c>
      <c r="R135" s="699">
        <f ca="1">IF($A135="","",IF(DATA!BF84="",-99,DATA!BF84))</f>
        <v>-99</v>
      </c>
      <c r="S135" s="90">
        <f ca="1">IF($A135="","",IF(DATA!BG84="",-99,DATA!BF84-DATA!BG84))</f>
        <v>-99</v>
      </c>
      <c r="T135" s="90">
        <f ca="1">IF($A135="","",DATA!BH84)</f>
        <v>-99</v>
      </c>
      <c r="U135" s="90">
        <f ca="1">IF($A135="","",OFFSET(DATA!BM84,0,$D$48))</f>
        <v>-99</v>
      </c>
      <c r="V135" s="90">
        <f t="shared" ca="1" si="16"/>
        <v>94</v>
      </c>
      <c r="W135" s="99">
        <f t="shared" ca="1" si="21"/>
        <v>93.999930826915616</v>
      </c>
      <c r="X135" s="112">
        <f t="shared" ca="1" si="22"/>
        <v>48.999930864025096</v>
      </c>
      <c r="Y135" s="90">
        <f t="shared" ca="1" si="23"/>
        <v>77</v>
      </c>
      <c r="AA135" s="90" t="str">
        <f ca="1">IF($Y135="","",IF(OFFSET(C$55,'Intermediate Data'!$Y135,0)=-98,"Unknown",IF(OFFSET(C$55,'Intermediate Data'!$Y135,0)=-99,"N/A",OFFSET(C$55,'Intermediate Data'!$Y135,0))))</f>
        <v>Portable space heater</v>
      </c>
      <c r="AB135" s="90" t="str">
        <f ca="1">IF($Y135="","",IF(OFFSET(D$55,'Intermediate Data'!$Y135,0)=-98,"N/A",IF(OFFSET(D$55,'Intermediate Data'!$Y135,0)=-99,"N/A",OFFSET(D$55,'Intermediate Data'!$Y135,0))))</f>
        <v>N/A</v>
      </c>
      <c r="AC135" s="90">
        <f ca="1">IF($Y135="","",IF(OFFSET(E$55,'Intermediate Data'!$Y135,0)=-98,"N/A",IF(OFFSET(E$55,'Intermediate Data'!$Y135,0)=-99,"N/A",OFFSET(E$55,'Intermediate Data'!$Y135,0))))</f>
        <v>0.23682349997699048</v>
      </c>
      <c r="AD135" s="90" t="str">
        <f ca="1">IF($Y135="","",IF(OFFSET(F$55,'Intermediate Data'!$Y135,0)=-98,"N/A",IF(OFFSET(F$55,'Intermediate Data'!$Y135,0)=-99,"N/A",OFFSET(F$55,'Intermediate Data'!$Y135,0))))</f>
        <v>N/A</v>
      </c>
      <c r="AE135" s="90">
        <f ca="1">IF($Y135="","",IF(OFFSET(G$55,'Intermediate Data'!$Y135,0)=-98,"N/A",IF(OFFSET(G$55,'Intermediate Data'!$Y135,0)=-99,"N/A",OFFSET(G$55,'Intermediate Data'!$Y135,0))))</f>
        <v>0.32646402302201455</v>
      </c>
      <c r="AF135" s="90" t="str">
        <f ca="1">IF($Y135="","",IF(OFFSET(H$55,'Intermediate Data'!$Y135,0)=-98,"N/A",IF(OFFSET(H$55,'Intermediate Data'!$Y135,0)=-99,"N/A",OFFSET(H$55,'Intermediate Data'!$Y135,0))))</f>
        <v>N/A</v>
      </c>
      <c r="AG135" s="90">
        <f ca="1">IF($Y135="","",IF(OFFSET(I$55,'Intermediate Data'!$Y135,0)=-98,"N/A",IF(OFFSET(I$55,'Intermediate Data'!$Y135,0)=-99,"N/A",OFFSET(I$55,'Intermediate Data'!$Y135,0))))</f>
        <v>0.32646402302201455</v>
      </c>
      <c r="AH135" s="90" t="str">
        <f ca="1">IF($Y135="","",IF(OFFSET(J$55,'Intermediate Data'!$Y135,0)=-98,"N/A",IF(OFFSET(J$55,'Intermediate Data'!$Y135,0)=-99,"N/A",OFFSET(J$55,'Intermediate Data'!$Y135,0))))</f>
        <v>RASS</v>
      </c>
      <c r="AI135" s="90" t="str">
        <f ca="1">IF($Y135="","",IF(OFFSET(K$55,'Intermediate Data'!$Y135,0)=-98,"N/A",IF(OFFSET(K$55,'Intermediate Data'!$Y135,0)=-99,"N/A",OFFSET(K$55,'Intermediate Data'!$Y135,0))))</f>
        <v>N/A</v>
      </c>
      <c r="AJ135" s="90">
        <f ca="1">IF($Y135="","",IF(OFFSET(L$55,'Intermediate Data'!$Y135,0)=-98,"N/A",IF(OFFSET(L$55,'Intermediate Data'!$Y135,0)=-99,"N/A",OFFSET(L$55,'Intermediate Data'!$Y135,0))))</f>
        <v>0.3031481797874766</v>
      </c>
      <c r="AK135" s="90" t="str">
        <f ca="1">IF($Y135="","",IF(OFFSET(M$55,'Intermediate Data'!$Y135,0)=-98,"N/A",IF(OFFSET(M$55,'Intermediate Data'!$Y135,0)=-99,"N/A",OFFSET(M$55,'Intermediate Data'!$Y135,0))))</f>
        <v>N/A</v>
      </c>
      <c r="AL135" s="90">
        <f ca="1">IF($Y135="","",IF(OFFSET(N$55,'Intermediate Data'!$Y135,0)=-98,"N/A",IF(OFFSET(N$55,'Intermediate Data'!$Y135,0)=-99,"N/A",OFFSET(N$55,'Intermediate Data'!$Y135,0))))</f>
        <v>0.43415130159261134</v>
      </c>
      <c r="AM135" s="90" t="str">
        <f ca="1">IF($Y135="","",IF(OFFSET(O$55,'Intermediate Data'!$Y135,0)=-98,"N/A",IF(OFFSET(O$55,'Intermediate Data'!$Y135,0)=-99,"N/A",OFFSET(O$55,'Intermediate Data'!$Y135,0))))</f>
        <v>N/A</v>
      </c>
      <c r="AN135" s="90">
        <f ca="1">IF($Y135="","",IF(OFFSET(P$55,'Intermediate Data'!$Y135,0)=-98,"N/A",IF(OFFSET(P$55,'Intermediate Data'!$Y135,0)=-99,"N/A",OFFSET(P$55,'Intermediate Data'!$Y135,0))))</f>
        <v>0.43415130159261134</v>
      </c>
      <c r="AO135" s="90" t="str">
        <f ca="1">IF($Y135="","",IF(OFFSET(Q$55,'Intermediate Data'!$Y135,0)=-98,"N/A",IF(OFFSET(Q$55,'Intermediate Data'!$Y135,0)=-99,"N/A",OFFSET(Q$55,'Intermediate Data'!$Y135,0))))</f>
        <v>RASS</v>
      </c>
      <c r="AP135" s="697" t="str">
        <f ca="1">IF($Y135="","",IF(OFFSET(S$55,'Intermediate Data'!$Y135,0)=-98,"",IF(OFFSET(S$55,'Intermediate Data'!$Y135,0)=-99,"",OFFSET(S$55,'Intermediate Data'!$Y135,0))))</f>
        <v/>
      </c>
      <c r="AQ135" s="90" t="str">
        <f ca="1">IF($Y135="","",IF(OFFSET(T$55,'Intermediate Data'!$Y135,0)=-98,"Not published",IF(OFFSET(T$55,'Intermediate Data'!$Y135,0)=-99,"",OFFSET(T$55,'Intermediate Data'!$Y135,0))))</f>
        <v/>
      </c>
      <c r="AR135" s="90" t="str">
        <f ca="1">IF($Y135="","",IF(OFFSET(U$55,'Intermediate Data'!$Y135,0)=-98,"Unknown",IF(OFFSET(U$55,'Intermediate Data'!$Y135,0)=-99,"",OFFSET(U$55,'Intermediate Data'!$Y135,0))))</f>
        <v/>
      </c>
      <c r="AU135" s="112" t="str">
        <f ca="1">IF(AND(OFFSET(DATA!$F84,0,$AX$48)='Intermediate Data'!$AY$48,DATA!$E84="Tier 1"),IF(OR($AX$49=0,$AX$48=1),DATA!A84,IF(AND($AX$49=1,INDEX('Intermediate Data'!$AY$25:$AY$44,MATCH(DATA!$B84,'Intermediate Data'!$AX$25:$AX$44,0))=TRUE),DATA!A84,"")),"")</f>
        <v/>
      </c>
      <c r="AV135" s="112" t="str">
        <f ca="1">IF($AU135="","",DATA!B84)</f>
        <v/>
      </c>
      <c r="AW135" s="112" t="str">
        <f ca="1">IF(OR($AU135="",DATA!BI84=""),"",DATA!BI84)</f>
        <v/>
      </c>
      <c r="AX135" s="112" t="str">
        <f ca="1">IF(OR($AU135="",OFFSET(DATA!BK84,0,$AX$48)=""),"",OFFSET(DATA!BK84,0,$AX$48))</f>
        <v/>
      </c>
      <c r="AY135" s="112" t="str">
        <f ca="1">IF(OR($AU135="",OFFSET(DATA!BM84,0,$AX$48)=""),"",OFFSET(DATA!BM84,0,$AX$48))</f>
        <v/>
      </c>
      <c r="AZ135" s="112" t="str">
        <f ca="1">IF(OR($AU135="",OFFSET(DATA!BO84,0,'Intermediate Data'!$AX$48)=""),"",OFFSET(DATA!BO84,0,$AX$48))</f>
        <v/>
      </c>
      <c r="BA135" s="112" t="str">
        <f ca="1">IF(OR($AU135="",DATA!BQ84=""),"",DATA!BQ84)</f>
        <v/>
      </c>
      <c r="BB135" s="112" t="str">
        <f ca="1">IF($AU135="","",OFFSET(DATA!BS84,0,$AX$48))</f>
        <v/>
      </c>
      <c r="BC135" s="112" t="str">
        <f ca="1">IF($AU135="","",OFFSET(DATA!BU84,0,$AX$48))</f>
        <v/>
      </c>
      <c r="BD135" s="112" t="str">
        <f ca="1">IF($AU135="","",OFFSET(DATA!BW84,0,$AX$48))</f>
        <v/>
      </c>
      <c r="BE135" s="112" t="str">
        <f ca="1">IF($AU135="","",OFFSET(DATA!BY84,0,$AX$48))</f>
        <v/>
      </c>
      <c r="BF135" s="112" t="str">
        <f ca="1">IF($AU135="","",OFFSET(DATA!CA84,0,$AX$48))</f>
        <v/>
      </c>
      <c r="BG135" s="112" t="str">
        <f ca="1">IF($AU135="","",DATA!CC84)</f>
        <v/>
      </c>
      <c r="BH135" s="112" t="str">
        <f ca="1">IF($AU135="","",OFFSET(DATA!CE84,0,$AX$48))</f>
        <v/>
      </c>
      <c r="BI135" s="112" t="str">
        <f ca="1">IF($AU135="","",OFFSET(DATA!CG84,0,$AX$48))</f>
        <v/>
      </c>
      <c r="BJ135" s="112" t="str">
        <f ca="1">IF($AU135="","",OFFSET(DATA!CI84,0,$AX$48))</f>
        <v/>
      </c>
      <c r="BK135" s="112" t="str">
        <f ca="1">IF($AU135="","",OFFSET(DATA!CK84,0,$AX$48))</f>
        <v/>
      </c>
      <c r="BL135" s="112" t="str">
        <f ca="1">IF($AU135="","",OFFSET(DATA!CM84,0,$AX$48))</f>
        <v/>
      </c>
      <c r="BM135" s="112" t="str">
        <f ca="1">IF($AU135="","",DATA!BH84)</f>
        <v/>
      </c>
      <c r="BN135" s="112" t="str">
        <f ca="1">IF($AU135="","",DATA!DS84)</f>
        <v/>
      </c>
      <c r="BO135" s="112" t="str">
        <f ca="1">IF($AU135="","",DATA!DU84)</f>
        <v/>
      </c>
      <c r="BP135" s="112" t="str">
        <f ca="1">IF($AU135="","",DATA!DV84)</f>
        <v/>
      </c>
      <c r="BQ135" s="112" t="str">
        <f ca="1">IF($AU135="","",DATA!DX84)</f>
        <v/>
      </c>
      <c r="BR135" s="112" t="str">
        <f ca="1">IF($AU135="","",DATA!DZ84)</f>
        <v/>
      </c>
      <c r="BS135" s="171" t="str">
        <f ca="1">IF($AU135="","",DATA!EA84)</f>
        <v/>
      </c>
      <c r="BT135" s="171" t="str">
        <f ca="1">IF($AU135="","",DATA!EC84)</f>
        <v/>
      </c>
      <c r="BU135" s="171" t="str">
        <f ca="1">IF($AU135="","",DATA!EF84)</f>
        <v/>
      </c>
      <c r="BV135" s="113" t="str">
        <f t="shared" ca="1" si="24"/>
        <v/>
      </c>
      <c r="BW135" s="680" t="str">
        <f ca="1">IF(AU135="","",OFFSET(DATA!DC84,0,'Intermediate Data'!$AX$48))</f>
        <v/>
      </c>
      <c r="BX135" s="681" t="str">
        <f ca="1">IF($AU135="","",DATA!DG84)</f>
        <v/>
      </c>
      <c r="BY135" s="680" t="str">
        <f ca="1">IF($AU135="","",OFFSET(DATA!DE84,0,'Intermediate Data'!$AX$48))</f>
        <v/>
      </c>
      <c r="BZ135" s="681" t="str">
        <f ca="1">IF($AU135="","",DATA!DH84)</f>
        <v/>
      </c>
      <c r="CA135" s="90" t="str">
        <f t="shared" ca="1" si="25"/>
        <v/>
      </c>
      <c r="CB135" s="99" t="str">
        <f t="shared" ca="1" si="26"/>
        <v/>
      </c>
      <c r="CC135" s="90" t="str">
        <f t="shared" ca="1" si="27"/>
        <v/>
      </c>
      <c r="CD135" s="90" t="str">
        <f t="shared" ca="1" si="28"/>
        <v/>
      </c>
      <c r="CF135" s="90" t="str">
        <f ca="1">IF($CD135="","",IF(OFFSET(AV$55,'Intermediate Data'!$CD135,0)=-98,"Unknown",IF(OFFSET(AV$55,'Intermediate Data'!$CD135,0)=-99,"N/A",OFFSET(AV$55,'Intermediate Data'!$CD135,0))))</f>
        <v/>
      </c>
      <c r="CG135" s="90" t="str">
        <f ca="1">IF($CD135="","",IF(OFFSET(AW$55,'Intermediate Data'!$CD135,0)=-98,"",IF(OFFSET(AW$55,'Intermediate Data'!$CD135,0)=-99,"N/A",OFFSET(AW$55,'Intermediate Data'!$CD135,0))))</f>
        <v/>
      </c>
      <c r="CH135" s="90" t="str">
        <f ca="1">IF($CD135="","",IF(OFFSET(AX$55,'Intermediate Data'!$CD135,0)=-98,"Unknown",IF(OFFSET(AX$55,'Intermediate Data'!$CD135,0)=-99,"N/A",OFFSET(AX$55,'Intermediate Data'!$CD135,0))))</f>
        <v/>
      </c>
      <c r="CI135" s="125" t="str">
        <f ca="1">IF($CD135="","",IF(OFFSET(AY$55,'Intermediate Data'!$CD135,0)=-98,"Unknown",IF(OFFSET(AY$55,'Intermediate Data'!$CD135,0)=-99,"No spec",OFFSET(AY$55,'Intermediate Data'!$CD135,0))))</f>
        <v/>
      </c>
      <c r="CJ135" s="125" t="str">
        <f ca="1">IF($CD135="","",IF(OFFSET(AZ$55,'Intermediate Data'!$CD135,0)=-98,"Unknown",IF(OFFSET(AZ$55,'Intermediate Data'!$CD135,0)=-99,"N/A",OFFSET(AZ$55,'Intermediate Data'!$CD135,0))))</f>
        <v/>
      </c>
      <c r="CK135" s="90" t="str">
        <f ca="1">IF($CD135="","",IF(OFFSET(BA$55,'Intermediate Data'!$CD135,0)=-98,"Unknown",IF(OFFSET(BA$55,'Intermediate Data'!$CD135,0)=-99,"N/A",OFFSET(BA$55,'Intermediate Data'!$CD135,0))))</f>
        <v/>
      </c>
      <c r="CL135" s="90" t="str">
        <f ca="1">IF($CD135="","",IF(OFFSET(BB$55,'Intermediate Data'!$CD135,$AX$50)=-98,"Unknown",IF(OFFSET(BB$55,'Intermediate Data'!$CD135,$AX$50)="N/A","",OFFSET(BB$55,'Intermediate Data'!$CD135,$AX$50))))</f>
        <v/>
      </c>
      <c r="CM135" s="90" t="str">
        <f ca="1">IF($CD135="","",IF(OFFSET(BG$55,'Intermediate Data'!$CD135,0)="ET","ET",""))</f>
        <v/>
      </c>
      <c r="CN135" s="90" t="str">
        <f ca="1">IF($CD135="","",IF(OFFSET(BH$55,'Intermediate Data'!$CD135,$AX$50)=-98,"Unknown",IF(OFFSET(BH$55,'Intermediate Data'!$CD135,$AX$50)="N/A","",OFFSET(BH$55,'Intermediate Data'!$CD135,$AX$50))))</f>
        <v/>
      </c>
      <c r="CO135" s="90" t="str">
        <f ca="1">IF($CD135="","",IF(OFFSET(BM$55,'Intermediate Data'!$CD135,0)=-98,"Not published",IF(OFFSET(BM$55,'Intermediate Data'!$CD135,0)=-99,"No spec",OFFSET(BM$55,'Intermediate Data'!$CD135,0))))</f>
        <v/>
      </c>
      <c r="CP135" s="114" t="str">
        <f ca="1">IF($CD135="","",IF(OFFSET(BN$55,'Intermediate Data'!$CD135,0)=-98,"Unknown",IF(OFFSET(BN$55,'Intermediate Data'!$CD135,0)=-99,"N/A",OFFSET(BN$55,'Intermediate Data'!$CD135,0))))</f>
        <v/>
      </c>
      <c r="CQ135" s="114" t="str">
        <f ca="1">IF($CD135="","",IF(OFFSET(BO$55,'Intermediate Data'!$CD135,0)=-98,"Unknown",IF(OFFSET(BO$55,'Intermediate Data'!$CD135,0)=-99,"N/A",OFFSET(BO$55,'Intermediate Data'!$CD135,0))))</f>
        <v/>
      </c>
      <c r="CR135" s="114" t="str">
        <f ca="1">IF($CD135="","",IF(OFFSET(BP$55,'Intermediate Data'!$CD135,0)=-98,"Unknown",IF(OFFSET(BP$55,'Intermediate Data'!$CD135,0)=-99,"N/A",OFFSET(BP$55,'Intermediate Data'!$CD135,0))))</f>
        <v/>
      </c>
      <c r="CS135" s="114" t="str">
        <f ca="1">IF($CD135="","",IF(OFFSET(BQ$55,'Intermediate Data'!$CD135,0)=-98,"Unknown",IF(OFFSET(BQ$55,'Intermediate Data'!$CD135,0)=-99,"N/A",OFFSET(BQ$55,'Intermediate Data'!$CD135,0))))</f>
        <v/>
      </c>
      <c r="CT135" s="114" t="str">
        <f ca="1">IF($CD135="","",IF(OFFSET(BR$55,'Intermediate Data'!$CD135,0)=-98,"Unknown",IF(OFFSET(BR$55,'Intermediate Data'!$CD135,0)=-99,"N/A",OFFSET(BR$55,'Intermediate Data'!$CD135,0))))</f>
        <v/>
      </c>
      <c r="CU135" s="114" t="str">
        <f ca="1">IF($CD135="","",IF(OFFSET(BS$55,'Intermediate Data'!$CD135,0)=-98,"Unknown",IF(OFFSET(BS$55,'Intermediate Data'!$CD135,0)=-99,"N/A",OFFSET(BS$55,'Intermediate Data'!$CD135,0))))</f>
        <v/>
      </c>
      <c r="CV135" s="114" t="str">
        <f ca="1">IF($CD135="","",IF(OFFSET(BT$55,'Intermediate Data'!$CD135,0)=-98,"Unknown",IF(OFFSET(BT$55,'Intermediate Data'!$CD135,0)=-99,"N/A",OFFSET(BT$55,'Intermediate Data'!$CD135,0))))</f>
        <v/>
      </c>
      <c r="CW135" s="114" t="str">
        <f ca="1">IF($CD135="","",IF(OFFSET(BU$55,'Intermediate Data'!$CD135,0)=-98,"Unknown",IF(OFFSET(BU$55,'Intermediate Data'!$CD135,0)=-99,"N/A",OFFSET(BU$55,'Intermediate Data'!$CD135,0))))</f>
        <v/>
      </c>
      <c r="CX135" s="114" t="str">
        <f ca="1">IF($CD135="","",IF(OFFSET(BV$55,'Intermediate Data'!$CD135,0)=-98,"Unknown",IF(OFFSET(BV$55,'Intermediate Data'!$CD135,0)=-99,"N/A",OFFSET(BV$55,'Intermediate Data'!$CD135,0))))</f>
        <v/>
      </c>
      <c r="CY135" s="682" t="str">
        <f ca="1">IF($CD135="","",IF(OFFSET(BW$55,'Intermediate Data'!$CD135,0)=-98,"Unknown",IF(OFFSET(BW$55,'Intermediate Data'!$CD135,0)="N/A","",OFFSET(BW$55,'Intermediate Data'!$CD135,0))))</f>
        <v/>
      </c>
      <c r="CZ135" s="682" t="str">
        <f ca="1">IF($CD135="","",IF(OFFSET(BX$55,'Intermediate Data'!$CD135,0)=-98,"Unknown",IF(OFFSET(BX$55,'Intermediate Data'!$CD135,0)="N/A","",OFFSET(BX$55,'Intermediate Data'!$CD135,0))))</f>
        <v/>
      </c>
      <c r="DA135" s="682" t="str">
        <f ca="1">IF($CD135="","",IF(OFFSET(BY$55,'Intermediate Data'!$CD135,0)=-98,"Unknown",IF(OFFSET(BY$55,'Intermediate Data'!$CD135,0)="N/A","",OFFSET(BY$55,'Intermediate Data'!$CD135,0))))</f>
        <v/>
      </c>
      <c r="DB135" s="682" t="str">
        <f ca="1">IF($CD135="","",IF(OFFSET(BZ$55,'Intermediate Data'!$CD135,0)=-98,"Unknown",IF(OFFSET(BZ$55,'Intermediate Data'!$CD135,0)="N/A","",OFFSET(BZ$55,'Intermediate Data'!$CD135,0))))</f>
        <v/>
      </c>
    </row>
    <row r="136" spans="1:106" x14ac:dyDescent="0.2">
      <c r="A136" s="90">
        <f ca="1">IF(OFFSET(DATA!F85,0,$D$48)='Intermediate Data'!$E$48,IF(OR($E$49=$C$27,$E$48=$B$4),DATA!A85,IF($G$49=DATA!D85,DATA!A85,"")),"")</f>
        <v>81</v>
      </c>
      <c r="B136" s="90">
        <f ca="1">IF($A136="","",DATA!EH85)</f>
        <v>21</v>
      </c>
      <c r="C136" s="90" t="str">
        <f ca="1">IF($A136="","",DATA!B85)</f>
        <v>Thermostat - Smart</v>
      </c>
      <c r="D136" s="90">
        <f ca="1">IF($A136="","",OFFSET(DATA!$H85,0,($D$50*5)))</f>
        <v>-99</v>
      </c>
      <c r="E136" s="90">
        <f ca="1">IF($A136="","",OFFSET(DATA!$H85,0,($D$50*5)+1))</f>
        <v>0.31399245879919252</v>
      </c>
      <c r="F136" s="90">
        <f ca="1">IF($A136="","",OFFSET(DATA!$H85,0,($D$50*5)+2))</f>
        <v>0.311</v>
      </c>
      <c r="G136" s="90">
        <f ca="1">IF($A136="","",OFFSET(DATA!$H85,0,($D$50*5)+3))</f>
        <v>0.45028942619851753</v>
      </c>
      <c r="H136" s="90">
        <f ca="1">IF($A136="","",OFFSET(DATA!$H85,0,($D$50*5)+4))</f>
        <v>0.41900000000000004</v>
      </c>
      <c r="I136" s="90">
        <f t="shared" ca="1" si="17"/>
        <v>0.41900000000000004</v>
      </c>
      <c r="J136" s="90" t="str">
        <f t="shared" ca="1" si="18"/>
        <v>CLASS</v>
      </c>
      <c r="K136" s="90">
        <f ca="1">IF($A136="","",OFFSET(DATA!$AG85,0,($D$50*5)))</f>
        <v>-99</v>
      </c>
      <c r="L136" s="90">
        <f ca="1">IF($A136="","",OFFSET(DATA!$AG85,0,($D$50*5)+1))</f>
        <v>-99</v>
      </c>
      <c r="M136" s="90">
        <f ca="1">IF($A136="","",OFFSET(DATA!$AG85,0,($D$50*5)+2))</f>
        <v>-99</v>
      </c>
      <c r="N136" s="90">
        <f ca="1">IF($A136="","",OFFSET(DATA!$AG85,0,($D$50*5)+3))</f>
        <v>-99</v>
      </c>
      <c r="O136" s="90">
        <f ca="1">IF($A136="","",OFFSET(DATA!$AG85,0,($D$50*5)+4))</f>
        <v>-99</v>
      </c>
      <c r="P136" s="90">
        <f t="shared" ca="1" si="19"/>
        <v>-99</v>
      </c>
      <c r="Q136" s="90" t="str">
        <f t="shared" ca="1" si="20"/>
        <v/>
      </c>
      <c r="R136" s="699">
        <f ca="1">IF($A136="","",IF(DATA!BF85="",-99,DATA!BF85))</f>
        <v>-99</v>
      </c>
      <c r="S136" s="90">
        <f ca="1">IF($A136="","",IF(DATA!BG85="",-99,DATA!BF85-DATA!BG85))</f>
        <v>-99</v>
      </c>
      <c r="T136" s="90">
        <f ca="1">IF($A136="","",DATA!BH85)</f>
        <v>-99</v>
      </c>
      <c r="U136" s="90">
        <f ca="1">IF($A136="","",OFFSET(DATA!BM85,0,$D$48))</f>
        <v>-99</v>
      </c>
      <c r="V136" s="90">
        <f t="shared" ca="1" si="16"/>
        <v>21</v>
      </c>
      <c r="W136" s="99">
        <f t="shared" ca="1" si="21"/>
        <v>20.999930892688187</v>
      </c>
      <c r="X136" s="112">
        <f t="shared" ca="1" si="22"/>
        <v>47.99988120119</v>
      </c>
      <c r="Y136" s="90">
        <f t="shared" ca="1" si="23"/>
        <v>64</v>
      </c>
      <c r="AA136" s="90" t="str">
        <f ca="1">IF($Y136="","",IF(OFFSET(C$55,'Intermediate Data'!$Y136,0)=-98,"Unknown",IF(OFFSET(C$55,'Intermediate Data'!$Y136,0)=-99,"N/A",OFFSET(C$55,'Intermediate Data'!$Y136,0))))</f>
        <v>Power tool</v>
      </c>
      <c r="AB136" s="90" t="str">
        <f ca="1">IF($Y136="","",IF(OFFSET(D$55,'Intermediate Data'!$Y136,0)=-98,"N/A",IF(OFFSET(D$55,'Intermediate Data'!$Y136,0)=-99,"N/A",OFFSET(D$55,'Intermediate Data'!$Y136,0))))</f>
        <v>N/A</v>
      </c>
      <c r="AC136" s="90" t="str">
        <f ca="1">IF($Y136="","",IF(OFFSET(E$55,'Intermediate Data'!$Y136,0)=-98,"N/A",IF(OFFSET(E$55,'Intermediate Data'!$Y136,0)=-99,"N/A",OFFSET(E$55,'Intermediate Data'!$Y136,0))))</f>
        <v>N/A</v>
      </c>
      <c r="AD136" s="90" t="str">
        <f ca="1">IF($Y136="","",IF(OFFSET(F$55,'Intermediate Data'!$Y136,0)=-98,"N/A",IF(OFFSET(F$55,'Intermediate Data'!$Y136,0)=-99,"N/A",OFFSET(F$55,'Intermediate Data'!$Y136,0))))</f>
        <v>N/A</v>
      </c>
      <c r="AE136" s="90" t="str">
        <f ca="1">IF($Y136="","",IF(OFFSET(G$55,'Intermediate Data'!$Y136,0)=-98,"N/A",IF(OFFSET(G$55,'Intermediate Data'!$Y136,0)=-99,"N/A",OFFSET(G$55,'Intermediate Data'!$Y136,0))))</f>
        <v>N/A</v>
      </c>
      <c r="AF136" s="90" t="str">
        <f ca="1">IF($Y136="","",IF(OFFSET(H$55,'Intermediate Data'!$Y136,0)=-98,"N/A",IF(OFFSET(H$55,'Intermediate Data'!$Y136,0)=-99,"N/A",OFFSET(H$55,'Intermediate Data'!$Y136,0))))</f>
        <v>N/A</v>
      </c>
      <c r="AG136" s="90" t="str">
        <f ca="1">IF($Y136="","",IF(OFFSET(I$55,'Intermediate Data'!$Y136,0)=-98,"N/A",IF(OFFSET(I$55,'Intermediate Data'!$Y136,0)=-99,"N/A",OFFSET(I$55,'Intermediate Data'!$Y136,0))))</f>
        <v>N/A</v>
      </c>
      <c r="AH136" s="90" t="str">
        <f ca="1">IF($Y136="","",IF(OFFSET(J$55,'Intermediate Data'!$Y136,0)=-98,"N/A",IF(OFFSET(J$55,'Intermediate Data'!$Y136,0)=-99,"N/A",OFFSET(J$55,'Intermediate Data'!$Y136,0))))</f>
        <v/>
      </c>
      <c r="AI136" s="90" t="str">
        <f ca="1">IF($Y136="","",IF(OFFSET(K$55,'Intermediate Data'!$Y136,0)=-98,"N/A",IF(OFFSET(K$55,'Intermediate Data'!$Y136,0)=-99,"N/A",OFFSET(K$55,'Intermediate Data'!$Y136,0))))</f>
        <v>N/A</v>
      </c>
      <c r="AJ136" s="90" t="str">
        <f ca="1">IF($Y136="","",IF(OFFSET(L$55,'Intermediate Data'!$Y136,0)=-98,"N/A",IF(OFFSET(L$55,'Intermediate Data'!$Y136,0)=-99,"N/A",OFFSET(L$55,'Intermediate Data'!$Y136,0))))</f>
        <v>N/A</v>
      </c>
      <c r="AK136" s="90" t="str">
        <f ca="1">IF($Y136="","",IF(OFFSET(M$55,'Intermediate Data'!$Y136,0)=-98,"N/A",IF(OFFSET(M$55,'Intermediate Data'!$Y136,0)=-99,"N/A",OFFSET(M$55,'Intermediate Data'!$Y136,0))))</f>
        <v>N/A</v>
      </c>
      <c r="AL136" s="90" t="str">
        <f ca="1">IF($Y136="","",IF(OFFSET(N$55,'Intermediate Data'!$Y136,0)=-98,"N/A",IF(OFFSET(N$55,'Intermediate Data'!$Y136,0)=-99,"N/A",OFFSET(N$55,'Intermediate Data'!$Y136,0))))</f>
        <v>N/A</v>
      </c>
      <c r="AM136" s="90" t="str">
        <f ca="1">IF($Y136="","",IF(OFFSET(O$55,'Intermediate Data'!$Y136,0)=-98,"N/A",IF(OFFSET(O$55,'Intermediate Data'!$Y136,0)=-99,"N/A",OFFSET(O$55,'Intermediate Data'!$Y136,0))))</f>
        <v>N/A</v>
      </c>
      <c r="AN136" s="90" t="str">
        <f ca="1">IF($Y136="","",IF(OFFSET(P$55,'Intermediate Data'!$Y136,0)=-98,"N/A",IF(OFFSET(P$55,'Intermediate Data'!$Y136,0)=-99,"N/A",OFFSET(P$55,'Intermediate Data'!$Y136,0))))</f>
        <v>N/A</v>
      </c>
      <c r="AO136" s="90" t="str">
        <f ca="1">IF($Y136="","",IF(OFFSET(Q$55,'Intermediate Data'!$Y136,0)=-98,"N/A",IF(OFFSET(Q$55,'Intermediate Data'!$Y136,0)=-99,"N/A",OFFSET(Q$55,'Intermediate Data'!$Y136,0))))</f>
        <v/>
      </c>
      <c r="AP136" s="697" t="str">
        <f ca="1">IF($Y136="","",IF(OFFSET(S$55,'Intermediate Data'!$Y136,0)=-98,"",IF(OFFSET(S$55,'Intermediate Data'!$Y136,0)=-99,"",OFFSET(S$55,'Intermediate Data'!$Y136,0))))</f>
        <v/>
      </c>
      <c r="AQ136" s="90" t="str">
        <f ca="1">IF($Y136="","",IF(OFFSET(T$55,'Intermediate Data'!$Y136,0)=-98,"Not published",IF(OFFSET(T$55,'Intermediate Data'!$Y136,0)=-99,"",OFFSET(T$55,'Intermediate Data'!$Y136,0))))</f>
        <v/>
      </c>
      <c r="AR136" s="90" t="str">
        <f ca="1">IF($Y136="","",IF(OFFSET(U$55,'Intermediate Data'!$Y136,0)=-98,"Unknown",IF(OFFSET(U$55,'Intermediate Data'!$Y136,0)=-99,"",OFFSET(U$55,'Intermediate Data'!$Y136,0))))</f>
        <v/>
      </c>
      <c r="AU136" s="112" t="str">
        <f ca="1">IF(AND(OFFSET(DATA!$F85,0,$AX$48)='Intermediate Data'!$AY$48,DATA!$E85="Tier 1"),IF(OR($AX$49=0,$AX$48=1),DATA!A85,IF(AND($AX$49=1,INDEX('Intermediate Data'!$AY$25:$AY$44,MATCH(DATA!$B85,'Intermediate Data'!$AX$25:$AX$44,0))=TRUE),DATA!A85,"")),"")</f>
        <v/>
      </c>
      <c r="AV136" s="112" t="str">
        <f ca="1">IF($AU136="","",DATA!B85)</f>
        <v/>
      </c>
      <c r="AW136" s="112" t="str">
        <f ca="1">IF(OR($AU136="",DATA!BI85=""),"",DATA!BI85)</f>
        <v/>
      </c>
      <c r="AX136" s="112" t="str">
        <f ca="1">IF(OR($AU136="",OFFSET(DATA!BK85,0,$AX$48)=""),"",OFFSET(DATA!BK85,0,$AX$48))</f>
        <v/>
      </c>
      <c r="AY136" s="112" t="str">
        <f ca="1">IF(OR($AU136="",OFFSET(DATA!BM85,0,$AX$48)=""),"",OFFSET(DATA!BM85,0,$AX$48))</f>
        <v/>
      </c>
      <c r="AZ136" s="112" t="str">
        <f ca="1">IF(OR($AU136="",OFFSET(DATA!BO85,0,'Intermediate Data'!$AX$48)=""),"",OFFSET(DATA!BO85,0,$AX$48))</f>
        <v/>
      </c>
      <c r="BA136" s="112" t="str">
        <f ca="1">IF(OR($AU136="",DATA!BQ85=""),"",DATA!BQ85)</f>
        <v/>
      </c>
      <c r="BB136" s="112" t="str">
        <f ca="1">IF($AU136="","",OFFSET(DATA!BS85,0,$AX$48))</f>
        <v/>
      </c>
      <c r="BC136" s="112" t="str">
        <f ca="1">IF($AU136="","",OFFSET(DATA!BU85,0,$AX$48))</f>
        <v/>
      </c>
      <c r="BD136" s="112" t="str">
        <f ca="1">IF($AU136="","",OFFSET(DATA!BW85,0,$AX$48))</f>
        <v/>
      </c>
      <c r="BE136" s="112" t="str">
        <f ca="1">IF($AU136="","",OFFSET(DATA!BY85,0,$AX$48))</f>
        <v/>
      </c>
      <c r="BF136" s="112" t="str">
        <f ca="1">IF($AU136="","",OFFSET(DATA!CA85,0,$AX$48))</f>
        <v/>
      </c>
      <c r="BG136" s="112" t="str">
        <f ca="1">IF($AU136="","",DATA!CC85)</f>
        <v/>
      </c>
      <c r="BH136" s="112" t="str">
        <f ca="1">IF($AU136="","",OFFSET(DATA!CE85,0,$AX$48))</f>
        <v/>
      </c>
      <c r="BI136" s="112" t="str">
        <f ca="1">IF($AU136="","",OFFSET(DATA!CG85,0,$AX$48))</f>
        <v/>
      </c>
      <c r="BJ136" s="112" t="str">
        <f ca="1">IF($AU136="","",OFFSET(DATA!CI85,0,$AX$48))</f>
        <v/>
      </c>
      <c r="BK136" s="112" t="str">
        <f ca="1">IF($AU136="","",OFFSET(DATA!CK85,0,$AX$48))</f>
        <v/>
      </c>
      <c r="BL136" s="112" t="str">
        <f ca="1">IF($AU136="","",OFFSET(DATA!CM85,0,$AX$48))</f>
        <v/>
      </c>
      <c r="BM136" s="112" t="str">
        <f ca="1">IF($AU136="","",DATA!BH85)</f>
        <v/>
      </c>
      <c r="BN136" s="112" t="str">
        <f ca="1">IF($AU136="","",DATA!DS85)</f>
        <v/>
      </c>
      <c r="BO136" s="112" t="str">
        <f ca="1">IF($AU136="","",DATA!DU85)</f>
        <v/>
      </c>
      <c r="BP136" s="112" t="str">
        <f ca="1">IF($AU136="","",DATA!DV85)</f>
        <v/>
      </c>
      <c r="BQ136" s="112" t="str">
        <f ca="1">IF($AU136="","",DATA!DX85)</f>
        <v/>
      </c>
      <c r="BR136" s="112" t="str">
        <f ca="1">IF($AU136="","",DATA!DZ85)</f>
        <v/>
      </c>
      <c r="BS136" s="171" t="str">
        <f ca="1">IF($AU136="","",DATA!EA85)</f>
        <v/>
      </c>
      <c r="BT136" s="171" t="str">
        <f ca="1">IF($AU136="","",DATA!EC85)</f>
        <v/>
      </c>
      <c r="BU136" s="171" t="str">
        <f ca="1">IF($AU136="","",DATA!EF85)</f>
        <v/>
      </c>
      <c r="BV136" s="113" t="str">
        <f t="shared" ca="1" si="24"/>
        <v/>
      </c>
      <c r="BW136" s="680" t="str">
        <f ca="1">IF(AU136="","",OFFSET(DATA!DC85,0,'Intermediate Data'!$AX$48))</f>
        <v/>
      </c>
      <c r="BX136" s="681" t="str">
        <f ca="1">IF($AU136="","",DATA!DG85)</f>
        <v/>
      </c>
      <c r="BY136" s="680" t="str">
        <f ca="1">IF($AU136="","",OFFSET(DATA!DE85,0,'Intermediate Data'!$AX$48))</f>
        <v/>
      </c>
      <c r="BZ136" s="681" t="str">
        <f ca="1">IF($AU136="","",DATA!DH85)</f>
        <v/>
      </c>
      <c r="CA136" s="90" t="str">
        <f t="shared" ca="1" si="25"/>
        <v/>
      </c>
      <c r="CB136" s="99" t="str">
        <f t="shared" ca="1" si="26"/>
        <v/>
      </c>
      <c r="CC136" s="90" t="str">
        <f t="shared" ca="1" si="27"/>
        <v/>
      </c>
      <c r="CD136" s="90" t="str">
        <f t="shared" ca="1" si="28"/>
        <v/>
      </c>
      <c r="CF136" s="90" t="str">
        <f ca="1">IF($CD136="","",IF(OFFSET(AV$55,'Intermediate Data'!$CD136,0)=-98,"Unknown",IF(OFFSET(AV$55,'Intermediate Data'!$CD136,0)=-99,"N/A",OFFSET(AV$55,'Intermediate Data'!$CD136,0))))</f>
        <v/>
      </c>
      <c r="CG136" s="90" t="str">
        <f ca="1">IF($CD136="","",IF(OFFSET(AW$55,'Intermediate Data'!$CD136,0)=-98,"",IF(OFFSET(AW$55,'Intermediate Data'!$CD136,0)=-99,"N/A",OFFSET(AW$55,'Intermediate Data'!$CD136,0))))</f>
        <v/>
      </c>
      <c r="CH136" s="90" t="str">
        <f ca="1">IF($CD136="","",IF(OFFSET(AX$55,'Intermediate Data'!$CD136,0)=-98,"Unknown",IF(OFFSET(AX$55,'Intermediate Data'!$CD136,0)=-99,"N/A",OFFSET(AX$55,'Intermediate Data'!$CD136,0))))</f>
        <v/>
      </c>
      <c r="CI136" s="125" t="str">
        <f ca="1">IF($CD136="","",IF(OFFSET(AY$55,'Intermediate Data'!$CD136,0)=-98,"Unknown",IF(OFFSET(AY$55,'Intermediate Data'!$CD136,0)=-99,"No spec",OFFSET(AY$55,'Intermediate Data'!$CD136,0))))</f>
        <v/>
      </c>
      <c r="CJ136" s="125" t="str">
        <f ca="1">IF($CD136="","",IF(OFFSET(AZ$55,'Intermediate Data'!$CD136,0)=-98,"Unknown",IF(OFFSET(AZ$55,'Intermediate Data'!$CD136,0)=-99,"N/A",OFFSET(AZ$55,'Intermediate Data'!$CD136,0))))</f>
        <v/>
      </c>
      <c r="CK136" s="90" t="str">
        <f ca="1">IF($CD136="","",IF(OFFSET(BA$55,'Intermediate Data'!$CD136,0)=-98,"Unknown",IF(OFFSET(BA$55,'Intermediate Data'!$CD136,0)=-99,"N/A",OFFSET(BA$55,'Intermediate Data'!$CD136,0))))</f>
        <v/>
      </c>
      <c r="CL136" s="90" t="str">
        <f ca="1">IF($CD136="","",IF(OFFSET(BB$55,'Intermediate Data'!$CD136,$AX$50)=-98,"Unknown",IF(OFFSET(BB$55,'Intermediate Data'!$CD136,$AX$50)="N/A","",OFFSET(BB$55,'Intermediate Data'!$CD136,$AX$50))))</f>
        <v/>
      </c>
      <c r="CM136" s="90" t="str">
        <f ca="1">IF($CD136="","",IF(OFFSET(BG$55,'Intermediate Data'!$CD136,0)="ET","ET",""))</f>
        <v/>
      </c>
      <c r="CN136" s="90" t="str">
        <f ca="1">IF($CD136="","",IF(OFFSET(BH$55,'Intermediate Data'!$CD136,$AX$50)=-98,"Unknown",IF(OFFSET(BH$55,'Intermediate Data'!$CD136,$AX$50)="N/A","",OFFSET(BH$55,'Intermediate Data'!$CD136,$AX$50))))</f>
        <v/>
      </c>
      <c r="CO136" s="90" t="str">
        <f ca="1">IF($CD136="","",IF(OFFSET(BM$55,'Intermediate Data'!$CD136,0)=-98,"Not published",IF(OFFSET(BM$55,'Intermediate Data'!$CD136,0)=-99,"No spec",OFFSET(BM$55,'Intermediate Data'!$CD136,0))))</f>
        <v/>
      </c>
      <c r="CP136" s="114" t="str">
        <f ca="1">IF($CD136="","",IF(OFFSET(BN$55,'Intermediate Data'!$CD136,0)=-98,"Unknown",IF(OFFSET(BN$55,'Intermediate Data'!$CD136,0)=-99,"N/A",OFFSET(BN$55,'Intermediate Data'!$CD136,0))))</f>
        <v/>
      </c>
      <c r="CQ136" s="114" t="str">
        <f ca="1">IF($CD136="","",IF(OFFSET(BO$55,'Intermediate Data'!$CD136,0)=-98,"Unknown",IF(OFFSET(BO$55,'Intermediate Data'!$CD136,0)=-99,"N/A",OFFSET(BO$55,'Intermediate Data'!$CD136,0))))</f>
        <v/>
      </c>
      <c r="CR136" s="114" t="str">
        <f ca="1">IF($CD136="","",IF(OFFSET(BP$55,'Intermediate Data'!$CD136,0)=-98,"Unknown",IF(OFFSET(BP$55,'Intermediate Data'!$CD136,0)=-99,"N/A",OFFSET(BP$55,'Intermediate Data'!$CD136,0))))</f>
        <v/>
      </c>
      <c r="CS136" s="114" t="str">
        <f ca="1">IF($CD136="","",IF(OFFSET(BQ$55,'Intermediate Data'!$CD136,0)=-98,"Unknown",IF(OFFSET(BQ$55,'Intermediate Data'!$CD136,0)=-99,"N/A",OFFSET(BQ$55,'Intermediate Data'!$CD136,0))))</f>
        <v/>
      </c>
      <c r="CT136" s="114" t="str">
        <f ca="1">IF($CD136="","",IF(OFFSET(BR$55,'Intermediate Data'!$CD136,0)=-98,"Unknown",IF(OFFSET(BR$55,'Intermediate Data'!$CD136,0)=-99,"N/A",OFFSET(BR$55,'Intermediate Data'!$CD136,0))))</f>
        <v/>
      </c>
      <c r="CU136" s="114" t="str">
        <f ca="1">IF($CD136="","",IF(OFFSET(BS$55,'Intermediate Data'!$CD136,0)=-98,"Unknown",IF(OFFSET(BS$55,'Intermediate Data'!$CD136,0)=-99,"N/A",OFFSET(BS$55,'Intermediate Data'!$CD136,0))))</f>
        <v/>
      </c>
      <c r="CV136" s="114" t="str">
        <f ca="1">IF($CD136="","",IF(OFFSET(BT$55,'Intermediate Data'!$CD136,0)=-98,"Unknown",IF(OFFSET(BT$55,'Intermediate Data'!$CD136,0)=-99,"N/A",OFFSET(BT$55,'Intermediate Data'!$CD136,0))))</f>
        <v/>
      </c>
      <c r="CW136" s="114" t="str">
        <f ca="1">IF($CD136="","",IF(OFFSET(BU$55,'Intermediate Data'!$CD136,0)=-98,"Unknown",IF(OFFSET(BU$55,'Intermediate Data'!$CD136,0)=-99,"N/A",OFFSET(BU$55,'Intermediate Data'!$CD136,0))))</f>
        <v/>
      </c>
      <c r="CX136" s="114" t="str">
        <f ca="1">IF($CD136="","",IF(OFFSET(BV$55,'Intermediate Data'!$CD136,0)=-98,"Unknown",IF(OFFSET(BV$55,'Intermediate Data'!$CD136,0)=-99,"N/A",OFFSET(BV$55,'Intermediate Data'!$CD136,0))))</f>
        <v/>
      </c>
      <c r="CY136" s="682" t="str">
        <f ca="1">IF($CD136="","",IF(OFFSET(BW$55,'Intermediate Data'!$CD136,0)=-98,"Unknown",IF(OFFSET(BW$55,'Intermediate Data'!$CD136,0)="N/A","",OFFSET(BW$55,'Intermediate Data'!$CD136,0))))</f>
        <v/>
      </c>
      <c r="CZ136" s="682" t="str">
        <f ca="1">IF($CD136="","",IF(OFFSET(BX$55,'Intermediate Data'!$CD136,0)=-98,"Unknown",IF(OFFSET(BX$55,'Intermediate Data'!$CD136,0)="N/A","",OFFSET(BX$55,'Intermediate Data'!$CD136,0))))</f>
        <v/>
      </c>
      <c r="DA136" s="682" t="str">
        <f ca="1">IF($CD136="","",IF(OFFSET(BY$55,'Intermediate Data'!$CD136,0)=-98,"Unknown",IF(OFFSET(BY$55,'Intermediate Data'!$CD136,0)="N/A","",OFFSET(BY$55,'Intermediate Data'!$CD136,0))))</f>
        <v/>
      </c>
      <c r="DB136" s="682" t="str">
        <f ca="1">IF($CD136="","",IF(OFFSET(BZ$55,'Intermediate Data'!$CD136,0)=-98,"Unknown",IF(OFFSET(BZ$55,'Intermediate Data'!$CD136,0)="N/A","",OFFSET(BZ$55,'Intermediate Data'!$CD136,0))))</f>
        <v/>
      </c>
    </row>
    <row r="137" spans="1:106" x14ac:dyDescent="0.2">
      <c r="A137" s="90">
        <f ca="1">IF(OFFSET(DATA!F86,0,$D$48)='Intermediate Data'!$E$48,IF(OR($E$49=$C$27,$E$48=$B$4),DATA!A86,IF($G$49=DATA!D86,DATA!A86,"")),"")</f>
        <v>82</v>
      </c>
      <c r="B137" s="90">
        <f ca="1">IF($A137="","",DATA!EH86)</f>
        <v>1</v>
      </c>
      <c r="C137" s="90" t="str">
        <f ca="1">IF($A137="","",DATA!B86)</f>
        <v>Whole house fan</v>
      </c>
      <c r="D137" s="90">
        <f ca="1">IF($A137="","",OFFSET(DATA!$H86,0,($D$50*5)))</f>
        <v>-99</v>
      </c>
      <c r="E137" s="90">
        <f ca="1">IF($A137="","",OFFSET(DATA!$H86,0,($D$50*5)+1))</f>
        <v>5.4250870976928683E-2</v>
      </c>
      <c r="F137" s="90">
        <f ca="1">IF($A137="","",OFFSET(DATA!$H86,0,($D$50*5)+2))</f>
        <v>-99</v>
      </c>
      <c r="G137" s="90">
        <f ca="1">IF($A137="","",OFFSET(DATA!$H86,0,($D$50*5)+3))</f>
        <v>8.1236690667794473E-2</v>
      </c>
      <c r="H137" s="90">
        <f ca="1">IF($A137="","",OFFSET(DATA!$H86,0,($D$50*5)+4))</f>
        <v>-99</v>
      </c>
      <c r="I137" s="90">
        <f t="shared" ca="1" si="17"/>
        <v>8.1236690667794473E-2</v>
      </c>
      <c r="J137" s="90" t="str">
        <f t="shared" ca="1" si="18"/>
        <v>RASS</v>
      </c>
      <c r="K137" s="90">
        <f ca="1">IF($A137="","",OFFSET(DATA!$AG86,0,($D$50*5)))</f>
        <v>-99</v>
      </c>
      <c r="L137" s="90">
        <f ca="1">IF($A137="","",OFFSET(DATA!$AG86,0,($D$50*5)+1))</f>
        <v>5.8847064787650047E-2</v>
      </c>
      <c r="M137" s="90">
        <f ca="1">IF($A137="","",OFFSET(DATA!$AG86,0,($D$50*5)+2))</f>
        <v>-99</v>
      </c>
      <c r="N137" s="90">
        <f ca="1">IF($A137="","",OFFSET(DATA!$AG86,0,($D$50*5)+3))</f>
        <v>9.528722267960521E-2</v>
      </c>
      <c r="O137" s="90">
        <f ca="1">IF($A137="","",OFFSET(DATA!$AG86,0,($D$50*5)+4))</f>
        <v>-99</v>
      </c>
      <c r="P137" s="90">
        <f t="shared" ca="1" si="19"/>
        <v>9.528722267960521E-2</v>
      </c>
      <c r="Q137" s="90" t="str">
        <f t="shared" ca="1" si="20"/>
        <v>RASS</v>
      </c>
      <c r="R137" s="699">
        <f ca="1">IF($A137="","",IF(DATA!BF86="",-99,DATA!BF86))</f>
        <v>-99</v>
      </c>
      <c r="S137" s="90">
        <f ca="1">IF($A137="","",IF(DATA!BG86="",-99,DATA!BF86-DATA!BG86))</f>
        <v>-99</v>
      </c>
      <c r="T137" s="90">
        <f ca="1">IF($A137="","",DATA!BH86)</f>
        <v>-99</v>
      </c>
      <c r="U137" s="90">
        <f ca="1">IF($A137="","",OFFSET(DATA!BM86,0,$D$48))</f>
        <v>-99</v>
      </c>
      <c r="V137" s="90">
        <f t="shared" ca="1" si="16"/>
        <v>1</v>
      </c>
      <c r="W137" s="99">
        <f t="shared" ca="1" si="21"/>
        <v>0.99993073845585401</v>
      </c>
      <c r="X137" s="112">
        <f t="shared" ca="1" si="22"/>
        <v>46.999930953500147</v>
      </c>
      <c r="Y137" s="90">
        <f t="shared" ca="1" si="23"/>
        <v>78</v>
      </c>
      <c r="AA137" s="90" t="str">
        <f ca="1">IF($Y137="","",IF(OFFSET(C$55,'Intermediate Data'!$Y137,0)=-98,"Unknown",IF(OFFSET(C$55,'Intermediate Data'!$Y137,0)=-99,"N/A",OFFSET(C$55,'Intermediate Data'!$Y137,0))))</f>
        <v>Primary electric heat</v>
      </c>
      <c r="AB137" s="90">
        <f ca="1">IF($Y137="","",IF(OFFSET(D$55,'Intermediate Data'!$Y137,0)=-98,"N/A",IF(OFFSET(D$55,'Intermediate Data'!$Y137,0)=-99,"N/A",OFFSET(D$55,'Intermediate Data'!$Y137,0))))</f>
        <v>6.0191999999999996E-2</v>
      </c>
      <c r="AC137" s="90">
        <f ca="1">IF($Y137="","",IF(OFFSET(E$55,'Intermediate Data'!$Y137,0)=-98,"N/A",IF(OFFSET(E$55,'Intermediate Data'!$Y137,0)=-99,"N/A",OFFSET(E$55,'Intermediate Data'!$Y137,0))))</f>
        <v>0.10106100888358101</v>
      </c>
      <c r="AD137" s="90">
        <f ca="1">IF($Y137="","",IF(OFFSET(F$55,'Intermediate Data'!$Y137,0)=-98,"N/A",IF(OFFSET(F$55,'Intermediate Data'!$Y137,0)=-99,"N/A",OFFSET(F$55,'Intermediate Data'!$Y137,0))))</f>
        <v>0.112661</v>
      </c>
      <c r="AE137" s="90">
        <f ca="1">IF($Y137="","",IF(OFFSET(G$55,'Intermediate Data'!$Y137,0)=-98,"N/A",IF(OFFSET(G$55,'Intermediate Data'!$Y137,0)=-99,"N/A",OFFSET(G$55,'Intermediate Data'!$Y137,0))))</f>
        <v>5.069545329760243E-2</v>
      </c>
      <c r="AF137" s="90">
        <f ca="1">IF($Y137="","",IF(OFFSET(H$55,'Intermediate Data'!$Y137,0)=-98,"N/A",IF(OFFSET(H$55,'Intermediate Data'!$Y137,0)=-99,"N/A",OFFSET(H$55,'Intermediate Data'!$Y137,0))))</f>
        <v>0.12864200000000001</v>
      </c>
      <c r="AG137" s="90">
        <f ca="1">IF($Y137="","",IF(OFFSET(I$55,'Intermediate Data'!$Y137,0)=-98,"N/A",IF(OFFSET(I$55,'Intermediate Data'!$Y137,0)=-99,"N/A",OFFSET(I$55,'Intermediate Data'!$Y137,0))))</f>
        <v>0.12864200000000001</v>
      </c>
      <c r="AH137" s="90" t="str">
        <f ca="1">IF($Y137="","",IF(OFFSET(J$55,'Intermediate Data'!$Y137,0)=-98,"N/A",IF(OFFSET(J$55,'Intermediate Data'!$Y137,0)=-99,"N/A",OFFSET(J$55,'Intermediate Data'!$Y137,0))))</f>
        <v>CLASS</v>
      </c>
      <c r="AI137" s="90" t="str">
        <f ca="1">IF($Y137="","",IF(OFFSET(K$55,'Intermediate Data'!$Y137,0)=-98,"N/A",IF(OFFSET(K$55,'Intermediate Data'!$Y137,0)=-99,"N/A",OFFSET(K$55,'Intermediate Data'!$Y137,0))))</f>
        <v>N/A</v>
      </c>
      <c r="AJ137" s="90" t="str">
        <f ca="1">IF($Y137="","",IF(OFFSET(L$55,'Intermediate Data'!$Y137,0)=-98,"N/A",IF(OFFSET(L$55,'Intermediate Data'!$Y137,0)=-99,"N/A",OFFSET(L$55,'Intermediate Data'!$Y137,0))))</f>
        <v>N/A</v>
      </c>
      <c r="AK137" s="90" t="str">
        <f ca="1">IF($Y137="","",IF(OFFSET(M$55,'Intermediate Data'!$Y137,0)=-98,"N/A",IF(OFFSET(M$55,'Intermediate Data'!$Y137,0)=-99,"N/A",OFFSET(M$55,'Intermediate Data'!$Y137,0))))</f>
        <v>N/A</v>
      </c>
      <c r="AL137" s="90" t="str">
        <f ca="1">IF($Y137="","",IF(OFFSET(N$55,'Intermediate Data'!$Y137,0)=-98,"N/A",IF(OFFSET(N$55,'Intermediate Data'!$Y137,0)=-99,"N/A",OFFSET(N$55,'Intermediate Data'!$Y137,0))))</f>
        <v>N/A</v>
      </c>
      <c r="AM137" s="90" t="str">
        <f ca="1">IF($Y137="","",IF(OFFSET(O$55,'Intermediate Data'!$Y137,0)=-98,"N/A",IF(OFFSET(O$55,'Intermediate Data'!$Y137,0)=-99,"N/A",OFFSET(O$55,'Intermediate Data'!$Y137,0))))</f>
        <v>N/A</v>
      </c>
      <c r="AN137" s="90" t="str">
        <f ca="1">IF($Y137="","",IF(OFFSET(P$55,'Intermediate Data'!$Y137,0)=-98,"N/A",IF(OFFSET(P$55,'Intermediate Data'!$Y137,0)=-99,"N/A",OFFSET(P$55,'Intermediate Data'!$Y137,0))))</f>
        <v>N/A</v>
      </c>
      <c r="AO137" s="90" t="str">
        <f ca="1">IF($Y137="","",IF(OFFSET(Q$55,'Intermediate Data'!$Y137,0)=-98,"N/A",IF(OFFSET(Q$55,'Intermediate Data'!$Y137,0)=-99,"N/A",OFFSET(Q$55,'Intermediate Data'!$Y137,0))))</f>
        <v/>
      </c>
      <c r="AP137" s="697" t="str">
        <f ca="1">IF($Y137="","",IF(OFFSET(S$55,'Intermediate Data'!$Y137,0)=-98,"",IF(OFFSET(S$55,'Intermediate Data'!$Y137,0)=-99,"",OFFSET(S$55,'Intermediate Data'!$Y137,0))))</f>
        <v/>
      </c>
      <c r="AQ137" s="90" t="str">
        <f ca="1">IF($Y137="","",IF(OFFSET(T$55,'Intermediate Data'!$Y137,0)=-98,"Not published",IF(OFFSET(T$55,'Intermediate Data'!$Y137,0)=-99,"",OFFSET(T$55,'Intermediate Data'!$Y137,0))))</f>
        <v>Not published</v>
      </c>
      <c r="AR137" s="90" t="str">
        <f ca="1">IF($Y137="","",IF(OFFSET(U$55,'Intermediate Data'!$Y137,0)=-98,"Unknown",IF(OFFSET(U$55,'Intermediate Data'!$Y137,0)=-99,"",OFFSET(U$55,'Intermediate Data'!$Y137,0))))</f>
        <v>Unknown</v>
      </c>
      <c r="AU137" s="112" t="str">
        <f ca="1">IF(AND(OFFSET(DATA!$F86,0,$AX$48)='Intermediate Data'!$AY$48,DATA!$E86="Tier 1"),IF(OR($AX$49=0,$AX$48=1),DATA!A86,IF(AND($AX$49=1,INDEX('Intermediate Data'!$AY$25:$AY$44,MATCH(DATA!$B86,'Intermediate Data'!$AX$25:$AX$44,0))=TRUE),DATA!A86,"")),"")</f>
        <v/>
      </c>
      <c r="AV137" s="112" t="str">
        <f ca="1">IF($AU137="","",DATA!B86)</f>
        <v/>
      </c>
      <c r="AW137" s="112" t="str">
        <f ca="1">IF(OR($AU137="",DATA!BI86=""),"",DATA!BI86)</f>
        <v/>
      </c>
      <c r="AX137" s="112" t="str">
        <f ca="1">IF(OR($AU137="",OFFSET(DATA!BK86,0,$AX$48)=""),"",OFFSET(DATA!BK86,0,$AX$48))</f>
        <v/>
      </c>
      <c r="AY137" s="112" t="str">
        <f ca="1">IF(OR($AU137="",OFFSET(DATA!BM86,0,$AX$48)=""),"",OFFSET(DATA!BM86,0,$AX$48))</f>
        <v/>
      </c>
      <c r="AZ137" s="112" t="str">
        <f ca="1">IF(OR($AU137="",OFFSET(DATA!BO86,0,'Intermediate Data'!$AX$48)=""),"",OFFSET(DATA!BO86,0,$AX$48))</f>
        <v/>
      </c>
      <c r="BA137" s="112" t="str">
        <f ca="1">IF(OR($AU137="",DATA!BQ86=""),"",DATA!BQ86)</f>
        <v/>
      </c>
      <c r="BB137" s="112" t="str">
        <f ca="1">IF($AU137="","",OFFSET(DATA!BS86,0,$AX$48))</f>
        <v/>
      </c>
      <c r="BC137" s="112" t="str">
        <f ca="1">IF($AU137="","",OFFSET(DATA!BU86,0,$AX$48))</f>
        <v/>
      </c>
      <c r="BD137" s="112" t="str">
        <f ca="1">IF($AU137="","",OFFSET(DATA!BW86,0,$AX$48))</f>
        <v/>
      </c>
      <c r="BE137" s="112" t="str">
        <f ca="1">IF($AU137="","",OFFSET(DATA!BY86,0,$AX$48))</f>
        <v/>
      </c>
      <c r="BF137" s="112" t="str">
        <f ca="1">IF($AU137="","",OFFSET(DATA!CA86,0,$AX$48))</f>
        <v/>
      </c>
      <c r="BG137" s="112" t="str">
        <f ca="1">IF($AU137="","",DATA!CC86)</f>
        <v/>
      </c>
      <c r="BH137" s="112" t="str">
        <f ca="1">IF($AU137="","",OFFSET(DATA!CE86,0,$AX$48))</f>
        <v/>
      </c>
      <c r="BI137" s="112" t="str">
        <f ca="1">IF($AU137="","",OFFSET(DATA!CG86,0,$AX$48))</f>
        <v/>
      </c>
      <c r="BJ137" s="112" t="str">
        <f ca="1">IF($AU137="","",OFFSET(DATA!CI86,0,$AX$48))</f>
        <v/>
      </c>
      <c r="BK137" s="112" t="str">
        <f ca="1">IF($AU137="","",OFFSET(DATA!CK86,0,$AX$48))</f>
        <v/>
      </c>
      <c r="BL137" s="112" t="str">
        <f ca="1">IF($AU137="","",OFFSET(DATA!CM86,0,$AX$48))</f>
        <v/>
      </c>
      <c r="BM137" s="112" t="str">
        <f ca="1">IF($AU137="","",DATA!BH86)</f>
        <v/>
      </c>
      <c r="BN137" s="112" t="str">
        <f ca="1">IF($AU137="","",DATA!DS86)</f>
        <v/>
      </c>
      <c r="BO137" s="112" t="str">
        <f ca="1">IF($AU137="","",DATA!DU86)</f>
        <v/>
      </c>
      <c r="BP137" s="112" t="str">
        <f ca="1">IF($AU137="","",DATA!DV86)</f>
        <v/>
      </c>
      <c r="BQ137" s="112" t="str">
        <f ca="1">IF($AU137="","",DATA!DX86)</f>
        <v/>
      </c>
      <c r="BR137" s="112" t="str">
        <f ca="1">IF($AU137="","",DATA!DZ86)</f>
        <v/>
      </c>
      <c r="BS137" s="171" t="str">
        <f ca="1">IF($AU137="","",DATA!EA86)</f>
        <v/>
      </c>
      <c r="BT137" s="171" t="str">
        <f ca="1">IF($AU137="","",DATA!EC86)</f>
        <v/>
      </c>
      <c r="BU137" s="171" t="str">
        <f ca="1">IF($AU137="","",DATA!EF86)</f>
        <v/>
      </c>
      <c r="BV137" s="113" t="str">
        <f t="shared" ca="1" si="24"/>
        <v/>
      </c>
      <c r="BW137" s="680" t="str">
        <f ca="1">IF(AU137="","",OFFSET(DATA!DC86,0,'Intermediate Data'!$AX$48))</f>
        <v/>
      </c>
      <c r="BX137" s="681" t="str">
        <f ca="1">IF($AU137="","",DATA!DG86)</f>
        <v/>
      </c>
      <c r="BY137" s="680" t="str">
        <f ca="1">IF($AU137="","",OFFSET(DATA!DE86,0,'Intermediate Data'!$AX$48))</f>
        <v/>
      </c>
      <c r="BZ137" s="681" t="str">
        <f ca="1">IF($AU137="","",DATA!DH86)</f>
        <v/>
      </c>
      <c r="CA137" s="90" t="str">
        <f t="shared" ca="1" si="25"/>
        <v/>
      </c>
      <c r="CB137" s="99" t="str">
        <f t="shared" ca="1" si="26"/>
        <v/>
      </c>
      <c r="CC137" s="90" t="str">
        <f t="shared" ca="1" si="27"/>
        <v/>
      </c>
      <c r="CD137" s="90" t="str">
        <f t="shared" ca="1" si="28"/>
        <v/>
      </c>
      <c r="CF137" s="90" t="str">
        <f ca="1">IF($CD137="","",IF(OFFSET(AV$55,'Intermediate Data'!$CD137,0)=-98,"Unknown",IF(OFFSET(AV$55,'Intermediate Data'!$CD137,0)=-99,"N/A",OFFSET(AV$55,'Intermediate Data'!$CD137,0))))</f>
        <v/>
      </c>
      <c r="CG137" s="90" t="str">
        <f ca="1">IF($CD137="","",IF(OFFSET(AW$55,'Intermediate Data'!$CD137,0)=-98,"",IF(OFFSET(AW$55,'Intermediate Data'!$CD137,0)=-99,"N/A",OFFSET(AW$55,'Intermediate Data'!$CD137,0))))</f>
        <v/>
      </c>
      <c r="CH137" s="90" t="str">
        <f ca="1">IF($CD137="","",IF(OFFSET(AX$55,'Intermediate Data'!$CD137,0)=-98,"Unknown",IF(OFFSET(AX$55,'Intermediate Data'!$CD137,0)=-99,"N/A",OFFSET(AX$55,'Intermediate Data'!$CD137,0))))</f>
        <v/>
      </c>
      <c r="CI137" s="125" t="str">
        <f ca="1">IF($CD137="","",IF(OFFSET(AY$55,'Intermediate Data'!$CD137,0)=-98,"Unknown",IF(OFFSET(AY$55,'Intermediate Data'!$CD137,0)=-99,"No spec",OFFSET(AY$55,'Intermediate Data'!$CD137,0))))</f>
        <v/>
      </c>
      <c r="CJ137" s="125" t="str">
        <f ca="1">IF($CD137="","",IF(OFFSET(AZ$55,'Intermediate Data'!$CD137,0)=-98,"Unknown",IF(OFFSET(AZ$55,'Intermediate Data'!$CD137,0)=-99,"N/A",OFFSET(AZ$55,'Intermediate Data'!$CD137,0))))</f>
        <v/>
      </c>
      <c r="CK137" s="90" t="str">
        <f ca="1">IF($CD137="","",IF(OFFSET(BA$55,'Intermediate Data'!$CD137,0)=-98,"Unknown",IF(OFFSET(BA$55,'Intermediate Data'!$CD137,0)=-99,"N/A",OFFSET(BA$55,'Intermediate Data'!$CD137,0))))</f>
        <v/>
      </c>
      <c r="CL137" s="90" t="str">
        <f ca="1">IF($CD137="","",IF(OFFSET(BB$55,'Intermediate Data'!$CD137,$AX$50)=-98,"Unknown",IF(OFFSET(BB$55,'Intermediate Data'!$CD137,$AX$50)="N/A","",OFFSET(BB$55,'Intermediate Data'!$CD137,$AX$50))))</f>
        <v/>
      </c>
      <c r="CM137" s="90" t="str">
        <f ca="1">IF($CD137="","",IF(OFFSET(BG$55,'Intermediate Data'!$CD137,0)="ET","ET",""))</f>
        <v/>
      </c>
      <c r="CN137" s="90" t="str">
        <f ca="1">IF($CD137="","",IF(OFFSET(BH$55,'Intermediate Data'!$CD137,$AX$50)=-98,"Unknown",IF(OFFSET(BH$55,'Intermediate Data'!$CD137,$AX$50)="N/A","",OFFSET(BH$55,'Intermediate Data'!$CD137,$AX$50))))</f>
        <v/>
      </c>
      <c r="CO137" s="90" t="str">
        <f ca="1">IF($CD137="","",IF(OFFSET(BM$55,'Intermediate Data'!$CD137,0)=-98,"Not published",IF(OFFSET(BM$55,'Intermediate Data'!$CD137,0)=-99,"No spec",OFFSET(BM$55,'Intermediate Data'!$CD137,0))))</f>
        <v/>
      </c>
      <c r="CP137" s="114" t="str">
        <f ca="1">IF($CD137="","",IF(OFFSET(BN$55,'Intermediate Data'!$CD137,0)=-98,"Unknown",IF(OFFSET(BN$55,'Intermediate Data'!$CD137,0)=-99,"N/A",OFFSET(BN$55,'Intermediate Data'!$CD137,0))))</f>
        <v/>
      </c>
      <c r="CQ137" s="114" t="str">
        <f ca="1">IF($CD137="","",IF(OFFSET(BO$55,'Intermediate Data'!$CD137,0)=-98,"Unknown",IF(OFFSET(BO$55,'Intermediate Data'!$CD137,0)=-99,"N/A",OFFSET(BO$55,'Intermediate Data'!$CD137,0))))</f>
        <v/>
      </c>
      <c r="CR137" s="114" t="str">
        <f ca="1">IF($CD137="","",IF(OFFSET(BP$55,'Intermediate Data'!$CD137,0)=-98,"Unknown",IF(OFFSET(BP$55,'Intermediate Data'!$CD137,0)=-99,"N/A",OFFSET(BP$55,'Intermediate Data'!$CD137,0))))</f>
        <v/>
      </c>
      <c r="CS137" s="114" t="str">
        <f ca="1">IF($CD137="","",IF(OFFSET(BQ$55,'Intermediate Data'!$CD137,0)=-98,"Unknown",IF(OFFSET(BQ$55,'Intermediate Data'!$CD137,0)=-99,"N/A",OFFSET(BQ$55,'Intermediate Data'!$CD137,0))))</f>
        <v/>
      </c>
      <c r="CT137" s="114" t="str">
        <f ca="1">IF($CD137="","",IF(OFFSET(BR$55,'Intermediate Data'!$CD137,0)=-98,"Unknown",IF(OFFSET(BR$55,'Intermediate Data'!$CD137,0)=-99,"N/A",OFFSET(BR$55,'Intermediate Data'!$CD137,0))))</f>
        <v/>
      </c>
      <c r="CU137" s="114" t="str">
        <f ca="1">IF($CD137="","",IF(OFFSET(BS$55,'Intermediate Data'!$CD137,0)=-98,"Unknown",IF(OFFSET(BS$55,'Intermediate Data'!$CD137,0)=-99,"N/A",OFFSET(BS$55,'Intermediate Data'!$CD137,0))))</f>
        <v/>
      </c>
      <c r="CV137" s="114" t="str">
        <f ca="1">IF($CD137="","",IF(OFFSET(BT$55,'Intermediate Data'!$CD137,0)=-98,"Unknown",IF(OFFSET(BT$55,'Intermediate Data'!$CD137,0)=-99,"N/A",OFFSET(BT$55,'Intermediate Data'!$CD137,0))))</f>
        <v/>
      </c>
      <c r="CW137" s="114" t="str">
        <f ca="1">IF($CD137="","",IF(OFFSET(BU$55,'Intermediate Data'!$CD137,0)=-98,"Unknown",IF(OFFSET(BU$55,'Intermediate Data'!$CD137,0)=-99,"N/A",OFFSET(BU$55,'Intermediate Data'!$CD137,0))))</f>
        <v/>
      </c>
      <c r="CX137" s="114" t="str">
        <f ca="1">IF($CD137="","",IF(OFFSET(BV$55,'Intermediate Data'!$CD137,0)=-98,"Unknown",IF(OFFSET(BV$55,'Intermediate Data'!$CD137,0)=-99,"N/A",OFFSET(BV$55,'Intermediate Data'!$CD137,0))))</f>
        <v/>
      </c>
      <c r="CY137" s="682" t="str">
        <f ca="1">IF($CD137="","",IF(OFFSET(BW$55,'Intermediate Data'!$CD137,0)=-98,"Unknown",IF(OFFSET(BW$55,'Intermediate Data'!$CD137,0)="N/A","",OFFSET(BW$55,'Intermediate Data'!$CD137,0))))</f>
        <v/>
      </c>
      <c r="CZ137" s="682" t="str">
        <f ca="1">IF($CD137="","",IF(OFFSET(BX$55,'Intermediate Data'!$CD137,0)=-98,"Unknown",IF(OFFSET(BX$55,'Intermediate Data'!$CD137,0)="N/A","",OFFSET(BX$55,'Intermediate Data'!$CD137,0))))</f>
        <v/>
      </c>
      <c r="DA137" s="682" t="str">
        <f ca="1">IF($CD137="","",IF(OFFSET(BY$55,'Intermediate Data'!$CD137,0)=-98,"Unknown",IF(OFFSET(BY$55,'Intermediate Data'!$CD137,0)="N/A","",OFFSET(BY$55,'Intermediate Data'!$CD137,0))))</f>
        <v/>
      </c>
      <c r="DB137" s="682" t="str">
        <f ca="1">IF($CD137="","",IF(OFFSET(BZ$55,'Intermediate Data'!$CD137,0)=-98,"Unknown",IF(OFFSET(BZ$55,'Intermediate Data'!$CD137,0)="N/A","",OFFSET(BZ$55,'Intermediate Data'!$CD137,0))))</f>
        <v/>
      </c>
    </row>
    <row r="138" spans="1:106" x14ac:dyDescent="0.2">
      <c r="A138" s="90">
        <f ca="1">IF(OFFSET(DATA!F87,0,$D$48)='Intermediate Data'!$E$48,IF(OR($E$49=$C$27,$E$48=$B$4),DATA!A87,IF($G$49=DATA!D87,DATA!A87,"")),"")</f>
        <v>83</v>
      </c>
      <c r="B138" s="90">
        <f ca="1">IF($A138="","",DATA!EH87)</f>
        <v>12</v>
      </c>
      <c r="C138" s="90" t="str">
        <f ca="1">IF($A138="","",DATA!B87)</f>
        <v>Ventilating fan</v>
      </c>
      <c r="D138" s="90">
        <f ca="1">IF($A138="","",OFFSET(DATA!$H87,0,($D$50*5)))</f>
        <v>-99</v>
      </c>
      <c r="E138" s="90">
        <f ca="1">IF($A138="","",OFFSET(DATA!$H87,0,($D$50*5)+1))</f>
        <v>-99</v>
      </c>
      <c r="F138" s="90">
        <f ca="1">IF($A138="","",OFFSET(DATA!$H87,0,($D$50*5)+2))</f>
        <v>-99</v>
      </c>
      <c r="G138" s="90">
        <f ca="1">IF($A138="","",OFFSET(DATA!$H87,0,($D$50*5)+3))</f>
        <v>-99</v>
      </c>
      <c r="H138" s="90">
        <f ca="1">IF($A138="","",OFFSET(DATA!$H87,0,($D$50*5)+4))</f>
        <v>-99</v>
      </c>
      <c r="I138" s="90">
        <f t="shared" ca="1" si="17"/>
        <v>-99</v>
      </c>
      <c r="J138" s="90" t="str">
        <f t="shared" ca="1" si="18"/>
        <v/>
      </c>
      <c r="K138" s="90">
        <f ca="1">IF($A138="","",OFFSET(DATA!$AG87,0,($D$50*5)))</f>
        <v>-99</v>
      </c>
      <c r="L138" s="90">
        <f ca="1">IF($A138="","",OFFSET(DATA!$AG87,0,($D$50*5)+1))</f>
        <v>-99</v>
      </c>
      <c r="M138" s="90">
        <f ca="1">IF($A138="","",OFFSET(DATA!$AG87,0,($D$50*5)+2))</f>
        <v>-99</v>
      </c>
      <c r="N138" s="90">
        <f ca="1">IF($A138="","",OFFSET(DATA!$AG87,0,($D$50*5)+3))</f>
        <v>-99</v>
      </c>
      <c r="O138" s="90">
        <f ca="1">IF($A138="","",OFFSET(DATA!$AG87,0,($D$50*5)+4))</f>
        <v>-99</v>
      </c>
      <c r="P138" s="90">
        <f t="shared" ca="1" si="19"/>
        <v>-99</v>
      </c>
      <c r="Q138" s="90" t="str">
        <f t="shared" ca="1" si="20"/>
        <v/>
      </c>
      <c r="R138" s="699">
        <f ca="1">IF($A138="","",IF(DATA!BF87="",-99,DATA!BF87))</f>
        <v>-99</v>
      </c>
      <c r="S138" s="90">
        <f ca="1">IF($A138="","",IF(DATA!BG87="",-99,DATA!BF87-DATA!BG87))</f>
        <v>-99</v>
      </c>
      <c r="T138" s="90">
        <f ca="1">IF($A138="","",DATA!BH87)</f>
        <v>0.33</v>
      </c>
      <c r="U138" s="90">
        <f ca="1">IF($A138="","",OFFSET(DATA!BM87,0,$D$48))</f>
        <v>55</v>
      </c>
      <c r="V138" s="90">
        <f t="shared" ca="1" si="16"/>
        <v>12</v>
      </c>
      <c r="W138" s="99">
        <f t="shared" ca="1" si="21"/>
        <v>11.999906534380001</v>
      </c>
      <c r="X138" s="112">
        <f t="shared" ca="1" si="22"/>
        <v>45.999942585939827</v>
      </c>
      <c r="Y138" s="90">
        <f t="shared" ca="1" si="23"/>
        <v>94</v>
      </c>
      <c r="AA138" s="90" t="str">
        <f ca="1">IF($Y138="","",IF(OFFSET(C$55,'Intermediate Data'!$Y138,0)=-98,"Unknown",IF(OFFSET(C$55,'Intermediate Data'!$Y138,0)=-99,"N/A",OFFSET(C$55,'Intermediate Data'!$Y138,0))))</f>
        <v>Printer</v>
      </c>
      <c r="AB138" s="90" t="str">
        <f ca="1">IF($Y138="","",IF(OFFSET(D$55,'Intermediate Data'!$Y138,0)=-98,"N/A",IF(OFFSET(D$55,'Intermediate Data'!$Y138,0)=-99,"N/A",OFFSET(D$55,'Intermediate Data'!$Y138,0))))</f>
        <v>N/A</v>
      </c>
      <c r="AC138" s="90">
        <f ca="1">IF($Y138="","",IF(OFFSET(E$55,'Intermediate Data'!$Y138,0)=-98,"N/A",IF(OFFSET(E$55,'Intermediate Data'!$Y138,0)=-99,"N/A",OFFSET(E$55,'Intermediate Data'!$Y138,0))))</f>
        <v>0.50883788026286081</v>
      </c>
      <c r="AD138" s="90" t="str">
        <f ca="1">IF($Y138="","",IF(OFFSET(F$55,'Intermediate Data'!$Y138,0)=-98,"N/A",IF(OFFSET(F$55,'Intermediate Data'!$Y138,0)=-99,"N/A",OFFSET(F$55,'Intermediate Data'!$Y138,0))))</f>
        <v>N/A</v>
      </c>
      <c r="AE138" s="90" t="str">
        <f ca="1">IF($Y138="","",IF(OFFSET(G$55,'Intermediate Data'!$Y138,0)=-98,"N/A",IF(OFFSET(G$55,'Intermediate Data'!$Y138,0)=-99,"N/A",OFFSET(G$55,'Intermediate Data'!$Y138,0))))</f>
        <v>N/A</v>
      </c>
      <c r="AF138" s="90" t="str">
        <f ca="1">IF($Y138="","",IF(OFFSET(H$55,'Intermediate Data'!$Y138,0)=-98,"N/A",IF(OFFSET(H$55,'Intermediate Data'!$Y138,0)=-99,"N/A",OFFSET(H$55,'Intermediate Data'!$Y138,0))))</f>
        <v>N/A</v>
      </c>
      <c r="AG138" s="90">
        <f ca="1">IF($Y138="","",IF(OFFSET(I$55,'Intermediate Data'!$Y138,0)=-98,"N/A",IF(OFFSET(I$55,'Intermediate Data'!$Y138,0)=-99,"N/A",OFFSET(I$55,'Intermediate Data'!$Y138,0))))</f>
        <v>0.50883788026286081</v>
      </c>
      <c r="AH138" s="90" t="str">
        <f ca="1">IF($Y138="","",IF(OFFSET(J$55,'Intermediate Data'!$Y138,0)=-98,"N/A",IF(OFFSET(J$55,'Intermediate Data'!$Y138,0)=-99,"N/A",OFFSET(J$55,'Intermediate Data'!$Y138,0))))</f>
        <v>RASS</v>
      </c>
      <c r="AI138" s="90" t="str">
        <f ca="1">IF($Y138="","",IF(OFFSET(K$55,'Intermediate Data'!$Y138,0)=-98,"N/A",IF(OFFSET(K$55,'Intermediate Data'!$Y138,0)=-99,"N/A",OFFSET(K$55,'Intermediate Data'!$Y138,0))))</f>
        <v>N/A</v>
      </c>
      <c r="AJ138" s="90">
        <f ca="1">IF($Y138="","",IF(OFFSET(L$55,'Intermediate Data'!$Y138,0)=-98,"N/A",IF(OFFSET(L$55,'Intermediate Data'!$Y138,0)=-99,"N/A",OFFSET(L$55,'Intermediate Data'!$Y138,0))))</f>
        <v>0.59654744945467952</v>
      </c>
      <c r="AK138" s="90" t="str">
        <f ca="1">IF($Y138="","",IF(OFFSET(M$55,'Intermediate Data'!$Y138,0)=-98,"N/A",IF(OFFSET(M$55,'Intermediate Data'!$Y138,0)=-99,"N/A",OFFSET(M$55,'Intermediate Data'!$Y138,0))))</f>
        <v>N/A</v>
      </c>
      <c r="AL138" s="90">
        <f ca="1">IF($Y138="","",IF(OFFSET(N$55,'Intermediate Data'!$Y138,0)=-98,"N/A",IF(OFFSET(N$55,'Intermediate Data'!$Y138,0)=-99,"N/A",OFFSET(N$55,'Intermediate Data'!$Y138,0))))</f>
        <v>1.1202750863174031</v>
      </c>
      <c r="AM138" s="90" t="str">
        <f ca="1">IF($Y138="","",IF(OFFSET(O$55,'Intermediate Data'!$Y138,0)=-98,"N/A",IF(OFFSET(O$55,'Intermediate Data'!$Y138,0)=-99,"N/A",OFFSET(O$55,'Intermediate Data'!$Y138,0))))</f>
        <v>N/A</v>
      </c>
      <c r="AN138" s="90">
        <f ca="1">IF($Y138="","",IF(OFFSET(P$55,'Intermediate Data'!$Y138,0)=-98,"N/A",IF(OFFSET(P$55,'Intermediate Data'!$Y138,0)=-99,"N/A",OFFSET(P$55,'Intermediate Data'!$Y138,0))))</f>
        <v>1.1202750863174031</v>
      </c>
      <c r="AO138" s="90" t="str">
        <f ca="1">IF($Y138="","",IF(OFFSET(Q$55,'Intermediate Data'!$Y138,0)=-98,"N/A",IF(OFFSET(Q$55,'Intermediate Data'!$Y138,0)=-99,"N/A",OFFSET(Q$55,'Intermediate Data'!$Y138,0))))</f>
        <v>RASS</v>
      </c>
      <c r="AP138" s="697" t="str">
        <f ca="1">IF($Y138="","",IF(OFFSET(S$55,'Intermediate Data'!$Y138,0)=-98,"",IF(OFFSET(S$55,'Intermediate Data'!$Y138,0)=-99,"",OFFSET(S$55,'Intermediate Data'!$Y138,0))))</f>
        <v/>
      </c>
      <c r="AQ138" s="90">
        <f ca="1">IF($Y138="","",IF(OFFSET(T$55,'Intermediate Data'!$Y138,0)=-98,"Not published",IF(OFFSET(T$55,'Intermediate Data'!$Y138,0)=-99,"",OFFSET(T$55,'Intermediate Data'!$Y138,0))))</f>
        <v>0.9</v>
      </c>
      <c r="AR138" s="90">
        <f ca="1">IF($Y138="","",IF(OFFSET(U$55,'Intermediate Data'!$Y138,0)=-98,"Unknown",IF(OFFSET(U$55,'Intermediate Data'!$Y138,0)=-99,"",OFFSET(U$55,'Intermediate Data'!$Y138,0))))</f>
        <v>15.209999999999997</v>
      </c>
      <c r="AU138" s="112" t="str">
        <f ca="1">IF(AND(OFFSET(DATA!$F87,0,$AX$48)='Intermediate Data'!$AY$48,DATA!$E87="Tier 1"),IF(OR($AX$49=0,$AX$48=1),DATA!A87,IF(AND($AX$49=1,INDEX('Intermediate Data'!$AY$25:$AY$44,MATCH(DATA!$B87,'Intermediate Data'!$AX$25:$AX$44,0))=TRUE),DATA!A87,"")),"")</f>
        <v/>
      </c>
      <c r="AV138" s="112" t="str">
        <f ca="1">IF($AU138="","",DATA!B87)</f>
        <v/>
      </c>
      <c r="AW138" s="112" t="str">
        <f ca="1">IF(OR($AU138="",DATA!BI87=""),"",DATA!BI87)</f>
        <v/>
      </c>
      <c r="AX138" s="112" t="str">
        <f ca="1">IF(OR($AU138="",OFFSET(DATA!BK87,0,$AX$48)=""),"",OFFSET(DATA!BK87,0,$AX$48))</f>
        <v/>
      </c>
      <c r="AY138" s="112" t="str">
        <f ca="1">IF(OR($AU138="",OFFSET(DATA!BM87,0,$AX$48)=""),"",OFFSET(DATA!BM87,0,$AX$48))</f>
        <v/>
      </c>
      <c r="AZ138" s="112" t="str">
        <f ca="1">IF(OR($AU138="",OFFSET(DATA!BO87,0,'Intermediate Data'!$AX$48)=""),"",OFFSET(DATA!BO87,0,$AX$48))</f>
        <v/>
      </c>
      <c r="BA138" s="112" t="str">
        <f ca="1">IF(OR($AU138="",DATA!BQ87=""),"",DATA!BQ87)</f>
        <v/>
      </c>
      <c r="BB138" s="112" t="str">
        <f ca="1">IF($AU138="","",OFFSET(DATA!BS87,0,$AX$48))</f>
        <v/>
      </c>
      <c r="BC138" s="112" t="str">
        <f ca="1">IF($AU138="","",OFFSET(DATA!BU87,0,$AX$48))</f>
        <v/>
      </c>
      <c r="BD138" s="112" t="str">
        <f ca="1">IF($AU138="","",OFFSET(DATA!BW87,0,$AX$48))</f>
        <v/>
      </c>
      <c r="BE138" s="112" t="str">
        <f ca="1">IF($AU138="","",OFFSET(DATA!BY87,0,$AX$48))</f>
        <v/>
      </c>
      <c r="BF138" s="112" t="str">
        <f ca="1">IF($AU138="","",OFFSET(DATA!CA87,0,$AX$48))</f>
        <v/>
      </c>
      <c r="BG138" s="112" t="str">
        <f ca="1">IF($AU138="","",DATA!CC87)</f>
        <v/>
      </c>
      <c r="BH138" s="112" t="str">
        <f ca="1">IF($AU138="","",OFFSET(DATA!CE87,0,$AX$48))</f>
        <v/>
      </c>
      <c r="BI138" s="112" t="str">
        <f ca="1">IF($AU138="","",OFFSET(DATA!CG87,0,$AX$48))</f>
        <v/>
      </c>
      <c r="BJ138" s="112" t="str">
        <f ca="1">IF($AU138="","",OFFSET(DATA!CI87,0,$AX$48))</f>
        <v/>
      </c>
      <c r="BK138" s="112" t="str">
        <f ca="1">IF($AU138="","",OFFSET(DATA!CK87,0,$AX$48))</f>
        <v/>
      </c>
      <c r="BL138" s="112" t="str">
        <f ca="1">IF($AU138="","",OFFSET(DATA!CM87,0,$AX$48))</f>
        <v/>
      </c>
      <c r="BM138" s="112" t="str">
        <f ca="1">IF($AU138="","",DATA!BH87)</f>
        <v/>
      </c>
      <c r="BN138" s="112" t="str">
        <f ca="1">IF($AU138="","",DATA!DS87)</f>
        <v/>
      </c>
      <c r="BO138" s="112" t="str">
        <f ca="1">IF($AU138="","",DATA!DU87)</f>
        <v/>
      </c>
      <c r="BP138" s="112" t="str">
        <f ca="1">IF($AU138="","",DATA!DV87)</f>
        <v/>
      </c>
      <c r="BQ138" s="112" t="str">
        <f ca="1">IF($AU138="","",DATA!DX87)</f>
        <v/>
      </c>
      <c r="BR138" s="112" t="str">
        <f ca="1">IF($AU138="","",DATA!DZ87)</f>
        <v/>
      </c>
      <c r="BS138" s="171" t="str">
        <f ca="1">IF($AU138="","",DATA!EA87)</f>
        <v/>
      </c>
      <c r="BT138" s="171" t="str">
        <f ca="1">IF($AU138="","",DATA!EC87)</f>
        <v/>
      </c>
      <c r="BU138" s="171" t="str">
        <f ca="1">IF($AU138="","",DATA!EF87)</f>
        <v/>
      </c>
      <c r="BV138" s="113" t="str">
        <f t="shared" ca="1" si="24"/>
        <v/>
      </c>
      <c r="BW138" s="680" t="str">
        <f ca="1">IF(AU138="","",OFFSET(DATA!DC87,0,'Intermediate Data'!$AX$48))</f>
        <v/>
      </c>
      <c r="BX138" s="681" t="str">
        <f ca="1">IF($AU138="","",DATA!DG87)</f>
        <v/>
      </c>
      <c r="BY138" s="680" t="str">
        <f ca="1">IF($AU138="","",OFFSET(DATA!DE87,0,'Intermediate Data'!$AX$48))</f>
        <v/>
      </c>
      <c r="BZ138" s="681" t="str">
        <f ca="1">IF($AU138="","",DATA!DH87)</f>
        <v/>
      </c>
      <c r="CA138" s="90" t="str">
        <f t="shared" ca="1" si="25"/>
        <v/>
      </c>
      <c r="CB138" s="99" t="str">
        <f t="shared" ca="1" si="26"/>
        <v/>
      </c>
      <c r="CC138" s="90" t="str">
        <f t="shared" ca="1" si="27"/>
        <v/>
      </c>
      <c r="CD138" s="90" t="str">
        <f t="shared" ca="1" si="28"/>
        <v/>
      </c>
      <c r="CF138" s="90" t="str">
        <f ca="1">IF($CD138="","",IF(OFFSET(AV$55,'Intermediate Data'!$CD138,0)=-98,"Unknown",IF(OFFSET(AV$55,'Intermediate Data'!$CD138,0)=-99,"N/A",OFFSET(AV$55,'Intermediate Data'!$CD138,0))))</f>
        <v/>
      </c>
      <c r="CG138" s="90" t="str">
        <f ca="1">IF($CD138="","",IF(OFFSET(AW$55,'Intermediate Data'!$CD138,0)=-98,"",IF(OFFSET(AW$55,'Intermediate Data'!$CD138,0)=-99,"N/A",OFFSET(AW$55,'Intermediate Data'!$CD138,0))))</f>
        <v/>
      </c>
      <c r="CH138" s="90" t="str">
        <f ca="1">IF($CD138="","",IF(OFFSET(AX$55,'Intermediate Data'!$CD138,0)=-98,"Unknown",IF(OFFSET(AX$55,'Intermediate Data'!$CD138,0)=-99,"N/A",OFFSET(AX$55,'Intermediate Data'!$CD138,0))))</f>
        <v/>
      </c>
      <c r="CI138" s="125" t="str">
        <f ca="1">IF($CD138="","",IF(OFFSET(AY$55,'Intermediate Data'!$CD138,0)=-98,"Unknown",IF(OFFSET(AY$55,'Intermediate Data'!$CD138,0)=-99,"No spec",OFFSET(AY$55,'Intermediate Data'!$CD138,0))))</f>
        <v/>
      </c>
      <c r="CJ138" s="125" t="str">
        <f ca="1">IF($CD138="","",IF(OFFSET(AZ$55,'Intermediate Data'!$CD138,0)=-98,"Unknown",IF(OFFSET(AZ$55,'Intermediate Data'!$CD138,0)=-99,"N/A",OFFSET(AZ$55,'Intermediate Data'!$CD138,0))))</f>
        <v/>
      </c>
      <c r="CK138" s="90" t="str">
        <f ca="1">IF($CD138="","",IF(OFFSET(BA$55,'Intermediate Data'!$CD138,0)=-98,"Unknown",IF(OFFSET(BA$55,'Intermediate Data'!$CD138,0)=-99,"N/A",OFFSET(BA$55,'Intermediate Data'!$CD138,0))))</f>
        <v/>
      </c>
      <c r="CL138" s="90" t="str">
        <f ca="1">IF($CD138="","",IF(OFFSET(BB$55,'Intermediate Data'!$CD138,$AX$50)=-98,"Unknown",IF(OFFSET(BB$55,'Intermediate Data'!$CD138,$AX$50)="N/A","",OFFSET(BB$55,'Intermediate Data'!$CD138,$AX$50))))</f>
        <v/>
      </c>
      <c r="CM138" s="90" t="str">
        <f ca="1">IF($CD138="","",IF(OFFSET(BG$55,'Intermediate Data'!$CD138,0)="ET","ET",""))</f>
        <v/>
      </c>
      <c r="CN138" s="90" t="str">
        <f ca="1">IF($CD138="","",IF(OFFSET(BH$55,'Intermediate Data'!$CD138,$AX$50)=-98,"Unknown",IF(OFFSET(BH$55,'Intermediate Data'!$CD138,$AX$50)="N/A","",OFFSET(BH$55,'Intermediate Data'!$CD138,$AX$50))))</f>
        <v/>
      </c>
      <c r="CO138" s="90" t="str">
        <f ca="1">IF($CD138="","",IF(OFFSET(BM$55,'Intermediate Data'!$CD138,0)=-98,"Not published",IF(OFFSET(BM$55,'Intermediate Data'!$CD138,0)=-99,"No spec",OFFSET(BM$55,'Intermediate Data'!$CD138,0))))</f>
        <v/>
      </c>
      <c r="CP138" s="114" t="str">
        <f ca="1">IF($CD138="","",IF(OFFSET(BN$55,'Intermediate Data'!$CD138,0)=-98,"Unknown",IF(OFFSET(BN$55,'Intermediate Data'!$CD138,0)=-99,"N/A",OFFSET(BN$55,'Intermediate Data'!$CD138,0))))</f>
        <v/>
      </c>
      <c r="CQ138" s="114" t="str">
        <f ca="1">IF($CD138="","",IF(OFFSET(BO$55,'Intermediate Data'!$CD138,0)=-98,"Unknown",IF(OFFSET(BO$55,'Intermediate Data'!$CD138,0)=-99,"N/A",OFFSET(BO$55,'Intermediate Data'!$CD138,0))))</f>
        <v/>
      </c>
      <c r="CR138" s="114" t="str">
        <f ca="1">IF($CD138="","",IF(OFFSET(BP$55,'Intermediate Data'!$CD138,0)=-98,"Unknown",IF(OFFSET(BP$55,'Intermediate Data'!$CD138,0)=-99,"N/A",OFFSET(BP$55,'Intermediate Data'!$CD138,0))))</f>
        <v/>
      </c>
      <c r="CS138" s="114" t="str">
        <f ca="1">IF($CD138="","",IF(OFFSET(BQ$55,'Intermediate Data'!$CD138,0)=-98,"Unknown",IF(OFFSET(BQ$55,'Intermediate Data'!$CD138,0)=-99,"N/A",OFFSET(BQ$55,'Intermediate Data'!$CD138,0))))</f>
        <v/>
      </c>
      <c r="CT138" s="114" t="str">
        <f ca="1">IF($CD138="","",IF(OFFSET(BR$55,'Intermediate Data'!$CD138,0)=-98,"Unknown",IF(OFFSET(BR$55,'Intermediate Data'!$CD138,0)=-99,"N/A",OFFSET(BR$55,'Intermediate Data'!$CD138,0))))</f>
        <v/>
      </c>
      <c r="CU138" s="114" t="str">
        <f ca="1">IF($CD138="","",IF(OFFSET(BS$55,'Intermediate Data'!$CD138,0)=-98,"Unknown",IF(OFFSET(BS$55,'Intermediate Data'!$CD138,0)=-99,"N/A",OFFSET(BS$55,'Intermediate Data'!$CD138,0))))</f>
        <v/>
      </c>
      <c r="CV138" s="114" t="str">
        <f ca="1">IF($CD138="","",IF(OFFSET(BT$55,'Intermediate Data'!$CD138,0)=-98,"Unknown",IF(OFFSET(BT$55,'Intermediate Data'!$CD138,0)=-99,"N/A",OFFSET(BT$55,'Intermediate Data'!$CD138,0))))</f>
        <v/>
      </c>
      <c r="CW138" s="114" t="str">
        <f ca="1">IF($CD138="","",IF(OFFSET(BU$55,'Intermediate Data'!$CD138,0)=-98,"Unknown",IF(OFFSET(BU$55,'Intermediate Data'!$CD138,0)=-99,"N/A",OFFSET(BU$55,'Intermediate Data'!$CD138,0))))</f>
        <v/>
      </c>
      <c r="CX138" s="114" t="str">
        <f ca="1">IF($CD138="","",IF(OFFSET(BV$55,'Intermediate Data'!$CD138,0)=-98,"Unknown",IF(OFFSET(BV$55,'Intermediate Data'!$CD138,0)=-99,"N/A",OFFSET(BV$55,'Intermediate Data'!$CD138,0))))</f>
        <v/>
      </c>
      <c r="CY138" s="682" t="str">
        <f ca="1">IF($CD138="","",IF(OFFSET(BW$55,'Intermediate Data'!$CD138,0)=-98,"Unknown",IF(OFFSET(BW$55,'Intermediate Data'!$CD138,0)="N/A","",OFFSET(BW$55,'Intermediate Data'!$CD138,0))))</f>
        <v/>
      </c>
      <c r="CZ138" s="682" t="str">
        <f ca="1">IF($CD138="","",IF(OFFSET(BX$55,'Intermediate Data'!$CD138,0)=-98,"Unknown",IF(OFFSET(BX$55,'Intermediate Data'!$CD138,0)="N/A","",OFFSET(BX$55,'Intermediate Data'!$CD138,0))))</f>
        <v/>
      </c>
      <c r="DA138" s="682" t="str">
        <f ca="1">IF($CD138="","",IF(OFFSET(BY$55,'Intermediate Data'!$CD138,0)=-98,"Unknown",IF(OFFSET(BY$55,'Intermediate Data'!$CD138,0)="N/A","",OFFSET(BY$55,'Intermediate Data'!$CD138,0))))</f>
        <v/>
      </c>
      <c r="DB138" s="682" t="str">
        <f ca="1">IF($CD138="","",IF(OFFSET(BZ$55,'Intermediate Data'!$CD138,0)=-98,"Unknown",IF(OFFSET(BZ$55,'Intermediate Data'!$CD138,0)="N/A","",OFFSET(BZ$55,'Intermediate Data'!$CD138,0))))</f>
        <v/>
      </c>
    </row>
    <row r="139" spans="1:106" x14ac:dyDescent="0.2">
      <c r="A139" s="90">
        <f ca="1">IF(OFFSET(DATA!F88,0,$D$48)='Intermediate Data'!$E$48,IF(OR($E$49=$C$27,$E$48=$B$4),DATA!A88,IF($G$49=DATA!D88,DATA!A88,"")),"")</f>
        <v>84</v>
      </c>
      <c r="B139" s="90">
        <f ca="1">IF($A139="","",DATA!EH88)</f>
        <v>109</v>
      </c>
      <c r="C139" s="90" t="str">
        <f ca="1">IF($A139="","",DATA!B88)</f>
        <v>Decorative lighting</v>
      </c>
      <c r="D139" s="90">
        <f ca="1">IF($A139="","",OFFSET(DATA!$H88,0,($D$50*5)))</f>
        <v>-99</v>
      </c>
      <c r="E139" s="90">
        <f ca="1">IF($A139="","",OFFSET(DATA!$H88,0,($D$50*5)+1))</f>
        <v>-99</v>
      </c>
      <c r="F139" s="90">
        <f ca="1">IF($A139="","",OFFSET(DATA!$H88,0,($D$50*5)+2))</f>
        <v>-99</v>
      </c>
      <c r="G139" s="90">
        <f ca="1">IF($A139="","",OFFSET(DATA!$H88,0,($D$50*5)+3))</f>
        <v>-99</v>
      </c>
      <c r="H139" s="90">
        <f ca="1">IF($A139="","",OFFSET(DATA!$H88,0,($D$50*5)+4))</f>
        <v>-99</v>
      </c>
      <c r="I139" s="90">
        <f t="shared" ca="1" si="17"/>
        <v>-99</v>
      </c>
      <c r="J139" s="90" t="str">
        <f t="shared" ca="1" si="18"/>
        <v/>
      </c>
      <c r="K139" s="90">
        <f ca="1">IF($A139="","",OFFSET(DATA!$AG88,0,($D$50*5)))</f>
        <v>-99</v>
      </c>
      <c r="L139" s="90">
        <f ca="1">IF($A139="","",OFFSET(DATA!$AG88,0,($D$50*5)+1))</f>
        <v>-99</v>
      </c>
      <c r="M139" s="90">
        <f ca="1">IF($A139="","",OFFSET(DATA!$AG88,0,($D$50*5)+2))</f>
        <v>-99</v>
      </c>
      <c r="N139" s="90">
        <f ca="1">IF($A139="","",OFFSET(DATA!$AG88,0,($D$50*5)+3))</f>
        <v>-99</v>
      </c>
      <c r="O139" s="90">
        <f ca="1">IF($A139="","",OFFSET(DATA!$AG88,0,($D$50*5)+4))</f>
        <v>-99</v>
      </c>
      <c r="P139" s="90">
        <f t="shared" ca="1" si="19"/>
        <v>-99</v>
      </c>
      <c r="Q139" s="90" t="str">
        <f t="shared" ca="1" si="20"/>
        <v/>
      </c>
      <c r="R139" s="699">
        <f ca="1">IF($A139="","",IF(DATA!BF88="",-99,DATA!BF88))</f>
        <v>-99</v>
      </c>
      <c r="S139" s="90">
        <f ca="1">IF($A139="","",IF(DATA!BG88="",-99,DATA!BF88-DATA!BG88))</f>
        <v>-99</v>
      </c>
      <c r="T139" s="90">
        <f ca="1">IF($A139="","",DATA!BH88)</f>
        <v>-99</v>
      </c>
      <c r="U139" s="90">
        <f ca="1">IF($A139="","",OFFSET(DATA!BM88,0,$D$48))</f>
        <v>-99</v>
      </c>
      <c r="V139" s="90">
        <f t="shared" ca="1" si="16"/>
        <v>109</v>
      </c>
      <c r="W139" s="99">
        <f t="shared" ca="1" si="21"/>
        <v>108.99988120139001</v>
      </c>
      <c r="X139" s="112">
        <f t="shared" ca="1" si="22"/>
        <v>44.999881201099996</v>
      </c>
      <c r="Y139" s="90">
        <f t="shared" ca="1" si="23"/>
        <v>55</v>
      </c>
      <c r="AA139" s="90" t="str">
        <f ca="1">IF($Y139="","",IF(OFFSET(C$55,'Intermediate Data'!$Y139,0)=-98,"Unknown",IF(OFFSET(C$55,'Intermediate Data'!$Y139,0)=-99,"N/A",OFFSET(C$55,'Intermediate Data'!$Y139,0))))</f>
        <v>Projector</v>
      </c>
      <c r="AB139" s="90" t="str">
        <f ca="1">IF($Y139="","",IF(OFFSET(D$55,'Intermediate Data'!$Y139,0)=-98,"N/A",IF(OFFSET(D$55,'Intermediate Data'!$Y139,0)=-99,"N/A",OFFSET(D$55,'Intermediate Data'!$Y139,0))))</f>
        <v>N/A</v>
      </c>
      <c r="AC139" s="90" t="str">
        <f ca="1">IF($Y139="","",IF(OFFSET(E$55,'Intermediate Data'!$Y139,0)=-98,"N/A",IF(OFFSET(E$55,'Intermediate Data'!$Y139,0)=-99,"N/A",OFFSET(E$55,'Intermediate Data'!$Y139,0))))</f>
        <v>N/A</v>
      </c>
      <c r="AD139" s="90" t="str">
        <f ca="1">IF($Y139="","",IF(OFFSET(F$55,'Intermediate Data'!$Y139,0)=-98,"N/A",IF(OFFSET(F$55,'Intermediate Data'!$Y139,0)=-99,"N/A",OFFSET(F$55,'Intermediate Data'!$Y139,0))))</f>
        <v>N/A</v>
      </c>
      <c r="AE139" s="90" t="str">
        <f ca="1">IF($Y139="","",IF(OFFSET(G$55,'Intermediate Data'!$Y139,0)=-98,"N/A",IF(OFFSET(G$55,'Intermediate Data'!$Y139,0)=-99,"N/A",OFFSET(G$55,'Intermediate Data'!$Y139,0))))</f>
        <v>N/A</v>
      </c>
      <c r="AF139" s="90" t="str">
        <f ca="1">IF($Y139="","",IF(OFFSET(H$55,'Intermediate Data'!$Y139,0)=-98,"N/A",IF(OFFSET(H$55,'Intermediate Data'!$Y139,0)=-99,"N/A",OFFSET(H$55,'Intermediate Data'!$Y139,0))))</f>
        <v>N/A</v>
      </c>
      <c r="AG139" s="90" t="str">
        <f ca="1">IF($Y139="","",IF(OFFSET(I$55,'Intermediate Data'!$Y139,0)=-98,"N/A",IF(OFFSET(I$55,'Intermediate Data'!$Y139,0)=-99,"N/A",OFFSET(I$55,'Intermediate Data'!$Y139,0))))</f>
        <v>N/A</v>
      </c>
      <c r="AH139" s="90" t="str">
        <f ca="1">IF($Y139="","",IF(OFFSET(J$55,'Intermediate Data'!$Y139,0)=-98,"N/A",IF(OFFSET(J$55,'Intermediate Data'!$Y139,0)=-99,"N/A",OFFSET(J$55,'Intermediate Data'!$Y139,0))))</f>
        <v/>
      </c>
      <c r="AI139" s="90" t="str">
        <f ca="1">IF($Y139="","",IF(OFFSET(K$55,'Intermediate Data'!$Y139,0)=-98,"N/A",IF(OFFSET(K$55,'Intermediate Data'!$Y139,0)=-99,"N/A",OFFSET(K$55,'Intermediate Data'!$Y139,0))))</f>
        <v>N/A</v>
      </c>
      <c r="AJ139" s="90" t="str">
        <f ca="1">IF($Y139="","",IF(OFFSET(L$55,'Intermediate Data'!$Y139,0)=-98,"N/A",IF(OFFSET(L$55,'Intermediate Data'!$Y139,0)=-99,"N/A",OFFSET(L$55,'Intermediate Data'!$Y139,0))))</f>
        <v>N/A</v>
      </c>
      <c r="AK139" s="90" t="str">
        <f ca="1">IF($Y139="","",IF(OFFSET(M$55,'Intermediate Data'!$Y139,0)=-98,"N/A",IF(OFFSET(M$55,'Intermediate Data'!$Y139,0)=-99,"N/A",OFFSET(M$55,'Intermediate Data'!$Y139,0))))</f>
        <v>N/A</v>
      </c>
      <c r="AL139" s="90" t="str">
        <f ca="1">IF($Y139="","",IF(OFFSET(N$55,'Intermediate Data'!$Y139,0)=-98,"N/A",IF(OFFSET(N$55,'Intermediate Data'!$Y139,0)=-99,"N/A",OFFSET(N$55,'Intermediate Data'!$Y139,0))))</f>
        <v>N/A</v>
      </c>
      <c r="AM139" s="90" t="str">
        <f ca="1">IF($Y139="","",IF(OFFSET(O$55,'Intermediate Data'!$Y139,0)=-98,"N/A",IF(OFFSET(O$55,'Intermediate Data'!$Y139,0)=-99,"N/A",OFFSET(O$55,'Intermediate Data'!$Y139,0))))</f>
        <v>N/A</v>
      </c>
      <c r="AN139" s="90" t="str">
        <f ca="1">IF($Y139="","",IF(OFFSET(P$55,'Intermediate Data'!$Y139,0)=-98,"N/A",IF(OFFSET(P$55,'Intermediate Data'!$Y139,0)=-99,"N/A",OFFSET(P$55,'Intermediate Data'!$Y139,0))))</f>
        <v>N/A</v>
      </c>
      <c r="AO139" s="90" t="str">
        <f ca="1">IF($Y139="","",IF(OFFSET(Q$55,'Intermediate Data'!$Y139,0)=-98,"N/A",IF(OFFSET(Q$55,'Intermediate Data'!$Y139,0)=-99,"N/A",OFFSET(Q$55,'Intermediate Data'!$Y139,0))))</f>
        <v/>
      </c>
      <c r="AP139" s="697" t="str">
        <f ca="1">IF($Y139="","",IF(OFFSET(S$55,'Intermediate Data'!$Y139,0)=-98,"",IF(OFFSET(S$55,'Intermediate Data'!$Y139,0)=-99,"",OFFSET(S$55,'Intermediate Data'!$Y139,0))))</f>
        <v/>
      </c>
      <c r="AQ139" s="90" t="str">
        <f ca="1">IF($Y139="","",IF(OFFSET(T$55,'Intermediate Data'!$Y139,0)=-98,"Not published",IF(OFFSET(T$55,'Intermediate Data'!$Y139,0)=-99,"",OFFSET(T$55,'Intermediate Data'!$Y139,0))))</f>
        <v/>
      </c>
      <c r="AR139" s="90" t="str">
        <f ca="1">IF($Y139="","",IF(OFFSET(U$55,'Intermediate Data'!$Y139,0)=-98,"Unknown",IF(OFFSET(U$55,'Intermediate Data'!$Y139,0)=-99,"",OFFSET(U$55,'Intermediate Data'!$Y139,0))))</f>
        <v/>
      </c>
      <c r="AU139" s="112" t="str">
        <f ca="1">IF(AND(OFFSET(DATA!$F88,0,$AX$48)='Intermediate Data'!$AY$48,DATA!$E88="Tier 1"),IF(OR($AX$49=0,$AX$48=1),DATA!A88,IF(AND($AX$49=1,INDEX('Intermediate Data'!$AY$25:$AY$44,MATCH(DATA!$B88,'Intermediate Data'!$AX$25:$AX$44,0))=TRUE),DATA!A88,"")),"")</f>
        <v/>
      </c>
      <c r="AV139" s="112" t="str">
        <f ca="1">IF($AU139="","",DATA!B88)</f>
        <v/>
      </c>
      <c r="AW139" s="112" t="str">
        <f ca="1">IF(OR($AU139="",DATA!BI88=""),"",DATA!BI88)</f>
        <v/>
      </c>
      <c r="AX139" s="112" t="str">
        <f ca="1">IF(OR($AU139="",OFFSET(DATA!BK88,0,$AX$48)=""),"",OFFSET(DATA!BK88,0,$AX$48))</f>
        <v/>
      </c>
      <c r="AY139" s="112" t="str">
        <f ca="1">IF(OR($AU139="",OFFSET(DATA!BM88,0,$AX$48)=""),"",OFFSET(DATA!BM88,0,$AX$48))</f>
        <v/>
      </c>
      <c r="AZ139" s="112" t="str">
        <f ca="1">IF(OR($AU139="",OFFSET(DATA!BO88,0,'Intermediate Data'!$AX$48)=""),"",OFFSET(DATA!BO88,0,$AX$48))</f>
        <v/>
      </c>
      <c r="BA139" s="112" t="str">
        <f ca="1">IF(OR($AU139="",DATA!BQ88=""),"",DATA!BQ88)</f>
        <v/>
      </c>
      <c r="BB139" s="112" t="str">
        <f ca="1">IF($AU139="","",OFFSET(DATA!BS88,0,$AX$48))</f>
        <v/>
      </c>
      <c r="BC139" s="112" t="str">
        <f ca="1">IF($AU139="","",OFFSET(DATA!BU88,0,$AX$48))</f>
        <v/>
      </c>
      <c r="BD139" s="112" t="str">
        <f ca="1">IF($AU139="","",OFFSET(DATA!BW88,0,$AX$48))</f>
        <v/>
      </c>
      <c r="BE139" s="112" t="str">
        <f ca="1">IF($AU139="","",OFFSET(DATA!BY88,0,$AX$48))</f>
        <v/>
      </c>
      <c r="BF139" s="112" t="str">
        <f ca="1">IF($AU139="","",OFFSET(DATA!CA88,0,$AX$48))</f>
        <v/>
      </c>
      <c r="BG139" s="112" t="str">
        <f ca="1">IF($AU139="","",DATA!CC88)</f>
        <v/>
      </c>
      <c r="BH139" s="112" t="str">
        <f ca="1">IF($AU139="","",OFFSET(DATA!CE88,0,$AX$48))</f>
        <v/>
      </c>
      <c r="BI139" s="112" t="str">
        <f ca="1">IF($AU139="","",OFFSET(DATA!CG88,0,$AX$48))</f>
        <v/>
      </c>
      <c r="BJ139" s="112" t="str">
        <f ca="1">IF($AU139="","",OFFSET(DATA!CI88,0,$AX$48))</f>
        <v/>
      </c>
      <c r="BK139" s="112" t="str">
        <f ca="1">IF($AU139="","",OFFSET(DATA!CK88,0,$AX$48))</f>
        <v/>
      </c>
      <c r="BL139" s="112" t="str">
        <f ca="1">IF($AU139="","",OFFSET(DATA!CM88,0,$AX$48))</f>
        <v/>
      </c>
      <c r="BM139" s="112" t="str">
        <f ca="1">IF($AU139="","",DATA!BH88)</f>
        <v/>
      </c>
      <c r="BN139" s="112" t="str">
        <f ca="1">IF($AU139="","",DATA!DS88)</f>
        <v/>
      </c>
      <c r="BO139" s="112" t="str">
        <f ca="1">IF($AU139="","",DATA!DU88)</f>
        <v/>
      </c>
      <c r="BP139" s="112" t="str">
        <f ca="1">IF($AU139="","",DATA!DV88)</f>
        <v/>
      </c>
      <c r="BQ139" s="112" t="str">
        <f ca="1">IF($AU139="","",DATA!DX88)</f>
        <v/>
      </c>
      <c r="BR139" s="112" t="str">
        <f ca="1">IF($AU139="","",DATA!DZ88)</f>
        <v/>
      </c>
      <c r="BS139" s="171" t="str">
        <f ca="1">IF($AU139="","",DATA!EA88)</f>
        <v/>
      </c>
      <c r="BT139" s="171" t="str">
        <f ca="1">IF($AU139="","",DATA!EC88)</f>
        <v/>
      </c>
      <c r="BU139" s="171" t="str">
        <f ca="1">IF($AU139="","",DATA!EF88)</f>
        <v/>
      </c>
      <c r="BV139" s="113" t="str">
        <f t="shared" ca="1" si="24"/>
        <v/>
      </c>
      <c r="BW139" s="680" t="str">
        <f ca="1">IF(AU139="","",OFFSET(DATA!DC88,0,'Intermediate Data'!$AX$48))</f>
        <v/>
      </c>
      <c r="BX139" s="681" t="str">
        <f ca="1">IF($AU139="","",DATA!DG88)</f>
        <v/>
      </c>
      <c r="BY139" s="680" t="str">
        <f ca="1">IF($AU139="","",OFFSET(DATA!DE88,0,'Intermediate Data'!$AX$48))</f>
        <v/>
      </c>
      <c r="BZ139" s="681" t="str">
        <f ca="1">IF($AU139="","",DATA!DH88)</f>
        <v/>
      </c>
      <c r="CA139" s="90" t="str">
        <f t="shared" ca="1" si="25"/>
        <v/>
      </c>
      <c r="CB139" s="99" t="str">
        <f t="shared" ca="1" si="26"/>
        <v/>
      </c>
      <c r="CC139" s="90" t="str">
        <f t="shared" ca="1" si="27"/>
        <v/>
      </c>
      <c r="CD139" s="90" t="str">
        <f t="shared" ca="1" si="28"/>
        <v/>
      </c>
      <c r="CF139" s="90" t="str">
        <f ca="1">IF($CD139="","",IF(OFFSET(AV$55,'Intermediate Data'!$CD139,0)=-98,"Unknown",IF(OFFSET(AV$55,'Intermediate Data'!$CD139,0)=-99,"N/A",OFFSET(AV$55,'Intermediate Data'!$CD139,0))))</f>
        <v/>
      </c>
      <c r="CG139" s="90" t="str">
        <f ca="1">IF($CD139="","",IF(OFFSET(AW$55,'Intermediate Data'!$CD139,0)=-98,"",IF(OFFSET(AW$55,'Intermediate Data'!$CD139,0)=-99,"N/A",OFFSET(AW$55,'Intermediate Data'!$CD139,0))))</f>
        <v/>
      </c>
      <c r="CH139" s="90" t="str">
        <f ca="1">IF($CD139="","",IF(OFFSET(AX$55,'Intermediate Data'!$CD139,0)=-98,"Unknown",IF(OFFSET(AX$55,'Intermediate Data'!$CD139,0)=-99,"N/A",OFFSET(AX$55,'Intermediate Data'!$CD139,0))))</f>
        <v/>
      </c>
      <c r="CI139" s="125" t="str">
        <f ca="1">IF($CD139="","",IF(OFFSET(AY$55,'Intermediate Data'!$CD139,0)=-98,"Unknown",IF(OFFSET(AY$55,'Intermediate Data'!$CD139,0)=-99,"No spec",OFFSET(AY$55,'Intermediate Data'!$CD139,0))))</f>
        <v/>
      </c>
      <c r="CJ139" s="125" t="str">
        <f ca="1">IF($CD139="","",IF(OFFSET(AZ$55,'Intermediate Data'!$CD139,0)=-98,"Unknown",IF(OFFSET(AZ$55,'Intermediate Data'!$CD139,0)=-99,"N/A",OFFSET(AZ$55,'Intermediate Data'!$CD139,0))))</f>
        <v/>
      </c>
      <c r="CK139" s="90" t="str">
        <f ca="1">IF($CD139="","",IF(OFFSET(BA$55,'Intermediate Data'!$CD139,0)=-98,"Unknown",IF(OFFSET(BA$55,'Intermediate Data'!$CD139,0)=-99,"N/A",OFFSET(BA$55,'Intermediate Data'!$CD139,0))))</f>
        <v/>
      </c>
      <c r="CL139" s="90" t="str">
        <f ca="1">IF($CD139="","",IF(OFFSET(BB$55,'Intermediate Data'!$CD139,$AX$50)=-98,"Unknown",IF(OFFSET(BB$55,'Intermediate Data'!$CD139,$AX$50)="N/A","",OFFSET(BB$55,'Intermediate Data'!$CD139,$AX$50))))</f>
        <v/>
      </c>
      <c r="CM139" s="90" t="str">
        <f ca="1">IF($CD139="","",IF(OFFSET(BG$55,'Intermediate Data'!$CD139,0)="ET","ET",""))</f>
        <v/>
      </c>
      <c r="CN139" s="90" t="str">
        <f ca="1">IF($CD139="","",IF(OFFSET(BH$55,'Intermediate Data'!$CD139,$AX$50)=-98,"Unknown",IF(OFFSET(BH$55,'Intermediate Data'!$CD139,$AX$50)="N/A","",OFFSET(BH$55,'Intermediate Data'!$CD139,$AX$50))))</f>
        <v/>
      </c>
      <c r="CO139" s="90" t="str">
        <f ca="1">IF($CD139="","",IF(OFFSET(BM$55,'Intermediate Data'!$CD139,0)=-98,"Not published",IF(OFFSET(BM$55,'Intermediate Data'!$CD139,0)=-99,"No spec",OFFSET(BM$55,'Intermediate Data'!$CD139,0))))</f>
        <v/>
      </c>
      <c r="CP139" s="114" t="str">
        <f ca="1">IF($CD139="","",IF(OFFSET(BN$55,'Intermediate Data'!$CD139,0)=-98,"Unknown",IF(OFFSET(BN$55,'Intermediate Data'!$CD139,0)=-99,"N/A",OFFSET(BN$55,'Intermediate Data'!$CD139,0))))</f>
        <v/>
      </c>
      <c r="CQ139" s="114" t="str">
        <f ca="1">IF($CD139="","",IF(OFFSET(BO$55,'Intermediate Data'!$CD139,0)=-98,"Unknown",IF(OFFSET(BO$55,'Intermediate Data'!$CD139,0)=-99,"N/A",OFFSET(BO$55,'Intermediate Data'!$CD139,0))))</f>
        <v/>
      </c>
      <c r="CR139" s="114" t="str">
        <f ca="1">IF($CD139="","",IF(OFFSET(BP$55,'Intermediate Data'!$CD139,0)=-98,"Unknown",IF(OFFSET(BP$55,'Intermediate Data'!$CD139,0)=-99,"N/A",OFFSET(BP$55,'Intermediate Data'!$CD139,0))))</f>
        <v/>
      </c>
      <c r="CS139" s="114" t="str">
        <f ca="1">IF($CD139="","",IF(OFFSET(BQ$55,'Intermediate Data'!$CD139,0)=-98,"Unknown",IF(OFFSET(BQ$55,'Intermediate Data'!$CD139,0)=-99,"N/A",OFFSET(BQ$55,'Intermediate Data'!$CD139,0))))</f>
        <v/>
      </c>
      <c r="CT139" s="114" t="str">
        <f ca="1">IF($CD139="","",IF(OFFSET(BR$55,'Intermediate Data'!$CD139,0)=-98,"Unknown",IF(OFFSET(BR$55,'Intermediate Data'!$CD139,0)=-99,"N/A",OFFSET(BR$55,'Intermediate Data'!$CD139,0))))</f>
        <v/>
      </c>
      <c r="CU139" s="114" t="str">
        <f ca="1">IF($CD139="","",IF(OFFSET(BS$55,'Intermediate Data'!$CD139,0)=-98,"Unknown",IF(OFFSET(BS$55,'Intermediate Data'!$CD139,0)=-99,"N/A",OFFSET(BS$55,'Intermediate Data'!$CD139,0))))</f>
        <v/>
      </c>
      <c r="CV139" s="114" t="str">
        <f ca="1">IF($CD139="","",IF(OFFSET(BT$55,'Intermediate Data'!$CD139,0)=-98,"Unknown",IF(OFFSET(BT$55,'Intermediate Data'!$CD139,0)=-99,"N/A",OFFSET(BT$55,'Intermediate Data'!$CD139,0))))</f>
        <v/>
      </c>
      <c r="CW139" s="114" t="str">
        <f ca="1">IF($CD139="","",IF(OFFSET(BU$55,'Intermediate Data'!$CD139,0)=-98,"Unknown",IF(OFFSET(BU$55,'Intermediate Data'!$CD139,0)=-99,"N/A",OFFSET(BU$55,'Intermediate Data'!$CD139,0))))</f>
        <v/>
      </c>
      <c r="CX139" s="114" t="str">
        <f ca="1">IF($CD139="","",IF(OFFSET(BV$55,'Intermediate Data'!$CD139,0)=-98,"Unknown",IF(OFFSET(BV$55,'Intermediate Data'!$CD139,0)=-99,"N/A",OFFSET(BV$55,'Intermediate Data'!$CD139,0))))</f>
        <v/>
      </c>
      <c r="CY139" s="682" t="str">
        <f ca="1">IF($CD139="","",IF(OFFSET(BW$55,'Intermediate Data'!$CD139,0)=-98,"Unknown",IF(OFFSET(BW$55,'Intermediate Data'!$CD139,0)="N/A","",OFFSET(BW$55,'Intermediate Data'!$CD139,0))))</f>
        <v/>
      </c>
      <c r="CZ139" s="682" t="str">
        <f ca="1">IF($CD139="","",IF(OFFSET(BX$55,'Intermediate Data'!$CD139,0)=-98,"Unknown",IF(OFFSET(BX$55,'Intermediate Data'!$CD139,0)="N/A","",OFFSET(BX$55,'Intermediate Data'!$CD139,0))))</f>
        <v/>
      </c>
      <c r="DA139" s="682" t="str">
        <f ca="1">IF($CD139="","",IF(OFFSET(BY$55,'Intermediate Data'!$CD139,0)=-98,"Unknown",IF(OFFSET(BY$55,'Intermediate Data'!$CD139,0)="N/A","",OFFSET(BY$55,'Intermediate Data'!$CD139,0))))</f>
        <v/>
      </c>
      <c r="DB139" s="682" t="str">
        <f ca="1">IF($CD139="","",IF(OFFSET(BZ$55,'Intermediate Data'!$CD139,0)=-98,"Unknown",IF(OFFSET(BZ$55,'Intermediate Data'!$CD139,0)="N/A","",OFFSET(BZ$55,'Intermediate Data'!$CD139,0))))</f>
        <v/>
      </c>
    </row>
    <row r="140" spans="1:106" x14ac:dyDescent="0.2">
      <c r="A140" s="90">
        <f ca="1">IF(OFFSET(DATA!F89,0,$D$48)='Intermediate Data'!$E$48,IF(OR($E$49=$C$27,$E$48=$B$4),DATA!A89,IF($G$49=DATA!D89,DATA!A89,"")),"")</f>
        <v>85</v>
      </c>
      <c r="B140" s="90">
        <f ca="1">IF($A140="","",DATA!EH89)</f>
        <v>93</v>
      </c>
      <c r="C140" s="90" t="str">
        <f ca="1">IF($A140="","",DATA!B89)</f>
        <v>Exterior lighting fixtures</v>
      </c>
      <c r="D140" s="90">
        <f ca="1">IF($A140="","",OFFSET(DATA!$H89,0,($D$50*5)))</f>
        <v>-99</v>
      </c>
      <c r="E140" s="90">
        <f ca="1">IF($A140="","",OFFSET(DATA!$H89,0,($D$50*5)+1))</f>
        <v>-99</v>
      </c>
      <c r="F140" s="90">
        <f ca="1">IF($A140="","",OFFSET(DATA!$H89,0,($D$50*5)+2))</f>
        <v>-99</v>
      </c>
      <c r="G140" s="90">
        <f ca="1">IF($A140="","",OFFSET(DATA!$H89,0,($D$50*5)+3))</f>
        <v>-99</v>
      </c>
      <c r="H140" s="90">
        <f ca="1">IF($A140="","",OFFSET(DATA!$H89,0,($D$50*5)+4))</f>
        <v>-99</v>
      </c>
      <c r="I140" s="90">
        <f t="shared" ca="1" si="17"/>
        <v>-99</v>
      </c>
      <c r="J140" s="90" t="str">
        <f t="shared" ca="1" si="18"/>
        <v/>
      </c>
      <c r="K140" s="90">
        <f ca="1">IF($A140="","",OFFSET(DATA!$AG89,0,($D$50*5)))</f>
        <v>-99</v>
      </c>
      <c r="L140" s="90">
        <f ca="1">IF($A140="","",OFFSET(DATA!$AG89,0,($D$50*5)+1))</f>
        <v>-99</v>
      </c>
      <c r="M140" s="90">
        <f ca="1">IF($A140="","",OFFSET(DATA!$AG89,0,($D$50*5)+2))</f>
        <v>-99</v>
      </c>
      <c r="N140" s="90">
        <f ca="1">IF($A140="","",OFFSET(DATA!$AG89,0,($D$50*5)+3))</f>
        <v>-99</v>
      </c>
      <c r="O140" s="90">
        <f ca="1">IF($A140="","",OFFSET(DATA!$AG89,0,($D$50*5)+4))</f>
        <v>-99</v>
      </c>
      <c r="P140" s="90">
        <f t="shared" ca="1" si="19"/>
        <v>-99</v>
      </c>
      <c r="Q140" s="90" t="str">
        <f t="shared" ca="1" si="20"/>
        <v/>
      </c>
      <c r="R140" s="699">
        <f ca="1">IF($A140="","",IF(DATA!BF89="",-99,DATA!BF89))</f>
        <v>-99</v>
      </c>
      <c r="S140" s="90">
        <f ca="1">IF($A140="","",IF(DATA!BG89="",-99,DATA!BF89-DATA!BG89))</f>
        <v>-99</v>
      </c>
      <c r="T140" s="90">
        <f ca="1">IF($A140="","",DATA!BH89)</f>
        <v>-99</v>
      </c>
      <c r="U140" s="90">
        <f ca="1">IF($A140="","",OFFSET(DATA!BM89,0,$D$48))</f>
        <v>-99</v>
      </c>
      <c r="V140" s="90">
        <f t="shared" ca="1" si="16"/>
        <v>93</v>
      </c>
      <c r="W140" s="99">
        <f t="shared" ca="1" si="21"/>
        <v>92.999881201400001</v>
      </c>
      <c r="X140" s="112">
        <f t="shared" ca="1" si="22"/>
        <v>43.99988120111</v>
      </c>
      <c r="Y140" s="90">
        <f t="shared" ca="1" si="23"/>
        <v>56</v>
      </c>
      <c r="AA140" s="90" t="str">
        <f ca="1">IF($Y140="","",IF(OFFSET(C$55,'Intermediate Data'!$Y140,0)=-98,"Unknown",IF(OFFSET(C$55,'Intermediate Data'!$Y140,0)=-99,"N/A",OFFSET(C$55,'Intermediate Data'!$Y140,0))))</f>
        <v>Radio</v>
      </c>
      <c r="AB140" s="90" t="str">
        <f ca="1">IF($Y140="","",IF(OFFSET(D$55,'Intermediate Data'!$Y140,0)=-98,"N/A",IF(OFFSET(D$55,'Intermediate Data'!$Y140,0)=-99,"N/A",OFFSET(D$55,'Intermediate Data'!$Y140,0))))</f>
        <v>N/A</v>
      </c>
      <c r="AC140" s="90" t="str">
        <f ca="1">IF($Y140="","",IF(OFFSET(E$55,'Intermediate Data'!$Y140,0)=-98,"N/A",IF(OFFSET(E$55,'Intermediate Data'!$Y140,0)=-99,"N/A",OFFSET(E$55,'Intermediate Data'!$Y140,0))))</f>
        <v>N/A</v>
      </c>
      <c r="AD140" s="90" t="str">
        <f ca="1">IF($Y140="","",IF(OFFSET(F$55,'Intermediate Data'!$Y140,0)=-98,"N/A",IF(OFFSET(F$55,'Intermediate Data'!$Y140,0)=-99,"N/A",OFFSET(F$55,'Intermediate Data'!$Y140,0))))</f>
        <v>N/A</v>
      </c>
      <c r="AE140" s="90" t="str">
        <f ca="1">IF($Y140="","",IF(OFFSET(G$55,'Intermediate Data'!$Y140,0)=-98,"N/A",IF(OFFSET(G$55,'Intermediate Data'!$Y140,0)=-99,"N/A",OFFSET(G$55,'Intermediate Data'!$Y140,0))))</f>
        <v>N/A</v>
      </c>
      <c r="AF140" s="90" t="str">
        <f ca="1">IF($Y140="","",IF(OFFSET(H$55,'Intermediate Data'!$Y140,0)=-98,"N/A",IF(OFFSET(H$55,'Intermediate Data'!$Y140,0)=-99,"N/A",OFFSET(H$55,'Intermediate Data'!$Y140,0))))</f>
        <v>N/A</v>
      </c>
      <c r="AG140" s="90" t="str">
        <f ca="1">IF($Y140="","",IF(OFFSET(I$55,'Intermediate Data'!$Y140,0)=-98,"N/A",IF(OFFSET(I$55,'Intermediate Data'!$Y140,0)=-99,"N/A",OFFSET(I$55,'Intermediate Data'!$Y140,0))))</f>
        <v>N/A</v>
      </c>
      <c r="AH140" s="90" t="str">
        <f ca="1">IF($Y140="","",IF(OFFSET(J$55,'Intermediate Data'!$Y140,0)=-98,"N/A",IF(OFFSET(J$55,'Intermediate Data'!$Y140,0)=-99,"N/A",OFFSET(J$55,'Intermediate Data'!$Y140,0))))</f>
        <v/>
      </c>
      <c r="AI140" s="90" t="str">
        <f ca="1">IF($Y140="","",IF(OFFSET(K$55,'Intermediate Data'!$Y140,0)=-98,"N/A",IF(OFFSET(K$55,'Intermediate Data'!$Y140,0)=-99,"N/A",OFFSET(K$55,'Intermediate Data'!$Y140,0))))</f>
        <v>N/A</v>
      </c>
      <c r="AJ140" s="90" t="str">
        <f ca="1">IF($Y140="","",IF(OFFSET(L$55,'Intermediate Data'!$Y140,0)=-98,"N/A",IF(OFFSET(L$55,'Intermediate Data'!$Y140,0)=-99,"N/A",OFFSET(L$55,'Intermediate Data'!$Y140,0))))</f>
        <v>N/A</v>
      </c>
      <c r="AK140" s="90" t="str">
        <f ca="1">IF($Y140="","",IF(OFFSET(M$55,'Intermediate Data'!$Y140,0)=-98,"N/A",IF(OFFSET(M$55,'Intermediate Data'!$Y140,0)=-99,"N/A",OFFSET(M$55,'Intermediate Data'!$Y140,0))))</f>
        <v>N/A</v>
      </c>
      <c r="AL140" s="90" t="str">
        <f ca="1">IF($Y140="","",IF(OFFSET(N$55,'Intermediate Data'!$Y140,0)=-98,"N/A",IF(OFFSET(N$55,'Intermediate Data'!$Y140,0)=-99,"N/A",OFFSET(N$55,'Intermediate Data'!$Y140,0))))</f>
        <v>N/A</v>
      </c>
      <c r="AM140" s="90" t="str">
        <f ca="1">IF($Y140="","",IF(OFFSET(O$55,'Intermediate Data'!$Y140,0)=-98,"N/A",IF(OFFSET(O$55,'Intermediate Data'!$Y140,0)=-99,"N/A",OFFSET(O$55,'Intermediate Data'!$Y140,0))))</f>
        <v>N/A</v>
      </c>
      <c r="AN140" s="90" t="str">
        <f ca="1">IF($Y140="","",IF(OFFSET(P$55,'Intermediate Data'!$Y140,0)=-98,"N/A",IF(OFFSET(P$55,'Intermediate Data'!$Y140,0)=-99,"N/A",OFFSET(P$55,'Intermediate Data'!$Y140,0))))</f>
        <v>N/A</v>
      </c>
      <c r="AO140" s="90" t="str">
        <f ca="1">IF($Y140="","",IF(OFFSET(Q$55,'Intermediate Data'!$Y140,0)=-98,"N/A",IF(OFFSET(Q$55,'Intermediate Data'!$Y140,0)=-99,"N/A",OFFSET(Q$55,'Intermediate Data'!$Y140,0))))</f>
        <v/>
      </c>
      <c r="AP140" s="697" t="str">
        <f ca="1">IF($Y140="","",IF(OFFSET(S$55,'Intermediate Data'!$Y140,0)=-98,"",IF(OFFSET(S$55,'Intermediate Data'!$Y140,0)=-99,"",OFFSET(S$55,'Intermediate Data'!$Y140,0))))</f>
        <v/>
      </c>
      <c r="AQ140" s="90" t="str">
        <f ca="1">IF($Y140="","",IF(OFFSET(T$55,'Intermediate Data'!$Y140,0)=-98,"Not published",IF(OFFSET(T$55,'Intermediate Data'!$Y140,0)=-99,"",OFFSET(T$55,'Intermediate Data'!$Y140,0))))</f>
        <v/>
      </c>
      <c r="AR140" s="90" t="str">
        <f ca="1">IF($Y140="","",IF(OFFSET(U$55,'Intermediate Data'!$Y140,0)=-98,"Unknown",IF(OFFSET(U$55,'Intermediate Data'!$Y140,0)=-99,"",OFFSET(U$55,'Intermediate Data'!$Y140,0))))</f>
        <v/>
      </c>
      <c r="AU140" s="112" t="str">
        <f ca="1">IF(AND(OFFSET(DATA!$F89,0,$AX$48)='Intermediate Data'!$AY$48,DATA!$E89="Tier 1"),IF(OR($AX$49=0,$AX$48=1),DATA!A89,IF(AND($AX$49=1,INDEX('Intermediate Data'!$AY$25:$AY$44,MATCH(DATA!$B89,'Intermediate Data'!$AX$25:$AX$44,0))=TRUE),DATA!A89,"")),"")</f>
        <v/>
      </c>
      <c r="AV140" s="112" t="str">
        <f ca="1">IF($AU140="","",DATA!B89)</f>
        <v/>
      </c>
      <c r="AW140" s="112" t="str">
        <f ca="1">IF(OR($AU140="",DATA!BI89=""),"",DATA!BI89)</f>
        <v/>
      </c>
      <c r="AX140" s="112" t="str">
        <f ca="1">IF(OR($AU140="",OFFSET(DATA!BK89,0,$AX$48)=""),"",OFFSET(DATA!BK89,0,$AX$48))</f>
        <v/>
      </c>
      <c r="AY140" s="112" t="str">
        <f ca="1">IF(OR($AU140="",OFFSET(DATA!BM89,0,$AX$48)=""),"",OFFSET(DATA!BM89,0,$AX$48))</f>
        <v/>
      </c>
      <c r="AZ140" s="112" t="str">
        <f ca="1">IF(OR($AU140="",OFFSET(DATA!BO89,0,'Intermediate Data'!$AX$48)=""),"",OFFSET(DATA!BO89,0,$AX$48))</f>
        <v/>
      </c>
      <c r="BA140" s="112" t="str">
        <f ca="1">IF(OR($AU140="",DATA!BQ89=""),"",DATA!BQ89)</f>
        <v/>
      </c>
      <c r="BB140" s="112" t="str">
        <f ca="1">IF($AU140="","",OFFSET(DATA!BS89,0,$AX$48))</f>
        <v/>
      </c>
      <c r="BC140" s="112" t="str">
        <f ca="1">IF($AU140="","",OFFSET(DATA!BU89,0,$AX$48))</f>
        <v/>
      </c>
      <c r="BD140" s="112" t="str">
        <f ca="1">IF($AU140="","",OFFSET(DATA!BW89,0,$AX$48))</f>
        <v/>
      </c>
      <c r="BE140" s="112" t="str">
        <f ca="1">IF($AU140="","",OFFSET(DATA!BY89,0,$AX$48))</f>
        <v/>
      </c>
      <c r="BF140" s="112" t="str">
        <f ca="1">IF($AU140="","",OFFSET(DATA!CA89,0,$AX$48))</f>
        <v/>
      </c>
      <c r="BG140" s="112" t="str">
        <f ca="1">IF($AU140="","",DATA!CC89)</f>
        <v/>
      </c>
      <c r="BH140" s="112" t="str">
        <f ca="1">IF($AU140="","",OFFSET(DATA!CE89,0,$AX$48))</f>
        <v/>
      </c>
      <c r="BI140" s="112" t="str">
        <f ca="1">IF($AU140="","",OFFSET(DATA!CG89,0,$AX$48))</f>
        <v/>
      </c>
      <c r="BJ140" s="112" t="str">
        <f ca="1">IF($AU140="","",OFFSET(DATA!CI89,0,$AX$48))</f>
        <v/>
      </c>
      <c r="BK140" s="112" t="str">
        <f ca="1">IF($AU140="","",OFFSET(DATA!CK89,0,$AX$48))</f>
        <v/>
      </c>
      <c r="BL140" s="112" t="str">
        <f ca="1">IF($AU140="","",OFFSET(DATA!CM89,0,$AX$48))</f>
        <v/>
      </c>
      <c r="BM140" s="112" t="str">
        <f ca="1">IF($AU140="","",DATA!BH89)</f>
        <v/>
      </c>
      <c r="BN140" s="112" t="str">
        <f ca="1">IF($AU140="","",DATA!DS89)</f>
        <v/>
      </c>
      <c r="BO140" s="112" t="str">
        <f ca="1">IF($AU140="","",DATA!DU89)</f>
        <v/>
      </c>
      <c r="BP140" s="112" t="str">
        <f ca="1">IF($AU140="","",DATA!DV89)</f>
        <v/>
      </c>
      <c r="BQ140" s="112" t="str">
        <f ca="1">IF($AU140="","",DATA!DX89)</f>
        <v/>
      </c>
      <c r="BR140" s="112" t="str">
        <f ca="1">IF($AU140="","",DATA!DZ89)</f>
        <v/>
      </c>
      <c r="BS140" s="171" t="str">
        <f ca="1">IF($AU140="","",DATA!EA89)</f>
        <v/>
      </c>
      <c r="BT140" s="171" t="str">
        <f ca="1">IF($AU140="","",DATA!EC89)</f>
        <v/>
      </c>
      <c r="BU140" s="171" t="str">
        <f ca="1">IF($AU140="","",DATA!EF89)</f>
        <v/>
      </c>
      <c r="BV140" s="113" t="str">
        <f t="shared" ca="1" si="24"/>
        <v/>
      </c>
      <c r="BW140" s="680" t="str">
        <f ca="1">IF(AU140="","",OFFSET(DATA!DC89,0,'Intermediate Data'!$AX$48))</f>
        <v/>
      </c>
      <c r="BX140" s="681" t="str">
        <f ca="1">IF($AU140="","",DATA!DG89)</f>
        <v/>
      </c>
      <c r="BY140" s="680" t="str">
        <f ca="1">IF($AU140="","",OFFSET(DATA!DE89,0,'Intermediate Data'!$AX$48))</f>
        <v/>
      </c>
      <c r="BZ140" s="681" t="str">
        <f ca="1">IF($AU140="","",DATA!DH89)</f>
        <v/>
      </c>
      <c r="CA140" s="90" t="str">
        <f t="shared" ca="1" si="25"/>
        <v/>
      </c>
      <c r="CB140" s="99" t="str">
        <f t="shared" ca="1" si="26"/>
        <v/>
      </c>
      <c r="CC140" s="90" t="str">
        <f t="shared" ca="1" si="27"/>
        <v/>
      </c>
      <c r="CD140" s="90" t="str">
        <f t="shared" ca="1" si="28"/>
        <v/>
      </c>
      <c r="CF140" s="90" t="str">
        <f ca="1">IF($CD140="","",IF(OFFSET(AV$55,'Intermediate Data'!$CD140,0)=-98,"Unknown",IF(OFFSET(AV$55,'Intermediate Data'!$CD140,0)=-99,"N/A",OFFSET(AV$55,'Intermediate Data'!$CD140,0))))</f>
        <v/>
      </c>
      <c r="CG140" s="90" t="str">
        <f ca="1">IF($CD140="","",IF(OFFSET(AW$55,'Intermediate Data'!$CD140,0)=-98,"",IF(OFFSET(AW$55,'Intermediate Data'!$CD140,0)=-99,"N/A",OFFSET(AW$55,'Intermediate Data'!$CD140,0))))</f>
        <v/>
      </c>
      <c r="CH140" s="90" t="str">
        <f ca="1">IF($CD140="","",IF(OFFSET(AX$55,'Intermediate Data'!$CD140,0)=-98,"Unknown",IF(OFFSET(AX$55,'Intermediate Data'!$CD140,0)=-99,"N/A",OFFSET(AX$55,'Intermediate Data'!$CD140,0))))</f>
        <v/>
      </c>
      <c r="CI140" s="125" t="str">
        <f ca="1">IF($CD140="","",IF(OFFSET(AY$55,'Intermediate Data'!$CD140,0)=-98,"Unknown",IF(OFFSET(AY$55,'Intermediate Data'!$CD140,0)=-99,"No spec",OFFSET(AY$55,'Intermediate Data'!$CD140,0))))</f>
        <v/>
      </c>
      <c r="CJ140" s="125" t="str">
        <f ca="1">IF($CD140="","",IF(OFFSET(AZ$55,'Intermediate Data'!$CD140,0)=-98,"Unknown",IF(OFFSET(AZ$55,'Intermediate Data'!$CD140,0)=-99,"N/A",OFFSET(AZ$55,'Intermediate Data'!$CD140,0))))</f>
        <v/>
      </c>
      <c r="CK140" s="90" t="str">
        <f ca="1">IF($CD140="","",IF(OFFSET(BA$55,'Intermediate Data'!$CD140,0)=-98,"Unknown",IF(OFFSET(BA$55,'Intermediate Data'!$CD140,0)=-99,"N/A",OFFSET(BA$55,'Intermediate Data'!$CD140,0))))</f>
        <v/>
      </c>
      <c r="CL140" s="90" t="str">
        <f ca="1">IF($CD140="","",IF(OFFSET(BB$55,'Intermediate Data'!$CD140,$AX$50)=-98,"Unknown",IF(OFFSET(BB$55,'Intermediate Data'!$CD140,$AX$50)="N/A","",OFFSET(BB$55,'Intermediate Data'!$CD140,$AX$50))))</f>
        <v/>
      </c>
      <c r="CM140" s="90" t="str">
        <f ca="1">IF($CD140="","",IF(OFFSET(BG$55,'Intermediate Data'!$CD140,0)="ET","ET",""))</f>
        <v/>
      </c>
      <c r="CN140" s="90" t="str">
        <f ca="1">IF($CD140="","",IF(OFFSET(BH$55,'Intermediate Data'!$CD140,$AX$50)=-98,"Unknown",IF(OFFSET(BH$55,'Intermediate Data'!$CD140,$AX$50)="N/A","",OFFSET(BH$55,'Intermediate Data'!$CD140,$AX$50))))</f>
        <v/>
      </c>
      <c r="CO140" s="90" t="str">
        <f ca="1">IF($CD140="","",IF(OFFSET(BM$55,'Intermediate Data'!$CD140,0)=-98,"Not published",IF(OFFSET(BM$55,'Intermediate Data'!$CD140,0)=-99,"No spec",OFFSET(BM$55,'Intermediate Data'!$CD140,0))))</f>
        <v/>
      </c>
      <c r="CP140" s="114" t="str">
        <f ca="1">IF($CD140="","",IF(OFFSET(BN$55,'Intermediate Data'!$CD140,0)=-98,"Unknown",IF(OFFSET(BN$55,'Intermediate Data'!$CD140,0)=-99,"N/A",OFFSET(BN$55,'Intermediate Data'!$CD140,0))))</f>
        <v/>
      </c>
      <c r="CQ140" s="114" t="str">
        <f ca="1">IF($CD140="","",IF(OFFSET(BO$55,'Intermediate Data'!$CD140,0)=-98,"Unknown",IF(OFFSET(BO$55,'Intermediate Data'!$CD140,0)=-99,"N/A",OFFSET(BO$55,'Intermediate Data'!$CD140,0))))</f>
        <v/>
      </c>
      <c r="CR140" s="114" t="str">
        <f ca="1">IF($CD140="","",IF(OFFSET(BP$55,'Intermediate Data'!$CD140,0)=-98,"Unknown",IF(OFFSET(BP$55,'Intermediate Data'!$CD140,0)=-99,"N/A",OFFSET(BP$55,'Intermediate Data'!$CD140,0))))</f>
        <v/>
      </c>
      <c r="CS140" s="114" t="str">
        <f ca="1">IF($CD140="","",IF(OFFSET(BQ$55,'Intermediate Data'!$CD140,0)=-98,"Unknown",IF(OFFSET(BQ$55,'Intermediate Data'!$CD140,0)=-99,"N/A",OFFSET(BQ$55,'Intermediate Data'!$CD140,0))))</f>
        <v/>
      </c>
      <c r="CT140" s="114" t="str">
        <f ca="1">IF($CD140="","",IF(OFFSET(BR$55,'Intermediate Data'!$CD140,0)=-98,"Unknown",IF(OFFSET(BR$55,'Intermediate Data'!$CD140,0)=-99,"N/A",OFFSET(BR$55,'Intermediate Data'!$CD140,0))))</f>
        <v/>
      </c>
      <c r="CU140" s="114" t="str">
        <f ca="1">IF($CD140="","",IF(OFFSET(BS$55,'Intermediate Data'!$CD140,0)=-98,"Unknown",IF(OFFSET(BS$55,'Intermediate Data'!$CD140,0)=-99,"N/A",OFFSET(BS$55,'Intermediate Data'!$CD140,0))))</f>
        <v/>
      </c>
      <c r="CV140" s="114" t="str">
        <f ca="1">IF($CD140="","",IF(OFFSET(BT$55,'Intermediate Data'!$CD140,0)=-98,"Unknown",IF(OFFSET(BT$55,'Intermediate Data'!$CD140,0)=-99,"N/A",OFFSET(BT$55,'Intermediate Data'!$CD140,0))))</f>
        <v/>
      </c>
      <c r="CW140" s="114" t="str">
        <f ca="1">IF($CD140="","",IF(OFFSET(BU$55,'Intermediate Data'!$CD140,0)=-98,"Unknown",IF(OFFSET(BU$55,'Intermediate Data'!$CD140,0)=-99,"N/A",OFFSET(BU$55,'Intermediate Data'!$CD140,0))))</f>
        <v/>
      </c>
      <c r="CX140" s="114" t="str">
        <f ca="1">IF($CD140="","",IF(OFFSET(BV$55,'Intermediate Data'!$CD140,0)=-98,"Unknown",IF(OFFSET(BV$55,'Intermediate Data'!$CD140,0)=-99,"N/A",OFFSET(BV$55,'Intermediate Data'!$CD140,0))))</f>
        <v/>
      </c>
      <c r="CY140" s="682" t="str">
        <f ca="1">IF($CD140="","",IF(OFFSET(BW$55,'Intermediate Data'!$CD140,0)=-98,"Unknown",IF(OFFSET(BW$55,'Intermediate Data'!$CD140,0)="N/A","",OFFSET(BW$55,'Intermediate Data'!$CD140,0))))</f>
        <v/>
      </c>
      <c r="CZ140" s="682" t="str">
        <f ca="1">IF($CD140="","",IF(OFFSET(BX$55,'Intermediate Data'!$CD140,0)=-98,"Unknown",IF(OFFSET(BX$55,'Intermediate Data'!$CD140,0)="N/A","",OFFSET(BX$55,'Intermediate Data'!$CD140,0))))</f>
        <v/>
      </c>
      <c r="DA140" s="682" t="str">
        <f ca="1">IF($CD140="","",IF(OFFSET(BY$55,'Intermediate Data'!$CD140,0)=-98,"Unknown",IF(OFFSET(BY$55,'Intermediate Data'!$CD140,0)="N/A","",OFFSET(BY$55,'Intermediate Data'!$CD140,0))))</f>
        <v/>
      </c>
      <c r="DB140" s="682" t="str">
        <f ca="1">IF($CD140="","",IF(OFFSET(BZ$55,'Intermediate Data'!$CD140,0)=-98,"Unknown",IF(OFFSET(BZ$55,'Intermediate Data'!$CD140,0)="N/A","",OFFSET(BZ$55,'Intermediate Data'!$CD140,0))))</f>
        <v/>
      </c>
    </row>
    <row r="141" spans="1:106" x14ac:dyDescent="0.2">
      <c r="A141" s="90">
        <f ca="1">IF(OFFSET(DATA!F90,0,$D$48)='Intermediate Data'!$E$48,IF(OR($E$49=$C$27,$E$48=$B$4),DATA!A90,IF($G$49=DATA!D90,DATA!A90,"")),"")</f>
        <v>86</v>
      </c>
      <c r="B141" s="90">
        <f ca="1">IF($A141="","",DATA!EH90)</f>
        <v>84</v>
      </c>
      <c r="C141" s="90" t="str">
        <f ca="1">IF($A141="","",DATA!B90)</f>
        <v>Grow lights</v>
      </c>
      <c r="D141" s="90">
        <f ca="1">IF($A141="","",OFFSET(DATA!$H90,0,($D$50*5)))</f>
        <v>-99</v>
      </c>
      <c r="E141" s="90">
        <f ca="1">IF($A141="","",OFFSET(DATA!$H90,0,($D$50*5)+1))</f>
        <v>-99</v>
      </c>
      <c r="F141" s="90">
        <f ca="1">IF($A141="","",OFFSET(DATA!$H90,0,($D$50*5)+2))</f>
        <v>-99</v>
      </c>
      <c r="G141" s="90">
        <f ca="1">IF($A141="","",OFFSET(DATA!$H90,0,($D$50*5)+3))</f>
        <v>-99</v>
      </c>
      <c r="H141" s="90">
        <f ca="1">IF($A141="","",OFFSET(DATA!$H90,0,($D$50*5)+4))</f>
        <v>-99</v>
      </c>
      <c r="I141" s="90">
        <f t="shared" ca="1" si="17"/>
        <v>-99</v>
      </c>
      <c r="J141" s="90" t="str">
        <f t="shared" ca="1" si="18"/>
        <v/>
      </c>
      <c r="K141" s="90">
        <f ca="1">IF($A141="","",OFFSET(DATA!$AG90,0,($D$50*5)))</f>
        <v>-99</v>
      </c>
      <c r="L141" s="90">
        <f ca="1">IF($A141="","",OFFSET(DATA!$AG90,0,($D$50*5)+1))</f>
        <v>-99</v>
      </c>
      <c r="M141" s="90">
        <f ca="1">IF($A141="","",OFFSET(DATA!$AG90,0,($D$50*5)+2))</f>
        <v>-99</v>
      </c>
      <c r="N141" s="90">
        <f ca="1">IF($A141="","",OFFSET(DATA!$AG90,0,($D$50*5)+3))</f>
        <v>-99</v>
      </c>
      <c r="O141" s="90">
        <f ca="1">IF($A141="","",OFFSET(DATA!$AG90,0,($D$50*5)+4))</f>
        <v>-99</v>
      </c>
      <c r="P141" s="90">
        <f t="shared" ca="1" si="19"/>
        <v>-99</v>
      </c>
      <c r="Q141" s="90" t="str">
        <f t="shared" ca="1" si="20"/>
        <v/>
      </c>
      <c r="R141" s="699">
        <f ca="1">IF($A141="","",IF(DATA!BF90="",-99,DATA!BF90))</f>
        <v>-99</v>
      </c>
      <c r="S141" s="90">
        <f ca="1">IF($A141="","",IF(DATA!BG90="",-99,DATA!BF90-DATA!BG90))</f>
        <v>-99</v>
      </c>
      <c r="T141" s="90">
        <f ca="1">IF($A141="","",DATA!BH90)</f>
        <v>-99</v>
      </c>
      <c r="U141" s="90">
        <f ca="1">IF($A141="","",OFFSET(DATA!BM90,0,$D$48))</f>
        <v>-99</v>
      </c>
      <c r="V141" s="90">
        <f t="shared" ca="1" si="16"/>
        <v>84</v>
      </c>
      <c r="W141" s="99">
        <f t="shared" ca="1" si="21"/>
        <v>83.999881201410005</v>
      </c>
      <c r="X141" s="112">
        <f t="shared" ca="1" si="22"/>
        <v>42.999996192903055</v>
      </c>
      <c r="Y141" s="90">
        <f t="shared" ca="1" si="23"/>
        <v>5</v>
      </c>
      <c r="AA141" s="90" t="str">
        <f ca="1">IF($Y141="","",IF(OFFSET(C$55,'Intermediate Data'!$Y141,0)=-98,"Unknown",IF(OFFSET(C$55,'Intermediate Data'!$Y141,0)=-99,"N/A",OFFSET(C$55,'Intermediate Data'!$Y141,0))))</f>
        <v>Refrigerator/freezer</v>
      </c>
      <c r="AB141" s="90" t="str">
        <f ca="1">IF($Y141="","",IF(OFFSET(D$55,'Intermediate Data'!$Y141,0)=-98,"N/A",IF(OFFSET(D$55,'Intermediate Data'!$Y141,0)=-99,"N/A",OFFSET(D$55,'Intermediate Data'!$Y141,0))))</f>
        <v>N/A</v>
      </c>
      <c r="AC141" s="90">
        <f ca="1">IF($Y141="","",IF(OFFSET(E$55,'Intermediate Data'!$Y141,0)=-98,"N/A",IF(OFFSET(E$55,'Intermediate Data'!$Y141,0)=-99,"N/A",OFFSET(E$55,'Intermediate Data'!$Y141,0))))</f>
        <v>0.99870892732744043</v>
      </c>
      <c r="AD141" s="90">
        <f ca="1">IF($Y141="","",IF(OFFSET(F$55,'Intermediate Data'!$Y141,0)=-98,"N/A",IF(OFFSET(F$55,'Intermediate Data'!$Y141,0)=-99,"N/A",OFFSET(F$55,'Intermediate Data'!$Y141,0))))</f>
        <v>1</v>
      </c>
      <c r="AE141" s="90">
        <f ca="1">IF($Y141="","",IF(OFFSET(G$55,'Intermediate Data'!$Y141,0)=-98,"N/A",IF(OFFSET(G$55,'Intermediate Data'!$Y141,0)=-99,"N/A",OFFSET(G$55,'Intermediate Data'!$Y141,0))))</f>
        <v>0.99801470744118836</v>
      </c>
      <c r="AF141" s="90">
        <f ca="1">IF($Y141="","",IF(OFFSET(H$55,'Intermediate Data'!$Y141,0)=-98,"N/A",IF(OFFSET(H$55,'Intermediate Data'!$Y141,0)=-99,"N/A",OFFSET(H$55,'Intermediate Data'!$Y141,0))))</f>
        <v>0.999</v>
      </c>
      <c r="AG141" s="90">
        <f ca="1">IF($Y141="","",IF(OFFSET(I$55,'Intermediate Data'!$Y141,0)=-98,"N/A",IF(OFFSET(I$55,'Intermediate Data'!$Y141,0)=-99,"N/A",OFFSET(I$55,'Intermediate Data'!$Y141,0))))</f>
        <v>0.999</v>
      </c>
      <c r="AH141" s="90" t="str">
        <f ca="1">IF($Y141="","",IF(OFFSET(J$55,'Intermediate Data'!$Y141,0)=-98,"N/A",IF(OFFSET(J$55,'Intermediate Data'!$Y141,0)=-99,"N/A",OFFSET(J$55,'Intermediate Data'!$Y141,0))))</f>
        <v>CLASS</v>
      </c>
      <c r="AI141" s="90" t="str">
        <f ca="1">IF($Y141="","",IF(OFFSET(K$55,'Intermediate Data'!$Y141,0)=-98,"N/A",IF(OFFSET(K$55,'Intermediate Data'!$Y141,0)=-99,"N/A",OFFSET(K$55,'Intermediate Data'!$Y141,0))))</f>
        <v>N/A</v>
      </c>
      <c r="AJ141" s="90">
        <f ca="1">IF($Y141="","",IF(OFFSET(L$55,'Intermediate Data'!$Y141,0)=-98,"N/A",IF(OFFSET(L$55,'Intermediate Data'!$Y141,0)=-99,"N/A",OFFSET(L$55,'Intermediate Data'!$Y141,0))))</f>
        <v>1.1996594589533784</v>
      </c>
      <c r="AK141" s="90">
        <f ca="1">IF($Y141="","",IF(OFFSET(M$55,'Intermediate Data'!$Y141,0)=-98,"N/A",IF(OFFSET(M$55,'Intermediate Data'!$Y141,0)=-99,"N/A",OFFSET(M$55,'Intermediate Data'!$Y141,0))))</f>
        <v>1.411</v>
      </c>
      <c r="AL141" s="90">
        <f ca="1">IF($Y141="","",IF(OFFSET(N$55,'Intermediate Data'!$Y141,0)=-98,"N/A",IF(OFFSET(N$55,'Intermediate Data'!$Y141,0)=-99,"N/A",OFFSET(N$55,'Intermediate Data'!$Y141,0))))</f>
        <v>1.2706475164401392</v>
      </c>
      <c r="AM141" s="90">
        <f ca="1">IF($Y141="","",IF(OFFSET(O$55,'Intermediate Data'!$Y141,0)=-98,"N/A",IF(OFFSET(O$55,'Intermediate Data'!$Y141,0)=-99,"N/A",OFFSET(O$55,'Intermediate Data'!$Y141,0))))</f>
        <v>1.3069999999999999</v>
      </c>
      <c r="AN141" s="90">
        <f ca="1">IF($Y141="","",IF(OFFSET(P$55,'Intermediate Data'!$Y141,0)=-98,"N/A",IF(OFFSET(P$55,'Intermediate Data'!$Y141,0)=-99,"N/A",OFFSET(P$55,'Intermediate Data'!$Y141,0))))</f>
        <v>1.3069999999999999</v>
      </c>
      <c r="AO141" s="90" t="str">
        <f ca="1">IF($Y141="","",IF(OFFSET(Q$55,'Intermediate Data'!$Y141,0)=-98,"N/A",IF(OFFSET(Q$55,'Intermediate Data'!$Y141,0)=-99,"N/A",OFFSET(Q$55,'Intermediate Data'!$Y141,0))))</f>
        <v>CLASS</v>
      </c>
      <c r="AP141" s="697">
        <f ca="1">IF($Y141="","",IF(OFFSET(S$55,'Intermediate Data'!$Y141,0)=-98,"",IF(OFFSET(S$55,'Intermediate Data'!$Y141,0)=-99,"",OFFSET(S$55,'Intermediate Data'!$Y141,0))))</f>
        <v>0.19899999999999995</v>
      </c>
      <c r="AQ141" s="90">
        <f ca="1">IF($Y141="","",IF(OFFSET(T$55,'Intermediate Data'!$Y141,0)=-98,"Not published",IF(OFFSET(T$55,'Intermediate Data'!$Y141,0)=-99,"",OFFSET(T$55,'Intermediate Data'!$Y141,0))))</f>
        <v>0.74</v>
      </c>
      <c r="AR141" s="90">
        <f ca="1">IF($Y141="","",IF(OFFSET(U$55,'Intermediate Data'!$Y141,0)=-98,"Unknown",IF(OFFSET(U$55,'Intermediate Data'!$Y141,0)=-99,"",OFFSET(U$55,'Intermediate Data'!$Y141,0))))</f>
        <v>50</v>
      </c>
      <c r="AU141" s="112" t="str">
        <f ca="1">IF(AND(OFFSET(DATA!$F90,0,$AX$48)='Intermediate Data'!$AY$48,DATA!$E90="Tier 1"),IF(OR($AX$49=0,$AX$48=1),DATA!A90,IF(AND($AX$49=1,INDEX('Intermediate Data'!$AY$25:$AY$44,MATCH(DATA!$B90,'Intermediate Data'!$AX$25:$AX$44,0))=TRUE),DATA!A90,"")),"")</f>
        <v/>
      </c>
      <c r="AV141" s="112" t="str">
        <f ca="1">IF($AU141="","",DATA!B90)</f>
        <v/>
      </c>
      <c r="AW141" s="112" t="str">
        <f ca="1">IF(OR($AU141="",DATA!BI90=""),"",DATA!BI90)</f>
        <v/>
      </c>
      <c r="AX141" s="112" t="str">
        <f ca="1">IF(OR($AU141="",OFFSET(DATA!BK90,0,$AX$48)=""),"",OFFSET(DATA!BK90,0,$AX$48))</f>
        <v/>
      </c>
      <c r="AY141" s="112" t="str">
        <f ca="1">IF(OR($AU141="",OFFSET(DATA!BM90,0,$AX$48)=""),"",OFFSET(DATA!BM90,0,$AX$48))</f>
        <v/>
      </c>
      <c r="AZ141" s="112" t="str">
        <f ca="1">IF(OR($AU141="",OFFSET(DATA!BO90,0,'Intermediate Data'!$AX$48)=""),"",OFFSET(DATA!BO90,0,$AX$48))</f>
        <v/>
      </c>
      <c r="BA141" s="112" t="str">
        <f ca="1">IF(OR($AU141="",DATA!BQ90=""),"",DATA!BQ90)</f>
        <v/>
      </c>
      <c r="BB141" s="112" t="str">
        <f ca="1">IF($AU141="","",OFFSET(DATA!BS90,0,$AX$48))</f>
        <v/>
      </c>
      <c r="BC141" s="112" t="str">
        <f ca="1">IF($AU141="","",OFFSET(DATA!BU90,0,$AX$48))</f>
        <v/>
      </c>
      <c r="BD141" s="112" t="str">
        <f ca="1">IF($AU141="","",OFFSET(DATA!BW90,0,$AX$48))</f>
        <v/>
      </c>
      <c r="BE141" s="112" t="str">
        <f ca="1">IF($AU141="","",OFFSET(DATA!BY90,0,$AX$48))</f>
        <v/>
      </c>
      <c r="BF141" s="112" t="str">
        <f ca="1">IF($AU141="","",OFFSET(DATA!CA90,0,$AX$48))</f>
        <v/>
      </c>
      <c r="BG141" s="112" t="str">
        <f ca="1">IF($AU141="","",DATA!CC90)</f>
        <v/>
      </c>
      <c r="BH141" s="112" t="str">
        <f ca="1">IF($AU141="","",OFFSET(DATA!CE90,0,$AX$48))</f>
        <v/>
      </c>
      <c r="BI141" s="112" t="str">
        <f ca="1">IF($AU141="","",OFFSET(DATA!CG90,0,$AX$48))</f>
        <v/>
      </c>
      <c r="BJ141" s="112" t="str">
        <f ca="1">IF($AU141="","",OFFSET(DATA!CI90,0,$AX$48))</f>
        <v/>
      </c>
      <c r="BK141" s="112" t="str">
        <f ca="1">IF($AU141="","",OFFSET(DATA!CK90,0,$AX$48))</f>
        <v/>
      </c>
      <c r="BL141" s="112" t="str">
        <f ca="1">IF($AU141="","",OFFSET(DATA!CM90,0,$AX$48))</f>
        <v/>
      </c>
      <c r="BM141" s="112" t="str">
        <f ca="1">IF($AU141="","",DATA!BH90)</f>
        <v/>
      </c>
      <c r="BN141" s="112" t="str">
        <f ca="1">IF($AU141="","",DATA!DS90)</f>
        <v/>
      </c>
      <c r="BO141" s="112" t="str">
        <f ca="1">IF($AU141="","",DATA!DU90)</f>
        <v/>
      </c>
      <c r="BP141" s="112" t="str">
        <f ca="1">IF($AU141="","",DATA!DV90)</f>
        <v/>
      </c>
      <c r="BQ141" s="112" t="str">
        <f ca="1">IF($AU141="","",DATA!DX90)</f>
        <v/>
      </c>
      <c r="BR141" s="112" t="str">
        <f ca="1">IF($AU141="","",DATA!DZ90)</f>
        <v/>
      </c>
      <c r="BS141" s="171" t="str">
        <f ca="1">IF($AU141="","",DATA!EA90)</f>
        <v/>
      </c>
      <c r="BT141" s="171" t="str">
        <f ca="1">IF($AU141="","",DATA!EC90)</f>
        <v/>
      </c>
      <c r="BU141" s="171" t="str">
        <f ca="1">IF($AU141="","",DATA!EF90)</f>
        <v/>
      </c>
      <c r="BV141" s="113" t="str">
        <f t="shared" ca="1" si="24"/>
        <v/>
      </c>
      <c r="BW141" s="680" t="str">
        <f ca="1">IF(AU141="","",OFFSET(DATA!DC90,0,'Intermediate Data'!$AX$48))</f>
        <v/>
      </c>
      <c r="BX141" s="681" t="str">
        <f ca="1">IF($AU141="","",DATA!DG90)</f>
        <v/>
      </c>
      <c r="BY141" s="680" t="str">
        <f ca="1">IF($AU141="","",OFFSET(DATA!DE90,0,'Intermediate Data'!$AX$48))</f>
        <v/>
      </c>
      <c r="BZ141" s="681" t="str">
        <f ca="1">IF($AU141="","",DATA!DH90)</f>
        <v/>
      </c>
      <c r="CA141" s="90" t="str">
        <f t="shared" ca="1" si="25"/>
        <v/>
      </c>
      <c r="CB141" s="99" t="str">
        <f t="shared" ca="1" si="26"/>
        <v/>
      </c>
      <c r="CC141" s="90" t="str">
        <f t="shared" ca="1" si="27"/>
        <v/>
      </c>
      <c r="CD141" s="90" t="str">
        <f t="shared" ca="1" si="28"/>
        <v/>
      </c>
      <c r="CF141" s="90" t="str">
        <f ca="1">IF($CD141="","",IF(OFFSET(AV$55,'Intermediate Data'!$CD141,0)=-98,"Unknown",IF(OFFSET(AV$55,'Intermediate Data'!$CD141,0)=-99,"N/A",OFFSET(AV$55,'Intermediate Data'!$CD141,0))))</f>
        <v/>
      </c>
      <c r="CG141" s="90" t="str">
        <f ca="1">IF($CD141="","",IF(OFFSET(AW$55,'Intermediate Data'!$CD141,0)=-98,"",IF(OFFSET(AW$55,'Intermediate Data'!$CD141,0)=-99,"N/A",OFFSET(AW$55,'Intermediate Data'!$CD141,0))))</f>
        <v/>
      </c>
      <c r="CH141" s="90" t="str">
        <f ca="1">IF($CD141="","",IF(OFFSET(AX$55,'Intermediate Data'!$CD141,0)=-98,"Unknown",IF(OFFSET(AX$55,'Intermediate Data'!$CD141,0)=-99,"N/A",OFFSET(AX$55,'Intermediate Data'!$CD141,0))))</f>
        <v/>
      </c>
      <c r="CI141" s="125" t="str">
        <f ca="1">IF($CD141="","",IF(OFFSET(AY$55,'Intermediate Data'!$CD141,0)=-98,"Unknown",IF(OFFSET(AY$55,'Intermediate Data'!$CD141,0)=-99,"No spec",OFFSET(AY$55,'Intermediate Data'!$CD141,0))))</f>
        <v/>
      </c>
      <c r="CJ141" s="125" t="str">
        <f ca="1">IF($CD141="","",IF(OFFSET(AZ$55,'Intermediate Data'!$CD141,0)=-98,"Unknown",IF(OFFSET(AZ$55,'Intermediate Data'!$CD141,0)=-99,"N/A",OFFSET(AZ$55,'Intermediate Data'!$CD141,0))))</f>
        <v/>
      </c>
      <c r="CK141" s="90" t="str">
        <f ca="1">IF($CD141="","",IF(OFFSET(BA$55,'Intermediate Data'!$CD141,0)=-98,"Unknown",IF(OFFSET(BA$55,'Intermediate Data'!$CD141,0)=-99,"N/A",OFFSET(BA$55,'Intermediate Data'!$CD141,0))))</f>
        <v/>
      </c>
      <c r="CL141" s="90" t="str">
        <f ca="1">IF($CD141="","",IF(OFFSET(BB$55,'Intermediate Data'!$CD141,$AX$50)=-98,"Unknown",IF(OFFSET(BB$55,'Intermediate Data'!$CD141,$AX$50)="N/A","",OFFSET(BB$55,'Intermediate Data'!$CD141,$AX$50))))</f>
        <v/>
      </c>
      <c r="CM141" s="90" t="str">
        <f ca="1">IF($CD141="","",IF(OFFSET(BG$55,'Intermediate Data'!$CD141,0)="ET","ET",""))</f>
        <v/>
      </c>
      <c r="CN141" s="90" t="str">
        <f ca="1">IF($CD141="","",IF(OFFSET(BH$55,'Intermediate Data'!$CD141,$AX$50)=-98,"Unknown",IF(OFFSET(BH$55,'Intermediate Data'!$CD141,$AX$50)="N/A","",OFFSET(BH$55,'Intermediate Data'!$CD141,$AX$50))))</f>
        <v/>
      </c>
      <c r="CO141" s="90" t="str">
        <f ca="1">IF($CD141="","",IF(OFFSET(BM$55,'Intermediate Data'!$CD141,0)=-98,"Not published",IF(OFFSET(BM$55,'Intermediate Data'!$CD141,0)=-99,"No spec",OFFSET(BM$55,'Intermediate Data'!$CD141,0))))</f>
        <v/>
      </c>
      <c r="CP141" s="114" t="str">
        <f ca="1">IF($CD141="","",IF(OFFSET(BN$55,'Intermediate Data'!$CD141,0)=-98,"Unknown",IF(OFFSET(BN$55,'Intermediate Data'!$CD141,0)=-99,"N/A",OFFSET(BN$55,'Intermediate Data'!$CD141,0))))</f>
        <v/>
      </c>
      <c r="CQ141" s="114" t="str">
        <f ca="1">IF($CD141="","",IF(OFFSET(BO$55,'Intermediate Data'!$CD141,0)=-98,"Unknown",IF(OFFSET(BO$55,'Intermediate Data'!$CD141,0)=-99,"N/A",OFFSET(BO$55,'Intermediate Data'!$CD141,0))))</f>
        <v/>
      </c>
      <c r="CR141" s="114" t="str">
        <f ca="1">IF($CD141="","",IF(OFFSET(BP$55,'Intermediate Data'!$CD141,0)=-98,"Unknown",IF(OFFSET(BP$55,'Intermediate Data'!$CD141,0)=-99,"N/A",OFFSET(BP$55,'Intermediate Data'!$CD141,0))))</f>
        <v/>
      </c>
      <c r="CS141" s="114" t="str">
        <f ca="1">IF($CD141="","",IF(OFFSET(BQ$55,'Intermediate Data'!$CD141,0)=-98,"Unknown",IF(OFFSET(BQ$55,'Intermediate Data'!$CD141,0)=-99,"N/A",OFFSET(BQ$55,'Intermediate Data'!$CD141,0))))</f>
        <v/>
      </c>
      <c r="CT141" s="114" t="str">
        <f ca="1">IF($CD141="","",IF(OFFSET(BR$55,'Intermediate Data'!$CD141,0)=-98,"Unknown",IF(OFFSET(BR$55,'Intermediate Data'!$CD141,0)=-99,"N/A",OFFSET(BR$55,'Intermediate Data'!$CD141,0))))</f>
        <v/>
      </c>
      <c r="CU141" s="114" t="str">
        <f ca="1">IF($CD141="","",IF(OFFSET(BS$55,'Intermediate Data'!$CD141,0)=-98,"Unknown",IF(OFFSET(BS$55,'Intermediate Data'!$CD141,0)=-99,"N/A",OFFSET(BS$55,'Intermediate Data'!$CD141,0))))</f>
        <v/>
      </c>
      <c r="CV141" s="114" t="str">
        <f ca="1">IF($CD141="","",IF(OFFSET(BT$55,'Intermediate Data'!$CD141,0)=-98,"Unknown",IF(OFFSET(BT$55,'Intermediate Data'!$CD141,0)=-99,"N/A",OFFSET(BT$55,'Intermediate Data'!$CD141,0))))</f>
        <v/>
      </c>
      <c r="CW141" s="114" t="str">
        <f ca="1">IF($CD141="","",IF(OFFSET(BU$55,'Intermediate Data'!$CD141,0)=-98,"Unknown",IF(OFFSET(BU$55,'Intermediate Data'!$CD141,0)=-99,"N/A",OFFSET(BU$55,'Intermediate Data'!$CD141,0))))</f>
        <v/>
      </c>
      <c r="CX141" s="114" t="str">
        <f ca="1">IF($CD141="","",IF(OFFSET(BV$55,'Intermediate Data'!$CD141,0)=-98,"Unknown",IF(OFFSET(BV$55,'Intermediate Data'!$CD141,0)=-99,"N/A",OFFSET(BV$55,'Intermediate Data'!$CD141,0))))</f>
        <v/>
      </c>
      <c r="CY141" s="682" t="str">
        <f ca="1">IF($CD141="","",IF(OFFSET(BW$55,'Intermediate Data'!$CD141,0)=-98,"Unknown",IF(OFFSET(BW$55,'Intermediate Data'!$CD141,0)="N/A","",OFFSET(BW$55,'Intermediate Data'!$CD141,0))))</f>
        <v/>
      </c>
      <c r="CZ141" s="682" t="str">
        <f ca="1">IF($CD141="","",IF(OFFSET(BX$55,'Intermediate Data'!$CD141,0)=-98,"Unknown",IF(OFFSET(BX$55,'Intermediate Data'!$CD141,0)="N/A","",OFFSET(BX$55,'Intermediate Data'!$CD141,0))))</f>
        <v/>
      </c>
      <c r="DA141" s="682" t="str">
        <f ca="1">IF($CD141="","",IF(OFFSET(BY$55,'Intermediate Data'!$CD141,0)=-98,"Unknown",IF(OFFSET(BY$55,'Intermediate Data'!$CD141,0)="N/A","",OFFSET(BY$55,'Intermediate Data'!$CD141,0))))</f>
        <v/>
      </c>
      <c r="DB141" s="682" t="str">
        <f ca="1">IF($CD141="","",IF(OFFSET(BZ$55,'Intermediate Data'!$CD141,0)=-98,"Unknown",IF(OFFSET(BZ$55,'Intermediate Data'!$CD141,0)="N/A","",OFFSET(BZ$55,'Intermediate Data'!$CD141,0))))</f>
        <v/>
      </c>
    </row>
    <row r="142" spans="1:106" x14ac:dyDescent="0.2">
      <c r="A142" s="90">
        <f ca="1">IF(OFFSET(DATA!F91,0,$D$48)='Intermediate Data'!$E$48,IF(OR($E$49=$C$27,$E$48=$B$4),DATA!A91,IF($G$49=DATA!D91,DATA!A91,"")),"")</f>
        <v>87</v>
      </c>
      <c r="B142" s="90">
        <f ca="1">IF($A142="","",DATA!EH91)</f>
        <v>70</v>
      </c>
      <c r="C142" s="90" t="str">
        <f ca="1">IF($A142="","",DATA!B91)</f>
        <v>Interior lighting fixtures</v>
      </c>
      <c r="D142" s="90">
        <f ca="1">IF($A142="","",OFFSET(DATA!$H91,0,($D$50*5)))</f>
        <v>-99</v>
      </c>
      <c r="E142" s="90">
        <f ca="1">IF($A142="","",OFFSET(DATA!$H91,0,($D$50*5)+1))</f>
        <v>-99</v>
      </c>
      <c r="F142" s="90">
        <f ca="1">IF($A142="","",OFFSET(DATA!$H91,0,($D$50*5)+2))</f>
        <v>-99</v>
      </c>
      <c r="G142" s="90">
        <f ca="1">IF($A142="","",OFFSET(DATA!$H91,0,($D$50*5)+3))</f>
        <v>-99</v>
      </c>
      <c r="H142" s="90">
        <f ca="1">IF($A142="","",OFFSET(DATA!$H91,0,($D$50*5)+4))</f>
        <v>-99</v>
      </c>
      <c r="I142" s="90">
        <f t="shared" ca="1" si="17"/>
        <v>-99</v>
      </c>
      <c r="J142" s="90" t="str">
        <f t="shared" ca="1" si="18"/>
        <v/>
      </c>
      <c r="K142" s="90">
        <f ca="1">IF($A142="","",OFFSET(DATA!$AG91,0,($D$50*5)))</f>
        <v>-99</v>
      </c>
      <c r="L142" s="90">
        <f ca="1">IF($A142="","",OFFSET(DATA!$AG91,0,($D$50*5)+1))</f>
        <v>-99</v>
      </c>
      <c r="M142" s="90">
        <f ca="1">IF($A142="","",OFFSET(DATA!$AG91,0,($D$50*5)+2))</f>
        <v>-99</v>
      </c>
      <c r="N142" s="90">
        <f ca="1">IF($A142="","",OFFSET(DATA!$AG91,0,($D$50*5)+3))</f>
        <v>-99</v>
      </c>
      <c r="O142" s="90">
        <f ca="1">IF($A142="","",OFFSET(DATA!$AG91,0,($D$50*5)+4))</f>
        <v>-99</v>
      </c>
      <c r="P142" s="90">
        <f t="shared" ca="1" si="19"/>
        <v>-99</v>
      </c>
      <c r="Q142" s="90" t="str">
        <f t="shared" ca="1" si="20"/>
        <v/>
      </c>
      <c r="R142" s="699">
        <f ca="1">IF($A142="","",IF(DATA!BF91="",-99,DATA!BF91))</f>
        <v>-99</v>
      </c>
      <c r="S142" s="90">
        <f ca="1">IF($A142="","",IF(DATA!BG91="",-99,DATA!BF91-DATA!BG91))</f>
        <v>-99</v>
      </c>
      <c r="T142" s="90">
        <f ca="1">IF($A142="","",DATA!BH91)</f>
        <v>-99</v>
      </c>
      <c r="U142" s="90">
        <f ca="1">IF($A142="","",OFFSET(DATA!BM91,0,$D$48))</f>
        <v>-99</v>
      </c>
      <c r="V142" s="90">
        <f t="shared" ca="1" si="16"/>
        <v>70</v>
      </c>
      <c r="W142" s="99">
        <f t="shared" ca="1" si="21"/>
        <v>69.99988120142001</v>
      </c>
      <c r="X142" s="112">
        <f t="shared" ca="1" si="22"/>
        <v>41.999881201629996</v>
      </c>
      <c r="Y142" s="90">
        <f t="shared" ca="1" si="23"/>
        <v>108</v>
      </c>
      <c r="AA142" s="90" t="str">
        <f ca="1">IF($Y142="","",IF(OFFSET(C$55,'Intermediate Data'!$Y142,0)=-98,"Unknown",IF(OFFSET(C$55,'Intermediate Data'!$Y142,0)=-99,"N/A",OFFSET(C$55,'Intermediate Data'!$Y142,0))))</f>
        <v>Renewable energy component</v>
      </c>
      <c r="AB142" s="90" t="str">
        <f ca="1">IF($Y142="","",IF(OFFSET(D$55,'Intermediate Data'!$Y142,0)=-98,"N/A",IF(OFFSET(D$55,'Intermediate Data'!$Y142,0)=-99,"N/A",OFFSET(D$55,'Intermediate Data'!$Y142,0))))</f>
        <v>N/A</v>
      </c>
      <c r="AC142" s="90" t="str">
        <f ca="1">IF($Y142="","",IF(OFFSET(E$55,'Intermediate Data'!$Y142,0)=-98,"N/A",IF(OFFSET(E$55,'Intermediate Data'!$Y142,0)=-99,"N/A",OFFSET(E$55,'Intermediate Data'!$Y142,0))))</f>
        <v>N/A</v>
      </c>
      <c r="AD142" s="90" t="str">
        <f ca="1">IF($Y142="","",IF(OFFSET(F$55,'Intermediate Data'!$Y142,0)=-98,"N/A",IF(OFFSET(F$55,'Intermediate Data'!$Y142,0)=-99,"N/A",OFFSET(F$55,'Intermediate Data'!$Y142,0))))</f>
        <v>N/A</v>
      </c>
      <c r="AE142" s="90" t="str">
        <f ca="1">IF($Y142="","",IF(OFFSET(G$55,'Intermediate Data'!$Y142,0)=-98,"N/A",IF(OFFSET(G$55,'Intermediate Data'!$Y142,0)=-99,"N/A",OFFSET(G$55,'Intermediate Data'!$Y142,0))))</f>
        <v>N/A</v>
      </c>
      <c r="AF142" s="90" t="str">
        <f ca="1">IF($Y142="","",IF(OFFSET(H$55,'Intermediate Data'!$Y142,0)=-98,"N/A",IF(OFFSET(H$55,'Intermediate Data'!$Y142,0)=-99,"N/A",OFFSET(H$55,'Intermediate Data'!$Y142,0))))</f>
        <v>N/A</v>
      </c>
      <c r="AG142" s="90" t="str">
        <f ca="1">IF($Y142="","",IF(OFFSET(I$55,'Intermediate Data'!$Y142,0)=-98,"N/A",IF(OFFSET(I$55,'Intermediate Data'!$Y142,0)=-99,"N/A",OFFSET(I$55,'Intermediate Data'!$Y142,0))))</f>
        <v>N/A</v>
      </c>
      <c r="AH142" s="90" t="str">
        <f ca="1">IF($Y142="","",IF(OFFSET(J$55,'Intermediate Data'!$Y142,0)=-98,"N/A",IF(OFFSET(J$55,'Intermediate Data'!$Y142,0)=-99,"N/A",OFFSET(J$55,'Intermediate Data'!$Y142,0))))</f>
        <v/>
      </c>
      <c r="AI142" s="90" t="str">
        <f ca="1">IF($Y142="","",IF(OFFSET(K$55,'Intermediate Data'!$Y142,0)=-98,"N/A",IF(OFFSET(K$55,'Intermediate Data'!$Y142,0)=-99,"N/A",OFFSET(K$55,'Intermediate Data'!$Y142,0))))</f>
        <v>N/A</v>
      </c>
      <c r="AJ142" s="90" t="str">
        <f ca="1">IF($Y142="","",IF(OFFSET(L$55,'Intermediate Data'!$Y142,0)=-98,"N/A",IF(OFFSET(L$55,'Intermediate Data'!$Y142,0)=-99,"N/A",OFFSET(L$55,'Intermediate Data'!$Y142,0))))</f>
        <v>N/A</v>
      </c>
      <c r="AK142" s="90" t="str">
        <f ca="1">IF($Y142="","",IF(OFFSET(M$55,'Intermediate Data'!$Y142,0)=-98,"N/A",IF(OFFSET(M$55,'Intermediate Data'!$Y142,0)=-99,"N/A",OFFSET(M$55,'Intermediate Data'!$Y142,0))))</f>
        <v>N/A</v>
      </c>
      <c r="AL142" s="90" t="str">
        <f ca="1">IF($Y142="","",IF(OFFSET(N$55,'Intermediate Data'!$Y142,0)=-98,"N/A",IF(OFFSET(N$55,'Intermediate Data'!$Y142,0)=-99,"N/A",OFFSET(N$55,'Intermediate Data'!$Y142,0))))</f>
        <v>N/A</v>
      </c>
      <c r="AM142" s="90" t="str">
        <f ca="1">IF($Y142="","",IF(OFFSET(O$55,'Intermediate Data'!$Y142,0)=-98,"N/A",IF(OFFSET(O$55,'Intermediate Data'!$Y142,0)=-99,"N/A",OFFSET(O$55,'Intermediate Data'!$Y142,0))))</f>
        <v>N/A</v>
      </c>
      <c r="AN142" s="90" t="str">
        <f ca="1">IF($Y142="","",IF(OFFSET(P$55,'Intermediate Data'!$Y142,0)=-98,"N/A",IF(OFFSET(P$55,'Intermediate Data'!$Y142,0)=-99,"N/A",OFFSET(P$55,'Intermediate Data'!$Y142,0))))</f>
        <v>N/A</v>
      </c>
      <c r="AO142" s="90" t="str">
        <f ca="1">IF($Y142="","",IF(OFFSET(Q$55,'Intermediate Data'!$Y142,0)=-98,"N/A",IF(OFFSET(Q$55,'Intermediate Data'!$Y142,0)=-99,"N/A",OFFSET(Q$55,'Intermediate Data'!$Y142,0))))</f>
        <v/>
      </c>
      <c r="AP142" s="697" t="str">
        <f ca="1">IF($Y142="","",IF(OFFSET(S$55,'Intermediate Data'!$Y142,0)=-98,"",IF(OFFSET(S$55,'Intermediate Data'!$Y142,0)=-99,"",OFFSET(S$55,'Intermediate Data'!$Y142,0))))</f>
        <v/>
      </c>
      <c r="AQ142" s="90" t="str">
        <f ca="1">IF($Y142="","",IF(OFFSET(T$55,'Intermediate Data'!$Y142,0)=-98,"Not published",IF(OFFSET(T$55,'Intermediate Data'!$Y142,0)=-99,"",OFFSET(T$55,'Intermediate Data'!$Y142,0))))</f>
        <v/>
      </c>
      <c r="AR142" s="90" t="str">
        <f ca="1">IF($Y142="","",IF(OFFSET(U$55,'Intermediate Data'!$Y142,0)=-98,"Unknown",IF(OFFSET(U$55,'Intermediate Data'!$Y142,0)=-99,"",OFFSET(U$55,'Intermediate Data'!$Y142,0))))</f>
        <v/>
      </c>
      <c r="AU142" s="112" t="str">
        <f ca="1">IF(AND(OFFSET(DATA!$F91,0,$AX$48)='Intermediate Data'!$AY$48,DATA!$E91="Tier 1"),IF(OR($AX$49=0,$AX$48=1),DATA!A91,IF(AND($AX$49=1,INDEX('Intermediate Data'!$AY$25:$AY$44,MATCH(DATA!$B91,'Intermediate Data'!$AX$25:$AX$44,0))=TRUE),DATA!A91,"")),"")</f>
        <v/>
      </c>
      <c r="AV142" s="112" t="str">
        <f ca="1">IF($AU142="","",DATA!B91)</f>
        <v/>
      </c>
      <c r="AW142" s="112" t="str">
        <f ca="1">IF(OR($AU142="",DATA!BI91=""),"",DATA!BI91)</f>
        <v/>
      </c>
      <c r="AX142" s="112" t="str">
        <f ca="1">IF(OR($AU142="",OFFSET(DATA!BK91,0,$AX$48)=""),"",OFFSET(DATA!BK91,0,$AX$48))</f>
        <v/>
      </c>
      <c r="AY142" s="112" t="str">
        <f ca="1">IF(OR($AU142="",OFFSET(DATA!BM91,0,$AX$48)=""),"",OFFSET(DATA!BM91,0,$AX$48))</f>
        <v/>
      </c>
      <c r="AZ142" s="112" t="str">
        <f ca="1">IF(OR($AU142="",OFFSET(DATA!BO91,0,'Intermediate Data'!$AX$48)=""),"",OFFSET(DATA!BO91,0,$AX$48))</f>
        <v/>
      </c>
      <c r="BA142" s="112" t="str">
        <f ca="1">IF(OR($AU142="",DATA!BQ91=""),"",DATA!BQ91)</f>
        <v/>
      </c>
      <c r="BB142" s="112" t="str">
        <f ca="1">IF($AU142="","",OFFSET(DATA!BS91,0,$AX$48))</f>
        <v/>
      </c>
      <c r="BC142" s="112" t="str">
        <f ca="1">IF($AU142="","",OFFSET(DATA!BU91,0,$AX$48))</f>
        <v/>
      </c>
      <c r="BD142" s="112" t="str">
        <f ca="1">IF($AU142="","",OFFSET(DATA!BW91,0,$AX$48))</f>
        <v/>
      </c>
      <c r="BE142" s="112" t="str">
        <f ca="1">IF($AU142="","",OFFSET(DATA!BY91,0,$AX$48))</f>
        <v/>
      </c>
      <c r="BF142" s="112" t="str">
        <f ca="1">IF($AU142="","",OFFSET(DATA!CA91,0,$AX$48))</f>
        <v/>
      </c>
      <c r="BG142" s="112" t="str">
        <f ca="1">IF($AU142="","",DATA!CC91)</f>
        <v/>
      </c>
      <c r="BH142" s="112" t="str">
        <f ca="1">IF($AU142="","",OFFSET(DATA!CE91,0,$AX$48))</f>
        <v/>
      </c>
      <c r="BI142" s="112" t="str">
        <f ca="1">IF($AU142="","",OFFSET(DATA!CG91,0,$AX$48))</f>
        <v/>
      </c>
      <c r="BJ142" s="112" t="str">
        <f ca="1">IF($AU142="","",OFFSET(DATA!CI91,0,$AX$48))</f>
        <v/>
      </c>
      <c r="BK142" s="112" t="str">
        <f ca="1">IF($AU142="","",OFFSET(DATA!CK91,0,$AX$48))</f>
        <v/>
      </c>
      <c r="BL142" s="112" t="str">
        <f ca="1">IF($AU142="","",OFFSET(DATA!CM91,0,$AX$48))</f>
        <v/>
      </c>
      <c r="BM142" s="112" t="str">
        <f ca="1">IF($AU142="","",DATA!BH91)</f>
        <v/>
      </c>
      <c r="BN142" s="112" t="str">
        <f ca="1">IF($AU142="","",DATA!DS91)</f>
        <v/>
      </c>
      <c r="BO142" s="112" t="str">
        <f ca="1">IF($AU142="","",DATA!DU91)</f>
        <v/>
      </c>
      <c r="BP142" s="112" t="str">
        <f ca="1">IF($AU142="","",DATA!DV91)</f>
        <v/>
      </c>
      <c r="BQ142" s="112" t="str">
        <f ca="1">IF($AU142="","",DATA!DX91)</f>
        <v/>
      </c>
      <c r="BR142" s="112" t="str">
        <f ca="1">IF($AU142="","",DATA!DZ91)</f>
        <v/>
      </c>
      <c r="BS142" s="171" t="str">
        <f ca="1">IF($AU142="","",DATA!EA91)</f>
        <v/>
      </c>
      <c r="BT142" s="171" t="str">
        <f ca="1">IF($AU142="","",DATA!EC91)</f>
        <v/>
      </c>
      <c r="BU142" s="171" t="str">
        <f ca="1">IF($AU142="","",DATA!EF91)</f>
        <v/>
      </c>
      <c r="BV142" s="113" t="str">
        <f t="shared" ca="1" si="24"/>
        <v/>
      </c>
      <c r="BW142" s="680" t="str">
        <f ca="1">IF(AU142="","",OFFSET(DATA!DC91,0,'Intermediate Data'!$AX$48))</f>
        <v/>
      </c>
      <c r="BX142" s="681" t="str">
        <f ca="1">IF($AU142="","",DATA!DG91)</f>
        <v/>
      </c>
      <c r="BY142" s="680" t="str">
        <f ca="1">IF($AU142="","",OFFSET(DATA!DE91,0,'Intermediate Data'!$AX$48))</f>
        <v/>
      </c>
      <c r="BZ142" s="681" t="str">
        <f ca="1">IF($AU142="","",DATA!DH91)</f>
        <v/>
      </c>
      <c r="CA142" s="90" t="str">
        <f t="shared" ca="1" si="25"/>
        <v/>
      </c>
      <c r="CB142" s="99" t="str">
        <f t="shared" ca="1" si="26"/>
        <v/>
      </c>
      <c r="CC142" s="90" t="str">
        <f t="shared" ca="1" si="27"/>
        <v/>
      </c>
      <c r="CD142" s="90" t="str">
        <f t="shared" ca="1" si="28"/>
        <v/>
      </c>
      <c r="CF142" s="90" t="str">
        <f ca="1">IF($CD142="","",IF(OFFSET(AV$55,'Intermediate Data'!$CD142,0)=-98,"Unknown",IF(OFFSET(AV$55,'Intermediate Data'!$CD142,0)=-99,"N/A",OFFSET(AV$55,'Intermediate Data'!$CD142,0))))</f>
        <v/>
      </c>
      <c r="CG142" s="90" t="str">
        <f ca="1">IF($CD142="","",IF(OFFSET(AW$55,'Intermediate Data'!$CD142,0)=-98,"",IF(OFFSET(AW$55,'Intermediate Data'!$CD142,0)=-99,"N/A",OFFSET(AW$55,'Intermediate Data'!$CD142,0))))</f>
        <v/>
      </c>
      <c r="CH142" s="90" t="str">
        <f ca="1">IF($CD142="","",IF(OFFSET(AX$55,'Intermediate Data'!$CD142,0)=-98,"Unknown",IF(OFFSET(AX$55,'Intermediate Data'!$CD142,0)=-99,"N/A",OFFSET(AX$55,'Intermediate Data'!$CD142,0))))</f>
        <v/>
      </c>
      <c r="CI142" s="125" t="str">
        <f ca="1">IF($CD142="","",IF(OFFSET(AY$55,'Intermediate Data'!$CD142,0)=-98,"Unknown",IF(OFFSET(AY$55,'Intermediate Data'!$CD142,0)=-99,"No spec",OFFSET(AY$55,'Intermediate Data'!$CD142,0))))</f>
        <v/>
      </c>
      <c r="CJ142" s="125" t="str">
        <f ca="1">IF($CD142="","",IF(OFFSET(AZ$55,'Intermediate Data'!$CD142,0)=-98,"Unknown",IF(OFFSET(AZ$55,'Intermediate Data'!$CD142,0)=-99,"N/A",OFFSET(AZ$55,'Intermediate Data'!$CD142,0))))</f>
        <v/>
      </c>
      <c r="CK142" s="90" t="str">
        <f ca="1">IF($CD142="","",IF(OFFSET(BA$55,'Intermediate Data'!$CD142,0)=-98,"Unknown",IF(OFFSET(BA$55,'Intermediate Data'!$CD142,0)=-99,"N/A",OFFSET(BA$55,'Intermediate Data'!$CD142,0))))</f>
        <v/>
      </c>
      <c r="CL142" s="90" t="str">
        <f ca="1">IF($CD142="","",IF(OFFSET(BB$55,'Intermediate Data'!$CD142,$AX$50)=-98,"Unknown",IF(OFFSET(BB$55,'Intermediate Data'!$CD142,$AX$50)="N/A","",OFFSET(BB$55,'Intermediate Data'!$CD142,$AX$50))))</f>
        <v/>
      </c>
      <c r="CM142" s="90" t="str">
        <f ca="1">IF($CD142="","",IF(OFFSET(BG$55,'Intermediate Data'!$CD142,0)="ET","ET",""))</f>
        <v/>
      </c>
      <c r="CN142" s="90" t="str">
        <f ca="1">IF($CD142="","",IF(OFFSET(BH$55,'Intermediate Data'!$CD142,$AX$50)=-98,"Unknown",IF(OFFSET(BH$55,'Intermediate Data'!$CD142,$AX$50)="N/A","",OFFSET(BH$55,'Intermediate Data'!$CD142,$AX$50))))</f>
        <v/>
      </c>
      <c r="CO142" s="90" t="str">
        <f ca="1">IF($CD142="","",IF(OFFSET(BM$55,'Intermediate Data'!$CD142,0)=-98,"Not published",IF(OFFSET(BM$55,'Intermediate Data'!$CD142,0)=-99,"No spec",OFFSET(BM$55,'Intermediate Data'!$CD142,0))))</f>
        <v/>
      </c>
      <c r="CP142" s="114" t="str">
        <f ca="1">IF($CD142="","",IF(OFFSET(BN$55,'Intermediate Data'!$CD142,0)=-98,"Unknown",IF(OFFSET(BN$55,'Intermediate Data'!$CD142,0)=-99,"N/A",OFFSET(BN$55,'Intermediate Data'!$CD142,0))))</f>
        <v/>
      </c>
      <c r="CQ142" s="114" t="str">
        <f ca="1">IF($CD142="","",IF(OFFSET(BO$55,'Intermediate Data'!$CD142,0)=-98,"Unknown",IF(OFFSET(BO$55,'Intermediate Data'!$CD142,0)=-99,"N/A",OFFSET(BO$55,'Intermediate Data'!$CD142,0))))</f>
        <v/>
      </c>
      <c r="CR142" s="114" t="str">
        <f ca="1">IF($CD142="","",IF(OFFSET(BP$55,'Intermediate Data'!$CD142,0)=-98,"Unknown",IF(OFFSET(BP$55,'Intermediate Data'!$CD142,0)=-99,"N/A",OFFSET(BP$55,'Intermediate Data'!$CD142,0))))</f>
        <v/>
      </c>
      <c r="CS142" s="114" t="str">
        <f ca="1">IF($CD142="","",IF(OFFSET(BQ$55,'Intermediate Data'!$CD142,0)=-98,"Unknown",IF(OFFSET(BQ$55,'Intermediate Data'!$CD142,0)=-99,"N/A",OFFSET(BQ$55,'Intermediate Data'!$CD142,0))))</f>
        <v/>
      </c>
      <c r="CT142" s="114" t="str">
        <f ca="1">IF($CD142="","",IF(OFFSET(BR$55,'Intermediate Data'!$CD142,0)=-98,"Unknown",IF(OFFSET(BR$55,'Intermediate Data'!$CD142,0)=-99,"N/A",OFFSET(BR$55,'Intermediate Data'!$CD142,0))))</f>
        <v/>
      </c>
      <c r="CU142" s="114" t="str">
        <f ca="1">IF($CD142="","",IF(OFFSET(BS$55,'Intermediate Data'!$CD142,0)=-98,"Unknown",IF(OFFSET(BS$55,'Intermediate Data'!$CD142,0)=-99,"N/A",OFFSET(BS$55,'Intermediate Data'!$CD142,0))))</f>
        <v/>
      </c>
      <c r="CV142" s="114" t="str">
        <f ca="1">IF($CD142="","",IF(OFFSET(BT$55,'Intermediate Data'!$CD142,0)=-98,"Unknown",IF(OFFSET(BT$55,'Intermediate Data'!$CD142,0)=-99,"N/A",OFFSET(BT$55,'Intermediate Data'!$CD142,0))))</f>
        <v/>
      </c>
      <c r="CW142" s="114" t="str">
        <f ca="1">IF($CD142="","",IF(OFFSET(BU$55,'Intermediate Data'!$CD142,0)=-98,"Unknown",IF(OFFSET(BU$55,'Intermediate Data'!$CD142,0)=-99,"N/A",OFFSET(BU$55,'Intermediate Data'!$CD142,0))))</f>
        <v/>
      </c>
      <c r="CX142" s="114" t="str">
        <f ca="1">IF($CD142="","",IF(OFFSET(BV$55,'Intermediate Data'!$CD142,0)=-98,"Unknown",IF(OFFSET(BV$55,'Intermediate Data'!$CD142,0)=-99,"N/A",OFFSET(BV$55,'Intermediate Data'!$CD142,0))))</f>
        <v/>
      </c>
      <c r="CY142" s="682" t="str">
        <f ca="1">IF($CD142="","",IF(OFFSET(BW$55,'Intermediate Data'!$CD142,0)=-98,"Unknown",IF(OFFSET(BW$55,'Intermediate Data'!$CD142,0)="N/A","",OFFSET(BW$55,'Intermediate Data'!$CD142,0))))</f>
        <v/>
      </c>
      <c r="CZ142" s="682" t="str">
        <f ca="1">IF($CD142="","",IF(OFFSET(BX$55,'Intermediate Data'!$CD142,0)=-98,"Unknown",IF(OFFSET(BX$55,'Intermediate Data'!$CD142,0)="N/A","",OFFSET(BX$55,'Intermediate Data'!$CD142,0))))</f>
        <v/>
      </c>
      <c r="DA142" s="682" t="str">
        <f ca="1">IF($CD142="","",IF(OFFSET(BY$55,'Intermediate Data'!$CD142,0)=-98,"Unknown",IF(OFFSET(BY$55,'Intermediate Data'!$CD142,0)="N/A","",OFFSET(BY$55,'Intermediate Data'!$CD142,0))))</f>
        <v/>
      </c>
      <c r="DB142" s="682" t="str">
        <f ca="1">IF($CD142="","",IF(OFFSET(BZ$55,'Intermediate Data'!$CD142,0)=-98,"Unknown",IF(OFFSET(BZ$55,'Intermediate Data'!$CD142,0)="N/A","",OFFSET(BZ$55,'Intermediate Data'!$CD142,0))))</f>
        <v/>
      </c>
    </row>
    <row r="143" spans="1:106" x14ac:dyDescent="0.2">
      <c r="A143" s="90">
        <f ca="1">IF(OFFSET(DATA!F92,0,$D$48)='Intermediate Data'!$E$48,IF(OR($E$49=$C$27,$E$48=$B$4),DATA!A92,IF($G$49=DATA!D92,DATA!A92,"")),"")</f>
        <v>88</v>
      </c>
      <c r="B143" s="90">
        <f ca="1">IF($A143="","",DATA!EH92)</f>
        <v>24</v>
      </c>
      <c r="C143" s="90" t="str">
        <f ca="1">IF($A143="","",DATA!B92)</f>
        <v>Task lamps</v>
      </c>
      <c r="D143" s="90">
        <f ca="1">IF($A143="","",OFFSET(DATA!$H92,0,($D$50*5)))</f>
        <v>-99</v>
      </c>
      <c r="E143" s="90">
        <f ca="1">IF($A143="","",OFFSET(DATA!$H92,0,($D$50*5)+1))</f>
        <v>-99</v>
      </c>
      <c r="F143" s="90">
        <f ca="1">IF($A143="","",OFFSET(DATA!$H92,0,($D$50*5)+2))</f>
        <v>-99</v>
      </c>
      <c r="G143" s="90">
        <f ca="1">IF($A143="","",OFFSET(DATA!$H92,0,($D$50*5)+3))</f>
        <v>-99</v>
      </c>
      <c r="H143" s="90">
        <f ca="1">IF($A143="","",OFFSET(DATA!$H92,0,($D$50*5)+4))</f>
        <v>-99</v>
      </c>
      <c r="I143" s="90">
        <f t="shared" ca="1" si="17"/>
        <v>-99</v>
      </c>
      <c r="J143" s="90" t="str">
        <f t="shared" ca="1" si="18"/>
        <v/>
      </c>
      <c r="K143" s="90">
        <f ca="1">IF($A143="","",OFFSET(DATA!$AG92,0,($D$50*5)))</f>
        <v>-99</v>
      </c>
      <c r="L143" s="90">
        <f ca="1">IF($A143="","",OFFSET(DATA!$AG92,0,($D$50*5)+1))</f>
        <v>-99</v>
      </c>
      <c r="M143" s="90">
        <f ca="1">IF($A143="","",OFFSET(DATA!$AG92,0,($D$50*5)+2))</f>
        <v>-99</v>
      </c>
      <c r="N143" s="90">
        <f ca="1">IF($A143="","",OFFSET(DATA!$AG92,0,($D$50*5)+3))</f>
        <v>-99</v>
      </c>
      <c r="O143" s="90">
        <f ca="1">IF($A143="","",OFFSET(DATA!$AG92,0,($D$50*5)+4))</f>
        <v>-99</v>
      </c>
      <c r="P143" s="90">
        <f t="shared" ca="1" si="19"/>
        <v>-99</v>
      </c>
      <c r="Q143" s="90" t="str">
        <f t="shared" ca="1" si="20"/>
        <v/>
      </c>
      <c r="R143" s="699">
        <f ca="1">IF($A143="","",IF(DATA!BF92="",-99,DATA!BF92))</f>
        <v>-99</v>
      </c>
      <c r="S143" s="90">
        <f ca="1">IF($A143="","",IF(DATA!BG92="",-99,DATA!BF92-DATA!BG92))</f>
        <v>-99</v>
      </c>
      <c r="T143" s="90">
        <f ca="1">IF($A143="","",DATA!BH92)</f>
        <v>-99</v>
      </c>
      <c r="U143" s="90">
        <f ca="1">IF($A143="","",OFFSET(DATA!BM92,0,$D$48))</f>
        <v>-99</v>
      </c>
      <c r="V143" s="90">
        <f t="shared" ca="1" si="16"/>
        <v>24</v>
      </c>
      <c r="W143" s="99">
        <f t="shared" ca="1" si="21"/>
        <v>23.99988120143</v>
      </c>
      <c r="X143" s="112">
        <f t="shared" ca="1" si="22"/>
        <v>40.999881201639994</v>
      </c>
      <c r="Y143" s="90">
        <f t="shared" ca="1" si="23"/>
        <v>109</v>
      </c>
      <c r="AA143" s="90" t="str">
        <f ca="1">IF($Y143="","",IF(OFFSET(C$55,'Intermediate Data'!$Y143,0)=-98,"Unknown",IF(OFFSET(C$55,'Intermediate Data'!$Y143,0)=-99,"N/A",OFFSET(C$55,'Intermediate Data'!$Y143,0))))</f>
        <v>Ride-on toy car</v>
      </c>
      <c r="AB143" s="90" t="str">
        <f ca="1">IF($Y143="","",IF(OFFSET(D$55,'Intermediate Data'!$Y143,0)=-98,"N/A",IF(OFFSET(D$55,'Intermediate Data'!$Y143,0)=-99,"N/A",OFFSET(D$55,'Intermediate Data'!$Y143,0))))</f>
        <v>N/A</v>
      </c>
      <c r="AC143" s="90" t="str">
        <f ca="1">IF($Y143="","",IF(OFFSET(E$55,'Intermediate Data'!$Y143,0)=-98,"N/A",IF(OFFSET(E$55,'Intermediate Data'!$Y143,0)=-99,"N/A",OFFSET(E$55,'Intermediate Data'!$Y143,0))))</f>
        <v>N/A</v>
      </c>
      <c r="AD143" s="90" t="str">
        <f ca="1">IF($Y143="","",IF(OFFSET(F$55,'Intermediate Data'!$Y143,0)=-98,"N/A",IF(OFFSET(F$55,'Intermediate Data'!$Y143,0)=-99,"N/A",OFFSET(F$55,'Intermediate Data'!$Y143,0))))</f>
        <v>N/A</v>
      </c>
      <c r="AE143" s="90" t="str">
        <f ca="1">IF($Y143="","",IF(OFFSET(G$55,'Intermediate Data'!$Y143,0)=-98,"N/A",IF(OFFSET(G$55,'Intermediate Data'!$Y143,0)=-99,"N/A",OFFSET(G$55,'Intermediate Data'!$Y143,0))))</f>
        <v>N/A</v>
      </c>
      <c r="AF143" s="90" t="str">
        <f ca="1">IF($Y143="","",IF(OFFSET(H$55,'Intermediate Data'!$Y143,0)=-98,"N/A",IF(OFFSET(H$55,'Intermediate Data'!$Y143,0)=-99,"N/A",OFFSET(H$55,'Intermediate Data'!$Y143,0))))</f>
        <v>N/A</v>
      </c>
      <c r="AG143" s="90" t="str">
        <f ca="1">IF($Y143="","",IF(OFFSET(I$55,'Intermediate Data'!$Y143,0)=-98,"N/A",IF(OFFSET(I$55,'Intermediate Data'!$Y143,0)=-99,"N/A",OFFSET(I$55,'Intermediate Data'!$Y143,0))))</f>
        <v>N/A</v>
      </c>
      <c r="AH143" s="90" t="str">
        <f ca="1">IF($Y143="","",IF(OFFSET(J$55,'Intermediate Data'!$Y143,0)=-98,"N/A",IF(OFFSET(J$55,'Intermediate Data'!$Y143,0)=-99,"N/A",OFFSET(J$55,'Intermediate Data'!$Y143,0))))</f>
        <v/>
      </c>
      <c r="AI143" s="90" t="str">
        <f ca="1">IF($Y143="","",IF(OFFSET(K$55,'Intermediate Data'!$Y143,0)=-98,"N/A",IF(OFFSET(K$55,'Intermediate Data'!$Y143,0)=-99,"N/A",OFFSET(K$55,'Intermediate Data'!$Y143,0))))</f>
        <v>N/A</v>
      </c>
      <c r="AJ143" s="90" t="str">
        <f ca="1">IF($Y143="","",IF(OFFSET(L$55,'Intermediate Data'!$Y143,0)=-98,"N/A",IF(OFFSET(L$55,'Intermediate Data'!$Y143,0)=-99,"N/A",OFFSET(L$55,'Intermediate Data'!$Y143,0))))</f>
        <v>N/A</v>
      </c>
      <c r="AK143" s="90" t="str">
        <f ca="1">IF($Y143="","",IF(OFFSET(M$55,'Intermediate Data'!$Y143,0)=-98,"N/A",IF(OFFSET(M$55,'Intermediate Data'!$Y143,0)=-99,"N/A",OFFSET(M$55,'Intermediate Data'!$Y143,0))))</f>
        <v>N/A</v>
      </c>
      <c r="AL143" s="90" t="str">
        <f ca="1">IF($Y143="","",IF(OFFSET(N$55,'Intermediate Data'!$Y143,0)=-98,"N/A",IF(OFFSET(N$55,'Intermediate Data'!$Y143,0)=-99,"N/A",OFFSET(N$55,'Intermediate Data'!$Y143,0))))</f>
        <v>N/A</v>
      </c>
      <c r="AM143" s="90" t="str">
        <f ca="1">IF($Y143="","",IF(OFFSET(O$55,'Intermediate Data'!$Y143,0)=-98,"N/A",IF(OFFSET(O$55,'Intermediate Data'!$Y143,0)=-99,"N/A",OFFSET(O$55,'Intermediate Data'!$Y143,0))))</f>
        <v>N/A</v>
      </c>
      <c r="AN143" s="90" t="str">
        <f ca="1">IF($Y143="","",IF(OFFSET(P$55,'Intermediate Data'!$Y143,0)=-98,"N/A",IF(OFFSET(P$55,'Intermediate Data'!$Y143,0)=-99,"N/A",OFFSET(P$55,'Intermediate Data'!$Y143,0))))</f>
        <v>N/A</v>
      </c>
      <c r="AO143" s="90" t="str">
        <f ca="1">IF($Y143="","",IF(OFFSET(Q$55,'Intermediate Data'!$Y143,0)=-98,"N/A",IF(OFFSET(Q$55,'Intermediate Data'!$Y143,0)=-99,"N/A",OFFSET(Q$55,'Intermediate Data'!$Y143,0))))</f>
        <v/>
      </c>
      <c r="AP143" s="697" t="str">
        <f ca="1">IF($Y143="","",IF(OFFSET(S$55,'Intermediate Data'!$Y143,0)=-98,"",IF(OFFSET(S$55,'Intermediate Data'!$Y143,0)=-99,"",OFFSET(S$55,'Intermediate Data'!$Y143,0))))</f>
        <v/>
      </c>
      <c r="AQ143" s="90" t="str">
        <f ca="1">IF($Y143="","",IF(OFFSET(T$55,'Intermediate Data'!$Y143,0)=-98,"Not published",IF(OFFSET(T$55,'Intermediate Data'!$Y143,0)=-99,"",OFFSET(T$55,'Intermediate Data'!$Y143,0))))</f>
        <v/>
      </c>
      <c r="AR143" s="90" t="str">
        <f ca="1">IF($Y143="","",IF(OFFSET(U$55,'Intermediate Data'!$Y143,0)=-98,"Unknown",IF(OFFSET(U$55,'Intermediate Data'!$Y143,0)=-99,"",OFFSET(U$55,'Intermediate Data'!$Y143,0))))</f>
        <v/>
      </c>
      <c r="AU143" s="112" t="str">
        <f ca="1">IF(AND(OFFSET(DATA!$F92,0,$AX$48)='Intermediate Data'!$AY$48,DATA!$E92="Tier 1"),IF(OR($AX$49=0,$AX$48=1),DATA!A92,IF(AND($AX$49=1,INDEX('Intermediate Data'!$AY$25:$AY$44,MATCH(DATA!$B92,'Intermediate Data'!$AX$25:$AX$44,0))=TRUE),DATA!A92,"")),"")</f>
        <v/>
      </c>
      <c r="AV143" s="112" t="str">
        <f ca="1">IF($AU143="","",DATA!B92)</f>
        <v/>
      </c>
      <c r="AW143" s="112" t="str">
        <f ca="1">IF(OR($AU143="",DATA!BI92=""),"",DATA!BI92)</f>
        <v/>
      </c>
      <c r="AX143" s="112" t="str">
        <f ca="1">IF(OR($AU143="",OFFSET(DATA!BK92,0,$AX$48)=""),"",OFFSET(DATA!BK92,0,$AX$48))</f>
        <v/>
      </c>
      <c r="AY143" s="112" t="str">
        <f ca="1">IF(OR($AU143="",OFFSET(DATA!BM92,0,$AX$48)=""),"",OFFSET(DATA!BM92,0,$AX$48))</f>
        <v/>
      </c>
      <c r="AZ143" s="112" t="str">
        <f ca="1">IF(OR($AU143="",OFFSET(DATA!BO92,0,'Intermediate Data'!$AX$48)=""),"",OFFSET(DATA!BO92,0,$AX$48))</f>
        <v/>
      </c>
      <c r="BA143" s="112" t="str">
        <f ca="1">IF(OR($AU143="",DATA!BQ92=""),"",DATA!BQ92)</f>
        <v/>
      </c>
      <c r="BB143" s="112" t="str">
        <f ca="1">IF($AU143="","",OFFSET(DATA!BS92,0,$AX$48))</f>
        <v/>
      </c>
      <c r="BC143" s="112" t="str">
        <f ca="1">IF($AU143="","",OFFSET(DATA!BU92,0,$AX$48))</f>
        <v/>
      </c>
      <c r="BD143" s="112" t="str">
        <f ca="1">IF($AU143="","",OFFSET(DATA!BW92,0,$AX$48))</f>
        <v/>
      </c>
      <c r="BE143" s="112" t="str">
        <f ca="1">IF($AU143="","",OFFSET(DATA!BY92,0,$AX$48))</f>
        <v/>
      </c>
      <c r="BF143" s="112" t="str">
        <f ca="1">IF($AU143="","",OFFSET(DATA!CA92,0,$AX$48))</f>
        <v/>
      </c>
      <c r="BG143" s="112" t="str">
        <f ca="1">IF($AU143="","",DATA!CC92)</f>
        <v/>
      </c>
      <c r="BH143" s="112" t="str">
        <f ca="1">IF($AU143="","",OFFSET(DATA!CE92,0,$AX$48))</f>
        <v/>
      </c>
      <c r="BI143" s="112" t="str">
        <f ca="1">IF($AU143="","",OFFSET(DATA!CG92,0,$AX$48))</f>
        <v/>
      </c>
      <c r="BJ143" s="112" t="str">
        <f ca="1">IF($AU143="","",OFFSET(DATA!CI92,0,$AX$48))</f>
        <v/>
      </c>
      <c r="BK143" s="112" t="str">
        <f ca="1">IF($AU143="","",OFFSET(DATA!CK92,0,$AX$48))</f>
        <v/>
      </c>
      <c r="BL143" s="112" t="str">
        <f ca="1">IF($AU143="","",OFFSET(DATA!CM92,0,$AX$48))</f>
        <v/>
      </c>
      <c r="BM143" s="112" t="str">
        <f ca="1">IF($AU143="","",DATA!BH92)</f>
        <v/>
      </c>
      <c r="BN143" s="112" t="str">
        <f ca="1">IF($AU143="","",DATA!DS92)</f>
        <v/>
      </c>
      <c r="BO143" s="112" t="str">
        <f ca="1">IF($AU143="","",DATA!DU92)</f>
        <v/>
      </c>
      <c r="BP143" s="112" t="str">
        <f ca="1">IF($AU143="","",DATA!DV92)</f>
        <v/>
      </c>
      <c r="BQ143" s="112" t="str">
        <f ca="1">IF($AU143="","",DATA!DX92)</f>
        <v/>
      </c>
      <c r="BR143" s="112" t="str">
        <f ca="1">IF($AU143="","",DATA!DZ92)</f>
        <v/>
      </c>
      <c r="BS143" s="171" t="str">
        <f ca="1">IF($AU143="","",DATA!EA92)</f>
        <v/>
      </c>
      <c r="BT143" s="171" t="str">
        <f ca="1">IF($AU143="","",DATA!EC92)</f>
        <v/>
      </c>
      <c r="BU143" s="171" t="str">
        <f ca="1">IF($AU143="","",DATA!EF92)</f>
        <v/>
      </c>
      <c r="BV143" s="113" t="str">
        <f t="shared" ca="1" si="24"/>
        <v/>
      </c>
      <c r="BW143" s="680" t="str">
        <f ca="1">IF(AU143="","",OFFSET(DATA!DC92,0,'Intermediate Data'!$AX$48))</f>
        <v/>
      </c>
      <c r="BX143" s="681" t="str">
        <f ca="1">IF($AU143="","",DATA!DG92)</f>
        <v/>
      </c>
      <c r="BY143" s="680" t="str">
        <f ca="1">IF($AU143="","",OFFSET(DATA!DE92,0,'Intermediate Data'!$AX$48))</f>
        <v/>
      </c>
      <c r="BZ143" s="681" t="str">
        <f ca="1">IF($AU143="","",DATA!DH92)</f>
        <v/>
      </c>
      <c r="CA143" s="90" t="str">
        <f t="shared" ca="1" si="25"/>
        <v/>
      </c>
      <c r="CB143" s="99" t="str">
        <f t="shared" ca="1" si="26"/>
        <v/>
      </c>
      <c r="CC143" s="90" t="str">
        <f t="shared" ca="1" si="27"/>
        <v/>
      </c>
      <c r="CD143" s="90" t="str">
        <f t="shared" ca="1" si="28"/>
        <v/>
      </c>
      <c r="CF143" s="90" t="str">
        <f ca="1">IF($CD143="","",IF(OFFSET(AV$55,'Intermediate Data'!$CD143,0)=-98,"Unknown",IF(OFFSET(AV$55,'Intermediate Data'!$CD143,0)=-99,"N/A",OFFSET(AV$55,'Intermediate Data'!$CD143,0))))</f>
        <v/>
      </c>
      <c r="CG143" s="90" t="str">
        <f ca="1">IF($CD143="","",IF(OFFSET(AW$55,'Intermediate Data'!$CD143,0)=-98,"",IF(OFFSET(AW$55,'Intermediate Data'!$CD143,0)=-99,"N/A",OFFSET(AW$55,'Intermediate Data'!$CD143,0))))</f>
        <v/>
      </c>
      <c r="CH143" s="90" t="str">
        <f ca="1">IF($CD143="","",IF(OFFSET(AX$55,'Intermediate Data'!$CD143,0)=-98,"Unknown",IF(OFFSET(AX$55,'Intermediate Data'!$CD143,0)=-99,"N/A",OFFSET(AX$55,'Intermediate Data'!$CD143,0))))</f>
        <v/>
      </c>
      <c r="CI143" s="125" t="str">
        <f ca="1">IF($CD143="","",IF(OFFSET(AY$55,'Intermediate Data'!$CD143,0)=-98,"Unknown",IF(OFFSET(AY$55,'Intermediate Data'!$CD143,0)=-99,"No spec",OFFSET(AY$55,'Intermediate Data'!$CD143,0))))</f>
        <v/>
      </c>
      <c r="CJ143" s="125" t="str">
        <f ca="1">IF($CD143="","",IF(OFFSET(AZ$55,'Intermediate Data'!$CD143,0)=-98,"Unknown",IF(OFFSET(AZ$55,'Intermediate Data'!$CD143,0)=-99,"N/A",OFFSET(AZ$55,'Intermediate Data'!$CD143,0))))</f>
        <v/>
      </c>
      <c r="CK143" s="90" t="str">
        <f ca="1">IF($CD143="","",IF(OFFSET(BA$55,'Intermediate Data'!$CD143,0)=-98,"Unknown",IF(OFFSET(BA$55,'Intermediate Data'!$CD143,0)=-99,"N/A",OFFSET(BA$55,'Intermediate Data'!$CD143,0))))</f>
        <v/>
      </c>
      <c r="CL143" s="90" t="str">
        <f ca="1">IF($CD143="","",IF(OFFSET(BB$55,'Intermediate Data'!$CD143,$AX$50)=-98,"Unknown",IF(OFFSET(BB$55,'Intermediate Data'!$CD143,$AX$50)="N/A","",OFFSET(BB$55,'Intermediate Data'!$CD143,$AX$50))))</f>
        <v/>
      </c>
      <c r="CM143" s="90" t="str">
        <f ca="1">IF($CD143="","",IF(OFFSET(BG$55,'Intermediate Data'!$CD143,0)="ET","ET",""))</f>
        <v/>
      </c>
      <c r="CN143" s="90" t="str">
        <f ca="1">IF($CD143="","",IF(OFFSET(BH$55,'Intermediate Data'!$CD143,$AX$50)=-98,"Unknown",IF(OFFSET(BH$55,'Intermediate Data'!$CD143,$AX$50)="N/A","",OFFSET(BH$55,'Intermediate Data'!$CD143,$AX$50))))</f>
        <v/>
      </c>
      <c r="CO143" s="90" t="str">
        <f ca="1">IF($CD143="","",IF(OFFSET(BM$55,'Intermediate Data'!$CD143,0)=-98,"Not published",IF(OFFSET(BM$55,'Intermediate Data'!$CD143,0)=-99,"No spec",OFFSET(BM$55,'Intermediate Data'!$CD143,0))))</f>
        <v/>
      </c>
      <c r="CP143" s="114" t="str">
        <f ca="1">IF($CD143="","",IF(OFFSET(BN$55,'Intermediate Data'!$CD143,0)=-98,"Unknown",IF(OFFSET(BN$55,'Intermediate Data'!$CD143,0)=-99,"N/A",OFFSET(BN$55,'Intermediate Data'!$CD143,0))))</f>
        <v/>
      </c>
      <c r="CQ143" s="114" t="str">
        <f ca="1">IF($CD143="","",IF(OFFSET(BO$55,'Intermediate Data'!$CD143,0)=-98,"Unknown",IF(OFFSET(BO$55,'Intermediate Data'!$CD143,0)=-99,"N/A",OFFSET(BO$55,'Intermediate Data'!$CD143,0))))</f>
        <v/>
      </c>
      <c r="CR143" s="114" t="str">
        <f ca="1">IF($CD143="","",IF(OFFSET(BP$55,'Intermediate Data'!$CD143,0)=-98,"Unknown",IF(OFFSET(BP$55,'Intermediate Data'!$CD143,0)=-99,"N/A",OFFSET(BP$55,'Intermediate Data'!$CD143,0))))</f>
        <v/>
      </c>
      <c r="CS143" s="114" t="str">
        <f ca="1">IF($CD143="","",IF(OFFSET(BQ$55,'Intermediate Data'!$CD143,0)=-98,"Unknown",IF(OFFSET(BQ$55,'Intermediate Data'!$CD143,0)=-99,"N/A",OFFSET(BQ$55,'Intermediate Data'!$CD143,0))))</f>
        <v/>
      </c>
      <c r="CT143" s="114" t="str">
        <f ca="1">IF($CD143="","",IF(OFFSET(BR$55,'Intermediate Data'!$CD143,0)=-98,"Unknown",IF(OFFSET(BR$55,'Intermediate Data'!$CD143,0)=-99,"N/A",OFFSET(BR$55,'Intermediate Data'!$CD143,0))))</f>
        <v/>
      </c>
      <c r="CU143" s="114" t="str">
        <f ca="1">IF($CD143="","",IF(OFFSET(BS$55,'Intermediate Data'!$CD143,0)=-98,"Unknown",IF(OFFSET(BS$55,'Intermediate Data'!$CD143,0)=-99,"N/A",OFFSET(BS$55,'Intermediate Data'!$CD143,0))))</f>
        <v/>
      </c>
      <c r="CV143" s="114" t="str">
        <f ca="1">IF($CD143="","",IF(OFFSET(BT$55,'Intermediate Data'!$CD143,0)=-98,"Unknown",IF(OFFSET(BT$55,'Intermediate Data'!$CD143,0)=-99,"N/A",OFFSET(BT$55,'Intermediate Data'!$CD143,0))))</f>
        <v/>
      </c>
      <c r="CW143" s="114" t="str">
        <f ca="1">IF($CD143="","",IF(OFFSET(BU$55,'Intermediate Data'!$CD143,0)=-98,"Unknown",IF(OFFSET(BU$55,'Intermediate Data'!$CD143,0)=-99,"N/A",OFFSET(BU$55,'Intermediate Data'!$CD143,0))))</f>
        <v/>
      </c>
      <c r="CX143" s="114" t="str">
        <f ca="1">IF($CD143="","",IF(OFFSET(BV$55,'Intermediate Data'!$CD143,0)=-98,"Unknown",IF(OFFSET(BV$55,'Intermediate Data'!$CD143,0)=-99,"N/A",OFFSET(BV$55,'Intermediate Data'!$CD143,0))))</f>
        <v/>
      </c>
      <c r="CY143" s="682" t="str">
        <f ca="1">IF($CD143="","",IF(OFFSET(BW$55,'Intermediate Data'!$CD143,0)=-98,"Unknown",IF(OFFSET(BW$55,'Intermediate Data'!$CD143,0)="N/A","",OFFSET(BW$55,'Intermediate Data'!$CD143,0))))</f>
        <v/>
      </c>
      <c r="CZ143" s="682" t="str">
        <f ca="1">IF($CD143="","",IF(OFFSET(BX$55,'Intermediate Data'!$CD143,0)=-98,"Unknown",IF(OFFSET(BX$55,'Intermediate Data'!$CD143,0)="N/A","",OFFSET(BX$55,'Intermediate Data'!$CD143,0))))</f>
        <v/>
      </c>
      <c r="DA143" s="682" t="str">
        <f ca="1">IF($CD143="","",IF(OFFSET(BY$55,'Intermediate Data'!$CD143,0)=-98,"Unknown",IF(OFFSET(BY$55,'Intermediate Data'!$CD143,0)="N/A","",OFFSET(BY$55,'Intermediate Data'!$CD143,0))))</f>
        <v/>
      </c>
      <c r="DB143" s="682" t="str">
        <f ca="1">IF($CD143="","",IF(OFFSET(BZ$55,'Intermediate Data'!$CD143,0)=-98,"Unknown",IF(OFFSET(BZ$55,'Intermediate Data'!$CD143,0)="N/A","",OFFSET(BZ$55,'Intermediate Data'!$CD143,0))))</f>
        <v/>
      </c>
    </row>
    <row r="144" spans="1:106" x14ac:dyDescent="0.2">
      <c r="A144" s="90">
        <f ca="1">IF(OFFSET(DATA!F93,0,$D$48)='Intermediate Data'!$E$48,IF(OR($E$49=$C$27,$E$48=$B$4),DATA!A93,IF($G$49=DATA!D93,DATA!A93,"")),"")</f>
        <v>89</v>
      </c>
      <c r="B144" s="90">
        <f ca="1">IF($A144="","",DATA!EH93)</f>
        <v>136</v>
      </c>
      <c r="C144" s="90" t="str">
        <f ca="1">IF($A144="","",DATA!B93)</f>
        <v>Answering machine</v>
      </c>
      <c r="D144" s="90">
        <f ca="1">IF($A144="","",OFFSET(DATA!$H93,0,($D$50*5)))</f>
        <v>-99</v>
      </c>
      <c r="E144" s="90">
        <f ca="1">IF($A144="","",OFFSET(DATA!$H93,0,($D$50*5)+1))</f>
        <v>0.72864689377722924</v>
      </c>
      <c r="F144" s="90">
        <f ca="1">IF($A144="","",OFFSET(DATA!$H93,0,($D$50*5)+2))</f>
        <v>-99</v>
      </c>
      <c r="G144" s="90">
        <f ca="1">IF($A144="","",OFFSET(DATA!$H93,0,($D$50*5)+3))</f>
        <v>0.6167469195524049</v>
      </c>
      <c r="H144" s="90">
        <f ca="1">IF($A144="","",OFFSET(DATA!$H93,0,($D$50*5)+4))</f>
        <v>-99</v>
      </c>
      <c r="I144" s="90">
        <f t="shared" ca="1" si="17"/>
        <v>0.6167469195524049</v>
      </c>
      <c r="J144" s="90" t="str">
        <f t="shared" ca="1" si="18"/>
        <v>RASS</v>
      </c>
      <c r="K144" s="90">
        <f ca="1">IF($A144="","",OFFSET(DATA!$AG93,0,($D$50*5)))</f>
        <v>-99</v>
      </c>
      <c r="L144" s="90">
        <f ca="1">IF($A144="","",OFFSET(DATA!$AG93,0,($D$50*5)+1))</f>
        <v>0.78001844147529265</v>
      </c>
      <c r="M144" s="90">
        <f ca="1">IF($A144="","",OFFSET(DATA!$AG93,0,($D$50*5)+2))</f>
        <v>-99</v>
      </c>
      <c r="N144" s="90">
        <f ca="1">IF($A144="","",OFFSET(DATA!$AG93,0,($D$50*5)+3))</f>
        <v>0.65010093525948076</v>
      </c>
      <c r="O144" s="90">
        <f ca="1">IF($A144="","",OFFSET(DATA!$AG93,0,($D$50*5)+4))</f>
        <v>-99</v>
      </c>
      <c r="P144" s="90">
        <f t="shared" ca="1" si="19"/>
        <v>0.65010093525948076</v>
      </c>
      <c r="Q144" s="90" t="str">
        <f t="shared" ca="1" si="20"/>
        <v>RASS</v>
      </c>
      <c r="R144" s="699">
        <f ca="1">IF($A144="","",IF(DATA!BF93="",-99,DATA!BF93))</f>
        <v>-99</v>
      </c>
      <c r="S144" s="90">
        <f ca="1">IF($A144="","",IF(DATA!BG93="",-99,DATA!BF93-DATA!BG93))</f>
        <v>-99</v>
      </c>
      <c r="T144" s="90">
        <f ca="1">IF($A144="","",DATA!BH93)</f>
        <v>-99</v>
      </c>
      <c r="U144" s="90">
        <f ca="1">IF($A144="","",OFFSET(DATA!BM93,0,$D$48))</f>
        <v>-99</v>
      </c>
      <c r="V144" s="90">
        <f t="shared" ca="1" si="16"/>
        <v>136</v>
      </c>
      <c r="W144" s="99">
        <f t="shared" ca="1" si="21"/>
        <v>135.99993104066598</v>
      </c>
      <c r="X144" s="112">
        <f t="shared" ca="1" si="22"/>
        <v>39.999959765794245</v>
      </c>
      <c r="Y144" s="90">
        <f t="shared" ca="1" si="23"/>
        <v>79</v>
      </c>
      <c r="AA144" s="90" t="str">
        <f ca="1">IF($Y144="","",IF(OFFSET(C$55,'Intermediate Data'!$Y144,0)=-98,"Unknown",IF(OFFSET(C$55,'Intermediate Data'!$Y144,0)=-99,"N/A",OFFSET(C$55,'Intermediate Data'!$Y144,0))))</f>
        <v>Room AC</v>
      </c>
      <c r="AB144" s="90">
        <f ca="1">IF($Y144="","",IF(OFFSET(D$55,'Intermediate Data'!$Y144,0)=-98,"N/A",IF(OFFSET(D$55,'Intermediate Data'!$Y144,0)=-99,"N/A",OFFSET(D$55,'Intermediate Data'!$Y144,0))))</f>
        <v>0.09</v>
      </c>
      <c r="AC144" s="90">
        <f ca="1">IF($Y144="","",IF(OFFSET(E$55,'Intermediate Data'!$Y144,0)=-98,"N/A",IF(OFFSET(E$55,'Intermediate Data'!$Y144,0)=-99,"N/A",OFFSET(E$55,'Intermediate Data'!$Y144,0))))</f>
        <v>0.17593836027863638</v>
      </c>
      <c r="AD144" s="90" t="str">
        <f ca="1">IF($Y144="","",IF(OFFSET(F$55,'Intermediate Data'!$Y144,0)=-98,"N/A",IF(OFFSET(F$55,'Intermediate Data'!$Y144,0)=-99,"N/A",OFFSET(F$55,'Intermediate Data'!$Y144,0))))</f>
        <v>N/A</v>
      </c>
      <c r="AE144" s="90">
        <f ca="1">IF($Y144="","",IF(OFFSET(G$55,'Intermediate Data'!$Y144,0)=-98,"N/A",IF(OFFSET(G$55,'Intermediate Data'!$Y144,0)=-99,"N/A",OFFSET(G$55,'Intermediate Data'!$Y144,0))))</f>
        <v>0.16778750749333124</v>
      </c>
      <c r="AF144" s="90" t="str">
        <f ca="1">IF($Y144="","",IF(OFFSET(H$55,'Intermediate Data'!$Y144,0)=-98,"N/A",IF(OFFSET(H$55,'Intermediate Data'!$Y144,0)=-99,"N/A",OFFSET(H$55,'Intermediate Data'!$Y144,0))))</f>
        <v>N/A</v>
      </c>
      <c r="AG144" s="90">
        <f ca="1">IF($Y144="","",IF(OFFSET(I$55,'Intermediate Data'!$Y144,0)=-98,"N/A",IF(OFFSET(I$55,'Intermediate Data'!$Y144,0)=-99,"N/A",OFFSET(I$55,'Intermediate Data'!$Y144,0))))</f>
        <v>0.16778750749333124</v>
      </c>
      <c r="AH144" s="90" t="str">
        <f ca="1">IF($Y144="","",IF(OFFSET(J$55,'Intermediate Data'!$Y144,0)=-98,"N/A",IF(OFFSET(J$55,'Intermediate Data'!$Y144,0)=-99,"N/A",OFFSET(J$55,'Intermediate Data'!$Y144,0))))</f>
        <v>RASS</v>
      </c>
      <c r="AI144" s="90" t="str">
        <f ca="1">IF($Y144="","",IF(OFFSET(K$55,'Intermediate Data'!$Y144,0)=-98,"N/A",IF(OFFSET(K$55,'Intermediate Data'!$Y144,0)=-99,"N/A",OFFSET(K$55,'Intermediate Data'!$Y144,0))))</f>
        <v>N/A</v>
      </c>
      <c r="AJ144" s="90">
        <f ca="1">IF($Y144="","",IF(OFFSET(L$55,'Intermediate Data'!$Y144,0)=-98,"N/A",IF(OFFSET(L$55,'Intermediate Data'!$Y144,0)=-99,"N/A",OFFSET(L$55,'Intermediate Data'!$Y144,0))))</f>
        <v>0.20676044257001719</v>
      </c>
      <c r="AK144" s="90" t="str">
        <f ca="1">IF($Y144="","",IF(OFFSET(M$55,'Intermediate Data'!$Y144,0)=-98,"N/A",IF(OFFSET(M$55,'Intermediate Data'!$Y144,0)=-99,"N/A",OFFSET(M$55,'Intermediate Data'!$Y144,0))))</f>
        <v>N/A</v>
      </c>
      <c r="AL144" s="90">
        <f ca="1">IF($Y144="","",IF(OFFSET(N$55,'Intermediate Data'!$Y144,0)=-98,"N/A",IF(OFFSET(N$55,'Intermediate Data'!$Y144,0)=-99,"N/A",OFFSET(N$55,'Intermediate Data'!$Y144,0))))</f>
        <v>0.20626864540110718</v>
      </c>
      <c r="AM144" s="90" t="str">
        <f ca="1">IF($Y144="","",IF(OFFSET(O$55,'Intermediate Data'!$Y144,0)=-98,"N/A",IF(OFFSET(O$55,'Intermediate Data'!$Y144,0)=-99,"N/A",OFFSET(O$55,'Intermediate Data'!$Y144,0))))</f>
        <v>N/A</v>
      </c>
      <c r="AN144" s="90">
        <f ca="1">IF($Y144="","",IF(OFFSET(P$55,'Intermediate Data'!$Y144,0)=-98,"N/A",IF(OFFSET(P$55,'Intermediate Data'!$Y144,0)=-99,"N/A",OFFSET(P$55,'Intermediate Data'!$Y144,0))))</f>
        <v>0.20626864540110718</v>
      </c>
      <c r="AO144" s="90" t="str">
        <f ca="1">IF($Y144="","",IF(OFFSET(Q$55,'Intermediate Data'!$Y144,0)=-98,"N/A",IF(OFFSET(Q$55,'Intermediate Data'!$Y144,0)=-99,"N/A",OFFSET(Q$55,'Intermediate Data'!$Y144,0))))</f>
        <v>RASS</v>
      </c>
      <c r="AP144" s="697">
        <f ca="1">IF($Y144="","",IF(OFFSET(S$55,'Intermediate Data'!$Y144,0)=-98,"",IF(OFFSET(S$55,'Intermediate Data'!$Y144,0)=-99,"",OFFSET(S$55,'Intermediate Data'!$Y144,0))))</f>
        <v>-1.8000000000000016E-2</v>
      </c>
      <c r="AQ144" s="90">
        <f ca="1">IF($Y144="","",IF(OFFSET(T$55,'Intermediate Data'!$Y144,0)=-98,"Not published",IF(OFFSET(T$55,'Intermediate Data'!$Y144,0)=-99,"",OFFSET(T$55,'Intermediate Data'!$Y144,0))))</f>
        <v>0.72</v>
      </c>
      <c r="AR144" s="90">
        <f ca="1">IF($Y144="","",IF(OFFSET(U$55,'Intermediate Data'!$Y144,0)=-98,"Unknown",IF(OFFSET(U$55,'Intermediate Data'!$Y144,0)=-99,"",OFFSET(U$55,'Intermediate Data'!$Y144,0))))</f>
        <v>90</v>
      </c>
      <c r="AU144" s="112" t="str">
        <f ca="1">IF(AND(OFFSET(DATA!$F93,0,$AX$48)='Intermediate Data'!$AY$48,DATA!$E93="Tier 1"),IF(OR($AX$49=0,$AX$48=1),DATA!A93,IF(AND($AX$49=1,INDEX('Intermediate Data'!$AY$25:$AY$44,MATCH(DATA!$B93,'Intermediate Data'!$AX$25:$AX$44,0))=TRUE),DATA!A93,"")),"")</f>
        <v/>
      </c>
      <c r="AV144" s="112" t="str">
        <f ca="1">IF($AU144="","",DATA!B93)</f>
        <v/>
      </c>
      <c r="AW144" s="112" t="str">
        <f ca="1">IF(OR($AU144="",DATA!BI93=""),"",DATA!BI93)</f>
        <v/>
      </c>
      <c r="AX144" s="112" t="str">
        <f ca="1">IF(OR($AU144="",OFFSET(DATA!BK93,0,$AX$48)=""),"",OFFSET(DATA!BK93,0,$AX$48))</f>
        <v/>
      </c>
      <c r="AY144" s="112" t="str">
        <f ca="1">IF(OR($AU144="",OFFSET(DATA!BM93,0,$AX$48)=""),"",OFFSET(DATA!BM93,0,$AX$48))</f>
        <v/>
      </c>
      <c r="AZ144" s="112" t="str">
        <f ca="1">IF(OR($AU144="",OFFSET(DATA!BO93,0,'Intermediate Data'!$AX$48)=""),"",OFFSET(DATA!BO93,0,$AX$48))</f>
        <v/>
      </c>
      <c r="BA144" s="112" t="str">
        <f ca="1">IF(OR($AU144="",DATA!BQ93=""),"",DATA!BQ93)</f>
        <v/>
      </c>
      <c r="BB144" s="112" t="str">
        <f ca="1">IF($AU144="","",OFFSET(DATA!BS93,0,$AX$48))</f>
        <v/>
      </c>
      <c r="BC144" s="112" t="str">
        <f ca="1">IF($AU144="","",OFFSET(DATA!BU93,0,$AX$48))</f>
        <v/>
      </c>
      <c r="BD144" s="112" t="str">
        <f ca="1">IF($AU144="","",OFFSET(DATA!BW93,0,$AX$48))</f>
        <v/>
      </c>
      <c r="BE144" s="112" t="str">
        <f ca="1">IF($AU144="","",OFFSET(DATA!BY93,0,$AX$48))</f>
        <v/>
      </c>
      <c r="BF144" s="112" t="str">
        <f ca="1">IF($AU144="","",OFFSET(DATA!CA93,0,$AX$48))</f>
        <v/>
      </c>
      <c r="BG144" s="112" t="str">
        <f ca="1">IF($AU144="","",DATA!CC93)</f>
        <v/>
      </c>
      <c r="BH144" s="112" t="str">
        <f ca="1">IF($AU144="","",OFFSET(DATA!CE93,0,$AX$48))</f>
        <v/>
      </c>
      <c r="BI144" s="112" t="str">
        <f ca="1">IF($AU144="","",OFFSET(DATA!CG93,0,$AX$48))</f>
        <v/>
      </c>
      <c r="BJ144" s="112" t="str">
        <f ca="1">IF($AU144="","",OFFSET(DATA!CI93,0,$AX$48))</f>
        <v/>
      </c>
      <c r="BK144" s="112" t="str">
        <f ca="1">IF($AU144="","",OFFSET(DATA!CK93,0,$AX$48))</f>
        <v/>
      </c>
      <c r="BL144" s="112" t="str">
        <f ca="1">IF($AU144="","",OFFSET(DATA!CM93,0,$AX$48))</f>
        <v/>
      </c>
      <c r="BM144" s="112" t="str">
        <f ca="1">IF($AU144="","",DATA!BH93)</f>
        <v/>
      </c>
      <c r="BN144" s="112" t="str">
        <f ca="1">IF($AU144="","",DATA!DS93)</f>
        <v/>
      </c>
      <c r="BO144" s="112" t="str">
        <f ca="1">IF($AU144="","",DATA!DU93)</f>
        <v/>
      </c>
      <c r="BP144" s="112" t="str">
        <f ca="1">IF($AU144="","",DATA!DV93)</f>
        <v/>
      </c>
      <c r="BQ144" s="112" t="str">
        <f ca="1">IF($AU144="","",DATA!DX93)</f>
        <v/>
      </c>
      <c r="BR144" s="112" t="str">
        <f ca="1">IF($AU144="","",DATA!DZ93)</f>
        <v/>
      </c>
      <c r="BS144" s="171" t="str">
        <f ca="1">IF($AU144="","",DATA!EA93)</f>
        <v/>
      </c>
      <c r="BT144" s="171" t="str">
        <f ca="1">IF($AU144="","",DATA!EC93)</f>
        <v/>
      </c>
      <c r="BU144" s="171" t="str">
        <f ca="1">IF($AU144="","",DATA!EF93)</f>
        <v/>
      </c>
      <c r="BV144" s="113" t="str">
        <f t="shared" ca="1" si="24"/>
        <v/>
      </c>
      <c r="BW144" s="680" t="str">
        <f ca="1">IF(AU144="","",OFFSET(DATA!DC93,0,'Intermediate Data'!$AX$48))</f>
        <v/>
      </c>
      <c r="BX144" s="681" t="str">
        <f ca="1">IF($AU144="","",DATA!DG93)</f>
        <v/>
      </c>
      <c r="BY144" s="680" t="str">
        <f ca="1">IF($AU144="","",OFFSET(DATA!DE93,0,'Intermediate Data'!$AX$48))</f>
        <v/>
      </c>
      <c r="BZ144" s="681" t="str">
        <f ca="1">IF($AU144="","",DATA!DH93)</f>
        <v/>
      </c>
      <c r="CA144" s="90" t="str">
        <f t="shared" ca="1" si="25"/>
        <v/>
      </c>
      <c r="CB144" s="99" t="str">
        <f t="shared" ca="1" si="26"/>
        <v/>
      </c>
      <c r="CC144" s="90" t="str">
        <f t="shared" ca="1" si="27"/>
        <v/>
      </c>
      <c r="CD144" s="90" t="str">
        <f t="shared" ca="1" si="28"/>
        <v/>
      </c>
      <c r="CF144" s="90" t="str">
        <f ca="1">IF($CD144="","",IF(OFFSET(AV$55,'Intermediate Data'!$CD144,0)=-98,"Unknown",IF(OFFSET(AV$55,'Intermediate Data'!$CD144,0)=-99,"N/A",OFFSET(AV$55,'Intermediate Data'!$CD144,0))))</f>
        <v/>
      </c>
      <c r="CG144" s="90" t="str">
        <f ca="1">IF($CD144="","",IF(OFFSET(AW$55,'Intermediate Data'!$CD144,0)=-98,"",IF(OFFSET(AW$55,'Intermediate Data'!$CD144,0)=-99,"N/A",OFFSET(AW$55,'Intermediate Data'!$CD144,0))))</f>
        <v/>
      </c>
      <c r="CH144" s="90" t="str">
        <f ca="1">IF($CD144="","",IF(OFFSET(AX$55,'Intermediate Data'!$CD144,0)=-98,"Unknown",IF(OFFSET(AX$55,'Intermediate Data'!$CD144,0)=-99,"N/A",OFFSET(AX$55,'Intermediate Data'!$CD144,0))))</f>
        <v/>
      </c>
      <c r="CI144" s="125" t="str">
        <f ca="1">IF($CD144="","",IF(OFFSET(AY$55,'Intermediate Data'!$CD144,0)=-98,"Unknown",IF(OFFSET(AY$55,'Intermediate Data'!$CD144,0)=-99,"No spec",OFFSET(AY$55,'Intermediate Data'!$CD144,0))))</f>
        <v/>
      </c>
      <c r="CJ144" s="125" t="str">
        <f ca="1">IF($CD144="","",IF(OFFSET(AZ$55,'Intermediate Data'!$CD144,0)=-98,"Unknown",IF(OFFSET(AZ$55,'Intermediate Data'!$CD144,0)=-99,"N/A",OFFSET(AZ$55,'Intermediate Data'!$CD144,0))))</f>
        <v/>
      </c>
      <c r="CK144" s="90" t="str">
        <f ca="1">IF($CD144="","",IF(OFFSET(BA$55,'Intermediate Data'!$CD144,0)=-98,"Unknown",IF(OFFSET(BA$55,'Intermediate Data'!$CD144,0)=-99,"N/A",OFFSET(BA$55,'Intermediate Data'!$CD144,0))))</f>
        <v/>
      </c>
      <c r="CL144" s="90" t="str">
        <f ca="1">IF($CD144="","",IF(OFFSET(BB$55,'Intermediate Data'!$CD144,$AX$50)=-98,"Unknown",IF(OFFSET(BB$55,'Intermediate Data'!$CD144,$AX$50)="N/A","",OFFSET(BB$55,'Intermediate Data'!$CD144,$AX$50))))</f>
        <v/>
      </c>
      <c r="CM144" s="90" t="str">
        <f ca="1">IF($CD144="","",IF(OFFSET(BG$55,'Intermediate Data'!$CD144,0)="ET","ET",""))</f>
        <v/>
      </c>
      <c r="CN144" s="90" t="str">
        <f ca="1">IF($CD144="","",IF(OFFSET(BH$55,'Intermediate Data'!$CD144,$AX$50)=-98,"Unknown",IF(OFFSET(BH$55,'Intermediate Data'!$CD144,$AX$50)="N/A","",OFFSET(BH$55,'Intermediate Data'!$CD144,$AX$50))))</f>
        <v/>
      </c>
      <c r="CO144" s="90" t="str">
        <f ca="1">IF($CD144="","",IF(OFFSET(BM$55,'Intermediate Data'!$CD144,0)=-98,"Not published",IF(OFFSET(BM$55,'Intermediate Data'!$CD144,0)=-99,"No spec",OFFSET(BM$55,'Intermediate Data'!$CD144,0))))</f>
        <v/>
      </c>
      <c r="CP144" s="114" t="str">
        <f ca="1">IF($CD144="","",IF(OFFSET(BN$55,'Intermediate Data'!$CD144,0)=-98,"Unknown",IF(OFFSET(BN$55,'Intermediate Data'!$CD144,0)=-99,"N/A",OFFSET(BN$55,'Intermediate Data'!$CD144,0))))</f>
        <v/>
      </c>
      <c r="CQ144" s="114" t="str">
        <f ca="1">IF($CD144="","",IF(OFFSET(BO$55,'Intermediate Data'!$CD144,0)=-98,"Unknown",IF(OFFSET(BO$55,'Intermediate Data'!$CD144,0)=-99,"N/A",OFFSET(BO$55,'Intermediate Data'!$CD144,0))))</f>
        <v/>
      </c>
      <c r="CR144" s="114" t="str">
        <f ca="1">IF($CD144="","",IF(OFFSET(BP$55,'Intermediate Data'!$CD144,0)=-98,"Unknown",IF(OFFSET(BP$55,'Intermediate Data'!$CD144,0)=-99,"N/A",OFFSET(BP$55,'Intermediate Data'!$CD144,0))))</f>
        <v/>
      </c>
      <c r="CS144" s="114" t="str">
        <f ca="1">IF($CD144="","",IF(OFFSET(BQ$55,'Intermediate Data'!$CD144,0)=-98,"Unknown",IF(OFFSET(BQ$55,'Intermediate Data'!$CD144,0)=-99,"N/A",OFFSET(BQ$55,'Intermediate Data'!$CD144,0))))</f>
        <v/>
      </c>
      <c r="CT144" s="114" t="str">
        <f ca="1">IF($CD144="","",IF(OFFSET(BR$55,'Intermediate Data'!$CD144,0)=-98,"Unknown",IF(OFFSET(BR$55,'Intermediate Data'!$CD144,0)=-99,"N/A",OFFSET(BR$55,'Intermediate Data'!$CD144,0))))</f>
        <v/>
      </c>
      <c r="CU144" s="114" t="str">
        <f ca="1">IF($CD144="","",IF(OFFSET(BS$55,'Intermediate Data'!$CD144,0)=-98,"Unknown",IF(OFFSET(BS$55,'Intermediate Data'!$CD144,0)=-99,"N/A",OFFSET(BS$55,'Intermediate Data'!$CD144,0))))</f>
        <v/>
      </c>
      <c r="CV144" s="114" t="str">
        <f ca="1">IF($CD144="","",IF(OFFSET(BT$55,'Intermediate Data'!$CD144,0)=-98,"Unknown",IF(OFFSET(BT$55,'Intermediate Data'!$CD144,0)=-99,"N/A",OFFSET(BT$55,'Intermediate Data'!$CD144,0))))</f>
        <v/>
      </c>
      <c r="CW144" s="114" t="str">
        <f ca="1">IF($CD144="","",IF(OFFSET(BU$55,'Intermediate Data'!$CD144,0)=-98,"Unknown",IF(OFFSET(BU$55,'Intermediate Data'!$CD144,0)=-99,"N/A",OFFSET(BU$55,'Intermediate Data'!$CD144,0))))</f>
        <v/>
      </c>
      <c r="CX144" s="114" t="str">
        <f ca="1">IF($CD144="","",IF(OFFSET(BV$55,'Intermediate Data'!$CD144,0)=-98,"Unknown",IF(OFFSET(BV$55,'Intermediate Data'!$CD144,0)=-99,"N/A",OFFSET(BV$55,'Intermediate Data'!$CD144,0))))</f>
        <v/>
      </c>
      <c r="CY144" s="682" t="str">
        <f ca="1">IF($CD144="","",IF(OFFSET(BW$55,'Intermediate Data'!$CD144,0)=-98,"Unknown",IF(OFFSET(BW$55,'Intermediate Data'!$CD144,0)="N/A","",OFFSET(BW$55,'Intermediate Data'!$CD144,0))))</f>
        <v/>
      </c>
      <c r="CZ144" s="682" t="str">
        <f ca="1">IF($CD144="","",IF(OFFSET(BX$55,'Intermediate Data'!$CD144,0)=-98,"Unknown",IF(OFFSET(BX$55,'Intermediate Data'!$CD144,0)="N/A","",OFFSET(BX$55,'Intermediate Data'!$CD144,0))))</f>
        <v/>
      </c>
      <c r="DA144" s="682" t="str">
        <f ca="1">IF($CD144="","",IF(OFFSET(BY$55,'Intermediate Data'!$CD144,0)=-98,"Unknown",IF(OFFSET(BY$55,'Intermediate Data'!$CD144,0)="N/A","",OFFSET(BY$55,'Intermediate Data'!$CD144,0))))</f>
        <v/>
      </c>
      <c r="DB144" s="682" t="str">
        <f ca="1">IF($CD144="","",IF(OFFSET(BZ$55,'Intermediate Data'!$CD144,0)=-98,"Unknown",IF(OFFSET(BZ$55,'Intermediate Data'!$CD144,0)="N/A","",OFFSET(BZ$55,'Intermediate Data'!$CD144,0))))</f>
        <v/>
      </c>
    </row>
    <row r="145" spans="1:106" x14ac:dyDescent="0.2">
      <c r="A145" s="90">
        <f ca="1">IF(OFFSET(DATA!F94,0,$D$48)='Intermediate Data'!$E$48,IF(OR($E$49=$C$27,$E$48=$B$4),DATA!A94,IF($G$49=DATA!D94,DATA!A94,"")),"")</f>
        <v>90</v>
      </c>
      <c r="B145" s="90">
        <f ca="1">IF($A145="","",DATA!EH94)</f>
        <v>113</v>
      </c>
      <c r="C145" s="90" t="str">
        <f ca="1">IF($A145="","",DATA!B94)</f>
        <v>Copier</v>
      </c>
      <c r="D145" s="90">
        <f ca="1">IF($A145="","",OFFSET(DATA!$H94,0,($D$50*5)))</f>
        <v>-99</v>
      </c>
      <c r="E145" s="90">
        <f ca="1">IF($A145="","",OFFSET(DATA!$H94,0,($D$50*5)+1))</f>
        <v>0.110102559030024</v>
      </c>
      <c r="F145" s="90">
        <f ca="1">IF($A145="","",OFFSET(DATA!$H94,0,($D$50*5)+2))</f>
        <v>-99</v>
      </c>
      <c r="G145" s="90">
        <f ca="1">IF($A145="","",OFFSET(DATA!$H94,0,($D$50*5)+3))</f>
        <v>0.11008543765353025</v>
      </c>
      <c r="H145" s="90">
        <f ca="1">IF($A145="","",OFFSET(DATA!$H94,0,($D$50*5)+4))</f>
        <v>-99</v>
      </c>
      <c r="I145" s="90">
        <f t="shared" ca="1" si="17"/>
        <v>0.11008543765353025</v>
      </c>
      <c r="J145" s="90" t="str">
        <f t="shared" ca="1" si="18"/>
        <v>RASS</v>
      </c>
      <c r="K145" s="90">
        <f ca="1">IF($A145="","",OFFSET(DATA!$AG94,0,($D$50*5)))</f>
        <v>-99</v>
      </c>
      <c r="L145" s="90">
        <f ca="1">IF($A145="","",OFFSET(DATA!$AG94,0,($D$50*5)+1))</f>
        <v>0.11584965202713961</v>
      </c>
      <c r="M145" s="90">
        <f ca="1">IF($A145="","",OFFSET(DATA!$AG94,0,($D$50*5)+2))</f>
        <v>-99</v>
      </c>
      <c r="N145" s="90">
        <f ca="1">IF($A145="","",OFFSET(DATA!$AG94,0,($D$50*5)+3))</f>
        <v>0.11734146377682651</v>
      </c>
      <c r="O145" s="90">
        <f ca="1">IF($A145="","",OFFSET(DATA!$AG94,0,($D$50*5)+4))</f>
        <v>-99</v>
      </c>
      <c r="P145" s="90">
        <f t="shared" ca="1" si="19"/>
        <v>0.11734146377682651</v>
      </c>
      <c r="Q145" s="90" t="str">
        <f t="shared" ca="1" si="20"/>
        <v>RASS</v>
      </c>
      <c r="R145" s="699">
        <f ca="1">IF($A145="","",IF(DATA!BF94="",-99,DATA!BF94))</f>
        <v>-99</v>
      </c>
      <c r="S145" s="90">
        <f ca="1">IF($A145="","",IF(DATA!BG94="",-99,DATA!BF94-DATA!BG94))</f>
        <v>-99</v>
      </c>
      <c r="T145" s="90">
        <f ca="1">IF($A145="","",DATA!BH94)</f>
        <v>0.7</v>
      </c>
      <c r="U145" s="90">
        <f ca="1">IF($A145="","",OFFSET(DATA!BM94,0,$D$48))</f>
        <v>175</v>
      </c>
      <c r="V145" s="90">
        <f t="shared" ca="1" si="16"/>
        <v>113</v>
      </c>
      <c r="W145" s="99">
        <f t="shared" ca="1" si="21"/>
        <v>112.99996812779646</v>
      </c>
      <c r="X145" s="112">
        <f t="shared" ca="1" si="22"/>
        <v>38.99988120079</v>
      </c>
      <c r="Y145" s="90">
        <f t="shared" ca="1" si="23"/>
        <v>24</v>
      </c>
      <c r="AA145" s="90" t="str">
        <f ca="1">IF($Y145="","",IF(OFFSET(C$55,'Intermediate Data'!$Y145,0)=-98,"Unknown",IF(OFFSET(C$55,'Intermediate Data'!$Y145,0)=-99,"N/A",OFFSET(C$55,'Intermediate Data'!$Y145,0))))</f>
        <v>Rug cleaner</v>
      </c>
      <c r="AB145" s="90" t="str">
        <f ca="1">IF($Y145="","",IF(OFFSET(D$55,'Intermediate Data'!$Y145,0)=-98,"N/A",IF(OFFSET(D$55,'Intermediate Data'!$Y145,0)=-99,"N/A",OFFSET(D$55,'Intermediate Data'!$Y145,0))))</f>
        <v>N/A</v>
      </c>
      <c r="AC145" s="90" t="str">
        <f ca="1">IF($Y145="","",IF(OFFSET(E$55,'Intermediate Data'!$Y145,0)=-98,"N/A",IF(OFFSET(E$55,'Intermediate Data'!$Y145,0)=-99,"N/A",OFFSET(E$55,'Intermediate Data'!$Y145,0))))</f>
        <v>N/A</v>
      </c>
      <c r="AD145" s="90" t="str">
        <f ca="1">IF($Y145="","",IF(OFFSET(F$55,'Intermediate Data'!$Y145,0)=-98,"N/A",IF(OFFSET(F$55,'Intermediate Data'!$Y145,0)=-99,"N/A",OFFSET(F$55,'Intermediate Data'!$Y145,0))))</f>
        <v>N/A</v>
      </c>
      <c r="AE145" s="90" t="str">
        <f ca="1">IF($Y145="","",IF(OFFSET(G$55,'Intermediate Data'!$Y145,0)=-98,"N/A",IF(OFFSET(G$55,'Intermediate Data'!$Y145,0)=-99,"N/A",OFFSET(G$55,'Intermediate Data'!$Y145,0))))</f>
        <v>N/A</v>
      </c>
      <c r="AF145" s="90" t="str">
        <f ca="1">IF($Y145="","",IF(OFFSET(H$55,'Intermediate Data'!$Y145,0)=-98,"N/A",IF(OFFSET(H$55,'Intermediate Data'!$Y145,0)=-99,"N/A",OFFSET(H$55,'Intermediate Data'!$Y145,0))))</f>
        <v>N/A</v>
      </c>
      <c r="AG145" s="90" t="str">
        <f ca="1">IF($Y145="","",IF(OFFSET(I$55,'Intermediate Data'!$Y145,0)=-98,"N/A",IF(OFFSET(I$55,'Intermediate Data'!$Y145,0)=-99,"N/A",OFFSET(I$55,'Intermediate Data'!$Y145,0))))</f>
        <v>N/A</v>
      </c>
      <c r="AH145" s="90" t="str">
        <f ca="1">IF($Y145="","",IF(OFFSET(J$55,'Intermediate Data'!$Y145,0)=-98,"N/A",IF(OFFSET(J$55,'Intermediate Data'!$Y145,0)=-99,"N/A",OFFSET(J$55,'Intermediate Data'!$Y145,0))))</f>
        <v/>
      </c>
      <c r="AI145" s="90" t="str">
        <f ca="1">IF($Y145="","",IF(OFFSET(K$55,'Intermediate Data'!$Y145,0)=-98,"N/A",IF(OFFSET(K$55,'Intermediate Data'!$Y145,0)=-99,"N/A",OFFSET(K$55,'Intermediate Data'!$Y145,0))))</f>
        <v>N/A</v>
      </c>
      <c r="AJ145" s="90" t="str">
        <f ca="1">IF($Y145="","",IF(OFFSET(L$55,'Intermediate Data'!$Y145,0)=-98,"N/A",IF(OFFSET(L$55,'Intermediate Data'!$Y145,0)=-99,"N/A",OFFSET(L$55,'Intermediate Data'!$Y145,0))))</f>
        <v>N/A</v>
      </c>
      <c r="AK145" s="90" t="str">
        <f ca="1">IF($Y145="","",IF(OFFSET(M$55,'Intermediate Data'!$Y145,0)=-98,"N/A",IF(OFFSET(M$55,'Intermediate Data'!$Y145,0)=-99,"N/A",OFFSET(M$55,'Intermediate Data'!$Y145,0))))</f>
        <v>N/A</v>
      </c>
      <c r="AL145" s="90" t="str">
        <f ca="1">IF($Y145="","",IF(OFFSET(N$55,'Intermediate Data'!$Y145,0)=-98,"N/A",IF(OFFSET(N$55,'Intermediate Data'!$Y145,0)=-99,"N/A",OFFSET(N$55,'Intermediate Data'!$Y145,0))))</f>
        <v>N/A</v>
      </c>
      <c r="AM145" s="90" t="str">
        <f ca="1">IF($Y145="","",IF(OFFSET(O$55,'Intermediate Data'!$Y145,0)=-98,"N/A",IF(OFFSET(O$55,'Intermediate Data'!$Y145,0)=-99,"N/A",OFFSET(O$55,'Intermediate Data'!$Y145,0))))</f>
        <v>N/A</v>
      </c>
      <c r="AN145" s="90" t="str">
        <f ca="1">IF($Y145="","",IF(OFFSET(P$55,'Intermediate Data'!$Y145,0)=-98,"N/A",IF(OFFSET(P$55,'Intermediate Data'!$Y145,0)=-99,"N/A",OFFSET(P$55,'Intermediate Data'!$Y145,0))))</f>
        <v>N/A</v>
      </c>
      <c r="AO145" s="90" t="str">
        <f ca="1">IF($Y145="","",IF(OFFSET(Q$55,'Intermediate Data'!$Y145,0)=-98,"N/A",IF(OFFSET(Q$55,'Intermediate Data'!$Y145,0)=-99,"N/A",OFFSET(Q$55,'Intermediate Data'!$Y145,0))))</f>
        <v/>
      </c>
      <c r="AP145" s="697" t="str">
        <f ca="1">IF($Y145="","",IF(OFFSET(S$55,'Intermediate Data'!$Y145,0)=-98,"",IF(OFFSET(S$55,'Intermediate Data'!$Y145,0)=-99,"",OFFSET(S$55,'Intermediate Data'!$Y145,0))))</f>
        <v/>
      </c>
      <c r="AQ145" s="90" t="str">
        <f ca="1">IF($Y145="","",IF(OFFSET(T$55,'Intermediate Data'!$Y145,0)=-98,"Not published",IF(OFFSET(T$55,'Intermediate Data'!$Y145,0)=-99,"",OFFSET(T$55,'Intermediate Data'!$Y145,0))))</f>
        <v/>
      </c>
      <c r="AR145" s="90" t="str">
        <f ca="1">IF($Y145="","",IF(OFFSET(U$55,'Intermediate Data'!$Y145,0)=-98,"Unknown",IF(OFFSET(U$55,'Intermediate Data'!$Y145,0)=-99,"",OFFSET(U$55,'Intermediate Data'!$Y145,0))))</f>
        <v/>
      </c>
      <c r="AU145" s="112" t="str">
        <f ca="1">IF(AND(OFFSET(DATA!$F94,0,$AX$48)='Intermediate Data'!$AY$48,DATA!$E94="Tier 1"),IF(OR($AX$49=0,$AX$48=1),DATA!A94,IF(AND($AX$49=1,INDEX('Intermediate Data'!$AY$25:$AY$44,MATCH(DATA!$B94,'Intermediate Data'!$AX$25:$AX$44,0))=TRUE),DATA!A94,"")),"")</f>
        <v/>
      </c>
      <c r="AV145" s="112" t="str">
        <f ca="1">IF($AU145="","",DATA!B94)</f>
        <v/>
      </c>
      <c r="AW145" s="112" t="str">
        <f ca="1">IF(OR($AU145="",DATA!BI94=""),"",DATA!BI94)</f>
        <v/>
      </c>
      <c r="AX145" s="112" t="str">
        <f ca="1">IF(OR($AU145="",OFFSET(DATA!BK94,0,$AX$48)=""),"",OFFSET(DATA!BK94,0,$AX$48))</f>
        <v/>
      </c>
      <c r="AY145" s="112" t="str">
        <f ca="1">IF(OR($AU145="",OFFSET(DATA!BM94,0,$AX$48)=""),"",OFFSET(DATA!BM94,0,$AX$48))</f>
        <v/>
      </c>
      <c r="AZ145" s="112" t="str">
        <f ca="1">IF(OR($AU145="",OFFSET(DATA!BO94,0,'Intermediate Data'!$AX$48)=""),"",OFFSET(DATA!BO94,0,$AX$48))</f>
        <v/>
      </c>
      <c r="BA145" s="112" t="str">
        <f ca="1">IF(OR($AU145="",DATA!BQ94=""),"",DATA!BQ94)</f>
        <v/>
      </c>
      <c r="BB145" s="112" t="str">
        <f ca="1">IF($AU145="","",OFFSET(DATA!BS94,0,$AX$48))</f>
        <v/>
      </c>
      <c r="BC145" s="112" t="str">
        <f ca="1">IF($AU145="","",OFFSET(DATA!BU94,0,$AX$48))</f>
        <v/>
      </c>
      <c r="BD145" s="112" t="str">
        <f ca="1">IF($AU145="","",OFFSET(DATA!BW94,0,$AX$48))</f>
        <v/>
      </c>
      <c r="BE145" s="112" t="str">
        <f ca="1">IF($AU145="","",OFFSET(DATA!BY94,0,$AX$48))</f>
        <v/>
      </c>
      <c r="BF145" s="112" t="str">
        <f ca="1">IF($AU145="","",OFFSET(DATA!CA94,0,$AX$48))</f>
        <v/>
      </c>
      <c r="BG145" s="112" t="str">
        <f ca="1">IF($AU145="","",DATA!CC94)</f>
        <v/>
      </c>
      <c r="BH145" s="112" t="str">
        <f ca="1">IF($AU145="","",OFFSET(DATA!CE94,0,$AX$48))</f>
        <v/>
      </c>
      <c r="BI145" s="112" t="str">
        <f ca="1">IF($AU145="","",OFFSET(DATA!CG94,0,$AX$48))</f>
        <v/>
      </c>
      <c r="BJ145" s="112" t="str">
        <f ca="1">IF($AU145="","",OFFSET(DATA!CI94,0,$AX$48))</f>
        <v/>
      </c>
      <c r="BK145" s="112" t="str">
        <f ca="1">IF($AU145="","",OFFSET(DATA!CK94,0,$AX$48))</f>
        <v/>
      </c>
      <c r="BL145" s="112" t="str">
        <f ca="1">IF($AU145="","",OFFSET(DATA!CM94,0,$AX$48))</f>
        <v/>
      </c>
      <c r="BM145" s="112" t="str">
        <f ca="1">IF($AU145="","",DATA!BH94)</f>
        <v/>
      </c>
      <c r="BN145" s="112" t="str">
        <f ca="1">IF($AU145="","",DATA!DS94)</f>
        <v/>
      </c>
      <c r="BO145" s="112" t="str">
        <f ca="1">IF($AU145="","",DATA!DU94)</f>
        <v/>
      </c>
      <c r="BP145" s="112" t="str">
        <f ca="1">IF($AU145="","",DATA!DV94)</f>
        <v/>
      </c>
      <c r="BQ145" s="112" t="str">
        <f ca="1">IF($AU145="","",DATA!DX94)</f>
        <v/>
      </c>
      <c r="BR145" s="112" t="str">
        <f ca="1">IF($AU145="","",DATA!DZ94)</f>
        <v/>
      </c>
      <c r="BS145" s="171" t="str">
        <f ca="1">IF($AU145="","",DATA!EA94)</f>
        <v/>
      </c>
      <c r="BT145" s="171" t="str">
        <f ca="1">IF($AU145="","",DATA!EC94)</f>
        <v/>
      </c>
      <c r="BU145" s="171" t="str">
        <f ca="1">IF($AU145="","",DATA!EF94)</f>
        <v/>
      </c>
      <c r="BV145" s="113" t="str">
        <f t="shared" ca="1" si="24"/>
        <v/>
      </c>
      <c r="BW145" s="680" t="str">
        <f ca="1">IF(AU145="","",OFFSET(DATA!DC94,0,'Intermediate Data'!$AX$48))</f>
        <v/>
      </c>
      <c r="BX145" s="681" t="str">
        <f ca="1">IF($AU145="","",DATA!DG94)</f>
        <v/>
      </c>
      <c r="BY145" s="680" t="str">
        <f ca="1">IF($AU145="","",OFFSET(DATA!DE94,0,'Intermediate Data'!$AX$48))</f>
        <v/>
      </c>
      <c r="BZ145" s="681" t="str">
        <f ca="1">IF($AU145="","",DATA!DH94)</f>
        <v/>
      </c>
      <c r="CA145" s="90" t="str">
        <f t="shared" ca="1" si="25"/>
        <v/>
      </c>
      <c r="CB145" s="99" t="str">
        <f t="shared" ca="1" si="26"/>
        <v/>
      </c>
      <c r="CC145" s="90" t="str">
        <f t="shared" ca="1" si="27"/>
        <v/>
      </c>
      <c r="CD145" s="90" t="str">
        <f t="shared" ca="1" si="28"/>
        <v/>
      </c>
      <c r="CF145" s="90" t="str">
        <f ca="1">IF($CD145="","",IF(OFFSET(AV$55,'Intermediate Data'!$CD145,0)=-98,"Unknown",IF(OFFSET(AV$55,'Intermediate Data'!$CD145,0)=-99,"N/A",OFFSET(AV$55,'Intermediate Data'!$CD145,0))))</f>
        <v/>
      </c>
      <c r="CG145" s="90" t="str">
        <f ca="1">IF($CD145="","",IF(OFFSET(AW$55,'Intermediate Data'!$CD145,0)=-98,"",IF(OFFSET(AW$55,'Intermediate Data'!$CD145,0)=-99,"N/A",OFFSET(AW$55,'Intermediate Data'!$CD145,0))))</f>
        <v/>
      </c>
      <c r="CH145" s="90" t="str">
        <f ca="1">IF($CD145="","",IF(OFFSET(AX$55,'Intermediate Data'!$CD145,0)=-98,"Unknown",IF(OFFSET(AX$55,'Intermediate Data'!$CD145,0)=-99,"N/A",OFFSET(AX$55,'Intermediate Data'!$CD145,0))))</f>
        <v/>
      </c>
      <c r="CI145" s="125" t="str">
        <f ca="1">IF($CD145="","",IF(OFFSET(AY$55,'Intermediate Data'!$CD145,0)=-98,"Unknown",IF(OFFSET(AY$55,'Intermediate Data'!$CD145,0)=-99,"No spec",OFFSET(AY$55,'Intermediate Data'!$CD145,0))))</f>
        <v/>
      </c>
      <c r="CJ145" s="125" t="str">
        <f ca="1">IF($CD145="","",IF(OFFSET(AZ$55,'Intermediate Data'!$CD145,0)=-98,"Unknown",IF(OFFSET(AZ$55,'Intermediate Data'!$CD145,0)=-99,"N/A",OFFSET(AZ$55,'Intermediate Data'!$CD145,0))))</f>
        <v/>
      </c>
      <c r="CK145" s="90" t="str">
        <f ca="1">IF($CD145="","",IF(OFFSET(BA$55,'Intermediate Data'!$CD145,0)=-98,"Unknown",IF(OFFSET(BA$55,'Intermediate Data'!$CD145,0)=-99,"N/A",OFFSET(BA$55,'Intermediate Data'!$CD145,0))))</f>
        <v/>
      </c>
      <c r="CL145" s="90" t="str">
        <f ca="1">IF($CD145="","",IF(OFFSET(BB$55,'Intermediate Data'!$CD145,$AX$50)=-98,"Unknown",IF(OFFSET(BB$55,'Intermediate Data'!$CD145,$AX$50)="N/A","",OFFSET(BB$55,'Intermediate Data'!$CD145,$AX$50))))</f>
        <v/>
      </c>
      <c r="CM145" s="90" t="str">
        <f ca="1">IF($CD145="","",IF(OFFSET(BG$55,'Intermediate Data'!$CD145,0)="ET","ET",""))</f>
        <v/>
      </c>
      <c r="CN145" s="90" t="str">
        <f ca="1">IF($CD145="","",IF(OFFSET(BH$55,'Intermediate Data'!$CD145,$AX$50)=-98,"Unknown",IF(OFFSET(BH$55,'Intermediate Data'!$CD145,$AX$50)="N/A","",OFFSET(BH$55,'Intermediate Data'!$CD145,$AX$50))))</f>
        <v/>
      </c>
      <c r="CO145" s="90" t="str">
        <f ca="1">IF($CD145="","",IF(OFFSET(BM$55,'Intermediate Data'!$CD145,0)=-98,"Not published",IF(OFFSET(BM$55,'Intermediate Data'!$CD145,0)=-99,"No spec",OFFSET(BM$55,'Intermediate Data'!$CD145,0))))</f>
        <v/>
      </c>
      <c r="CP145" s="114" t="str">
        <f ca="1">IF($CD145="","",IF(OFFSET(BN$55,'Intermediate Data'!$CD145,0)=-98,"Unknown",IF(OFFSET(BN$55,'Intermediate Data'!$CD145,0)=-99,"N/A",OFFSET(BN$55,'Intermediate Data'!$CD145,0))))</f>
        <v/>
      </c>
      <c r="CQ145" s="114" t="str">
        <f ca="1">IF($CD145="","",IF(OFFSET(BO$55,'Intermediate Data'!$CD145,0)=-98,"Unknown",IF(OFFSET(BO$55,'Intermediate Data'!$CD145,0)=-99,"N/A",OFFSET(BO$55,'Intermediate Data'!$CD145,0))))</f>
        <v/>
      </c>
      <c r="CR145" s="114" t="str">
        <f ca="1">IF($CD145="","",IF(OFFSET(BP$55,'Intermediate Data'!$CD145,0)=-98,"Unknown",IF(OFFSET(BP$55,'Intermediate Data'!$CD145,0)=-99,"N/A",OFFSET(BP$55,'Intermediate Data'!$CD145,0))))</f>
        <v/>
      </c>
      <c r="CS145" s="114" t="str">
        <f ca="1">IF($CD145="","",IF(OFFSET(BQ$55,'Intermediate Data'!$CD145,0)=-98,"Unknown",IF(OFFSET(BQ$55,'Intermediate Data'!$CD145,0)=-99,"N/A",OFFSET(BQ$55,'Intermediate Data'!$CD145,0))))</f>
        <v/>
      </c>
      <c r="CT145" s="114" t="str">
        <f ca="1">IF($CD145="","",IF(OFFSET(BR$55,'Intermediate Data'!$CD145,0)=-98,"Unknown",IF(OFFSET(BR$55,'Intermediate Data'!$CD145,0)=-99,"N/A",OFFSET(BR$55,'Intermediate Data'!$CD145,0))))</f>
        <v/>
      </c>
      <c r="CU145" s="114" t="str">
        <f ca="1">IF($CD145="","",IF(OFFSET(BS$55,'Intermediate Data'!$CD145,0)=-98,"Unknown",IF(OFFSET(BS$55,'Intermediate Data'!$CD145,0)=-99,"N/A",OFFSET(BS$55,'Intermediate Data'!$CD145,0))))</f>
        <v/>
      </c>
      <c r="CV145" s="114" t="str">
        <f ca="1">IF($CD145="","",IF(OFFSET(BT$55,'Intermediate Data'!$CD145,0)=-98,"Unknown",IF(OFFSET(BT$55,'Intermediate Data'!$CD145,0)=-99,"N/A",OFFSET(BT$55,'Intermediate Data'!$CD145,0))))</f>
        <v/>
      </c>
      <c r="CW145" s="114" t="str">
        <f ca="1">IF($CD145="","",IF(OFFSET(BU$55,'Intermediate Data'!$CD145,0)=-98,"Unknown",IF(OFFSET(BU$55,'Intermediate Data'!$CD145,0)=-99,"N/A",OFFSET(BU$55,'Intermediate Data'!$CD145,0))))</f>
        <v/>
      </c>
      <c r="CX145" s="114" t="str">
        <f ca="1">IF($CD145="","",IF(OFFSET(BV$55,'Intermediate Data'!$CD145,0)=-98,"Unknown",IF(OFFSET(BV$55,'Intermediate Data'!$CD145,0)=-99,"N/A",OFFSET(BV$55,'Intermediate Data'!$CD145,0))))</f>
        <v/>
      </c>
      <c r="CY145" s="682" t="str">
        <f ca="1">IF($CD145="","",IF(OFFSET(BW$55,'Intermediate Data'!$CD145,0)=-98,"Unknown",IF(OFFSET(BW$55,'Intermediate Data'!$CD145,0)="N/A","",OFFSET(BW$55,'Intermediate Data'!$CD145,0))))</f>
        <v/>
      </c>
      <c r="CZ145" s="682" t="str">
        <f ca="1">IF($CD145="","",IF(OFFSET(BX$55,'Intermediate Data'!$CD145,0)=-98,"Unknown",IF(OFFSET(BX$55,'Intermediate Data'!$CD145,0)="N/A","",OFFSET(BX$55,'Intermediate Data'!$CD145,0))))</f>
        <v/>
      </c>
      <c r="DA145" s="682" t="str">
        <f ca="1">IF($CD145="","",IF(OFFSET(BY$55,'Intermediate Data'!$CD145,0)=-98,"Unknown",IF(OFFSET(BY$55,'Intermediate Data'!$CD145,0)="N/A","",OFFSET(BY$55,'Intermediate Data'!$CD145,0))))</f>
        <v/>
      </c>
      <c r="DB145" s="682" t="str">
        <f ca="1">IF($CD145="","",IF(OFFSET(BZ$55,'Intermediate Data'!$CD145,0)=-98,"Unknown",IF(OFFSET(BZ$55,'Intermediate Data'!$CD145,0)="N/A","",OFFSET(BZ$55,'Intermediate Data'!$CD145,0))))</f>
        <v/>
      </c>
    </row>
    <row r="146" spans="1:106" x14ac:dyDescent="0.2">
      <c r="A146" s="90">
        <f ca="1">IF(OFFSET(DATA!F95,0,$D$48)='Intermediate Data'!$E$48,IF(OR($E$49=$C$27,$E$48=$B$4),DATA!A95,IF($G$49=DATA!D95,DATA!A95,"")),"")</f>
        <v>91</v>
      </c>
      <c r="B146" s="90">
        <f ca="1">IF($A146="","",DATA!EH95)</f>
        <v>92</v>
      </c>
      <c r="C146" s="90" t="str">
        <f ca="1">IF($A146="","",DATA!B95)</f>
        <v>External hard drive</v>
      </c>
      <c r="D146" s="90">
        <f ca="1">IF($A146="","",OFFSET(DATA!$H95,0,($D$50*5)))</f>
        <v>-99</v>
      </c>
      <c r="E146" s="90">
        <f ca="1">IF($A146="","",OFFSET(DATA!$H95,0,($D$50*5)+1))</f>
        <v>-99</v>
      </c>
      <c r="F146" s="90">
        <f ca="1">IF($A146="","",OFFSET(DATA!$H95,0,($D$50*5)+2))</f>
        <v>-99</v>
      </c>
      <c r="G146" s="90">
        <f ca="1">IF($A146="","",OFFSET(DATA!$H95,0,($D$50*5)+3))</f>
        <v>-99</v>
      </c>
      <c r="H146" s="90">
        <f ca="1">IF($A146="","",OFFSET(DATA!$H95,0,($D$50*5)+4))</f>
        <v>-99</v>
      </c>
      <c r="I146" s="90">
        <f t="shared" ca="1" si="17"/>
        <v>-99</v>
      </c>
      <c r="J146" s="90" t="str">
        <f t="shared" ca="1" si="18"/>
        <v/>
      </c>
      <c r="K146" s="90">
        <f ca="1">IF($A146="","",OFFSET(DATA!$AG95,0,($D$50*5)))</f>
        <v>-99</v>
      </c>
      <c r="L146" s="90">
        <f ca="1">IF($A146="","",OFFSET(DATA!$AG95,0,($D$50*5)+1))</f>
        <v>-99</v>
      </c>
      <c r="M146" s="90">
        <f ca="1">IF($A146="","",OFFSET(DATA!$AG95,0,($D$50*5)+2))</f>
        <v>-99</v>
      </c>
      <c r="N146" s="90">
        <f ca="1">IF($A146="","",OFFSET(DATA!$AG95,0,($D$50*5)+3))</f>
        <v>-99</v>
      </c>
      <c r="O146" s="90">
        <f ca="1">IF($A146="","",OFFSET(DATA!$AG95,0,($D$50*5)+4))</f>
        <v>-99</v>
      </c>
      <c r="P146" s="90">
        <f t="shared" ca="1" si="19"/>
        <v>-99</v>
      </c>
      <c r="Q146" s="90" t="str">
        <f t="shared" ca="1" si="20"/>
        <v/>
      </c>
      <c r="R146" s="699">
        <f ca="1">IF($A146="","",IF(DATA!BF95="",-99,DATA!BF95))</f>
        <v>-99</v>
      </c>
      <c r="S146" s="90">
        <f ca="1">IF($A146="","",IF(DATA!BG95="",-99,DATA!BF95-DATA!BG95))</f>
        <v>-99</v>
      </c>
      <c r="T146" s="90">
        <f ca="1">IF($A146="","",DATA!BH95)</f>
        <v>-99</v>
      </c>
      <c r="U146" s="90">
        <f ca="1">IF($A146="","",OFFSET(DATA!BM95,0,$D$48))</f>
        <v>-99</v>
      </c>
      <c r="V146" s="90">
        <f t="shared" ca="1" si="16"/>
        <v>92</v>
      </c>
      <c r="W146" s="99">
        <f t="shared" ca="1" si="21"/>
        <v>91.999881201459999</v>
      </c>
      <c r="X146" s="112">
        <f t="shared" ca="1" si="22"/>
        <v>37.999930705754949</v>
      </c>
      <c r="Y146" s="90">
        <f t="shared" ca="1" si="23"/>
        <v>110</v>
      </c>
      <c r="AA146" s="90" t="str">
        <f ca="1">IF($Y146="","",IF(OFFSET(C$55,'Intermediate Data'!$Y146,0)=-98,"Unknown",IF(OFFSET(C$55,'Intermediate Data'!$Y146,0)=-99,"N/A",OFFSET(C$55,'Intermediate Data'!$Y146,0))))</f>
        <v>Sauna</v>
      </c>
      <c r="AB146" s="90" t="str">
        <f ca="1">IF($Y146="","",IF(OFFSET(D$55,'Intermediate Data'!$Y146,0)=-98,"N/A",IF(OFFSET(D$55,'Intermediate Data'!$Y146,0)=-99,"N/A",OFFSET(D$55,'Intermediate Data'!$Y146,0))))</f>
        <v>N/A</v>
      </c>
      <c r="AC146" s="90">
        <f ca="1">IF($Y146="","",IF(OFFSET(E$55,'Intermediate Data'!$Y146,0)=-98,"N/A",IF(OFFSET(E$55,'Intermediate Data'!$Y146,0)=-99,"N/A",OFFSET(E$55,'Intermediate Data'!$Y146,0))))</f>
        <v>7.8222873142073206E-3</v>
      </c>
      <c r="AD146" s="90" t="str">
        <f ca="1">IF($Y146="","",IF(OFFSET(F$55,'Intermediate Data'!$Y146,0)=-98,"N/A",IF(OFFSET(F$55,'Intermediate Data'!$Y146,0)=-99,"N/A",OFFSET(F$55,'Intermediate Data'!$Y146,0))))</f>
        <v>N/A</v>
      </c>
      <c r="AE146" s="90">
        <f ca="1">IF($Y146="","",IF(OFFSET(G$55,'Intermediate Data'!$Y146,0)=-98,"N/A",IF(OFFSET(G$55,'Intermediate Data'!$Y146,0)=-99,"N/A",OFFSET(G$55,'Intermediate Data'!$Y146,0))))</f>
        <v>8.358238643330072E-3</v>
      </c>
      <c r="AF146" s="90" t="str">
        <f ca="1">IF($Y146="","",IF(OFFSET(H$55,'Intermediate Data'!$Y146,0)=-98,"N/A",IF(OFFSET(H$55,'Intermediate Data'!$Y146,0)=-99,"N/A",OFFSET(H$55,'Intermediate Data'!$Y146,0))))</f>
        <v>N/A</v>
      </c>
      <c r="AG146" s="90">
        <f ca="1">IF($Y146="","",IF(OFFSET(I$55,'Intermediate Data'!$Y146,0)=-98,"N/A",IF(OFFSET(I$55,'Intermediate Data'!$Y146,0)=-99,"N/A",OFFSET(I$55,'Intermediate Data'!$Y146,0))))</f>
        <v>8.358238643330072E-3</v>
      </c>
      <c r="AH146" s="90" t="str">
        <f ca="1">IF($Y146="","",IF(OFFSET(J$55,'Intermediate Data'!$Y146,0)=-98,"N/A",IF(OFFSET(J$55,'Intermediate Data'!$Y146,0)=-99,"N/A",OFFSET(J$55,'Intermediate Data'!$Y146,0))))</f>
        <v>RASS</v>
      </c>
      <c r="AI146" s="90" t="str">
        <f ca="1">IF($Y146="","",IF(OFFSET(K$55,'Intermediate Data'!$Y146,0)=-98,"N/A",IF(OFFSET(K$55,'Intermediate Data'!$Y146,0)=-99,"N/A",OFFSET(K$55,'Intermediate Data'!$Y146,0))))</f>
        <v>N/A</v>
      </c>
      <c r="AJ146" s="90">
        <f ca="1">IF($Y146="","",IF(OFFSET(L$55,'Intermediate Data'!$Y146,0)=-98,"N/A",IF(OFFSET(L$55,'Intermediate Data'!$Y146,0)=-99,"N/A",OFFSET(L$55,'Intermediate Data'!$Y146,0))))</f>
        <v>7.920143926447373E-3</v>
      </c>
      <c r="AK146" s="90" t="str">
        <f ca="1">IF($Y146="","",IF(OFFSET(M$55,'Intermediate Data'!$Y146,0)=-98,"N/A",IF(OFFSET(M$55,'Intermediate Data'!$Y146,0)=-99,"N/A",OFFSET(M$55,'Intermediate Data'!$Y146,0))))</f>
        <v>N/A</v>
      </c>
      <c r="AL146" s="90">
        <f ca="1">IF($Y146="","",IF(OFFSET(N$55,'Intermediate Data'!$Y146,0)=-98,"N/A",IF(OFFSET(N$55,'Intermediate Data'!$Y146,0)=-99,"N/A",OFFSET(N$55,'Intermediate Data'!$Y146,0))))</f>
        <v>8.5905611976979934E-3</v>
      </c>
      <c r="AM146" s="90" t="str">
        <f ca="1">IF($Y146="","",IF(OFFSET(O$55,'Intermediate Data'!$Y146,0)=-98,"N/A",IF(OFFSET(O$55,'Intermediate Data'!$Y146,0)=-99,"N/A",OFFSET(O$55,'Intermediate Data'!$Y146,0))))</f>
        <v>N/A</v>
      </c>
      <c r="AN146" s="90">
        <f ca="1">IF($Y146="","",IF(OFFSET(P$55,'Intermediate Data'!$Y146,0)=-98,"N/A",IF(OFFSET(P$55,'Intermediate Data'!$Y146,0)=-99,"N/A",OFFSET(P$55,'Intermediate Data'!$Y146,0))))</f>
        <v>8.5905611976979934E-3</v>
      </c>
      <c r="AO146" s="90" t="str">
        <f ca="1">IF($Y146="","",IF(OFFSET(Q$55,'Intermediate Data'!$Y146,0)=-98,"N/A",IF(OFFSET(Q$55,'Intermediate Data'!$Y146,0)=-99,"N/A",OFFSET(Q$55,'Intermediate Data'!$Y146,0))))</f>
        <v>RASS</v>
      </c>
      <c r="AP146" s="697" t="str">
        <f ca="1">IF($Y146="","",IF(OFFSET(S$55,'Intermediate Data'!$Y146,0)=-98,"",IF(OFFSET(S$55,'Intermediate Data'!$Y146,0)=-99,"",OFFSET(S$55,'Intermediate Data'!$Y146,0))))</f>
        <v/>
      </c>
      <c r="AQ146" s="90" t="str">
        <f ca="1">IF($Y146="","",IF(OFFSET(T$55,'Intermediate Data'!$Y146,0)=-98,"Not published",IF(OFFSET(T$55,'Intermediate Data'!$Y146,0)=-99,"",OFFSET(T$55,'Intermediate Data'!$Y146,0))))</f>
        <v/>
      </c>
      <c r="AR146" s="90" t="str">
        <f ca="1">IF($Y146="","",IF(OFFSET(U$55,'Intermediate Data'!$Y146,0)=-98,"Unknown",IF(OFFSET(U$55,'Intermediate Data'!$Y146,0)=-99,"",OFFSET(U$55,'Intermediate Data'!$Y146,0))))</f>
        <v/>
      </c>
      <c r="AU146" s="112" t="str">
        <f ca="1">IF(AND(OFFSET(DATA!$F95,0,$AX$48)='Intermediate Data'!$AY$48,DATA!$E95="Tier 1"),IF(OR($AX$49=0,$AX$48=1),DATA!A95,IF(AND($AX$49=1,INDEX('Intermediate Data'!$AY$25:$AY$44,MATCH(DATA!$B95,'Intermediate Data'!$AX$25:$AX$44,0))=TRUE),DATA!A95,"")),"")</f>
        <v/>
      </c>
      <c r="AV146" s="112" t="str">
        <f ca="1">IF($AU146="","",DATA!B95)</f>
        <v/>
      </c>
      <c r="AW146" s="112" t="str">
        <f ca="1">IF(OR($AU146="",DATA!BI95=""),"",DATA!BI95)</f>
        <v/>
      </c>
      <c r="AX146" s="112" t="str">
        <f ca="1">IF(OR($AU146="",OFFSET(DATA!BK95,0,$AX$48)=""),"",OFFSET(DATA!BK95,0,$AX$48))</f>
        <v/>
      </c>
      <c r="AY146" s="112" t="str">
        <f ca="1">IF(OR($AU146="",OFFSET(DATA!BM95,0,$AX$48)=""),"",OFFSET(DATA!BM95,0,$AX$48))</f>
        <v/>
      </c>
      <c r="AZ146" s="112" t="str">
        <f ca="1">IF(OR($AU146="",OFFSET(DATA!BO95,0,'Intermediate Data'!$AX$48)=""),"",OFFSET(DATA!BO95,0,$AX$48))</f>
        <v/>
      </c>
      <c r="BA146" s="112" t="str">
        <f ca="1">IF(OR($AU146="",DATA!BQ95=""),"",DATA!BQ95)</f>
        <v/>
      </c>
      <c r="BB146" s="112" t="str">
        <f ca="1">IF($AU146="","",OFFSET(DATA!BS95,0,$AX$48))</f>
        <v/>
      </c>
      <c r="BC146" s="112" t="str">
        <f ca="1">IF($AU146="","",OFFSET(DATA!BU95,0,$AX$48))</f>
        <v/>
      </c>
      <c r="BD146" s="112" t="str">
        <f ca="1">IF($AU146="","",OFFSET(DATA!BW95,0,$AX$48))</f>
        <v/>
      </c>
      <c r="BE146" s="112" t="str">
        <f ca="1">IF($AU146="","",OFFSET(DATA!BY95,0,$AX$48))</f>
        <v/>
      </c>
      <c r="BF146" s="112" t="str">
        <f ca="1">IF($AU146="","",OFFSET(DATA!CA95,0,$AX$48))</f>
        <v/>
      </c>
      <c r="BG146" s="112" t="str">
        <f ca="1">IF($AU146="","",DATA!CC95)</f>
        <v/>
      </c>
      <c r="BH146" s="112" t="str">
        <f ca="1">IF($AU146="","",OFFSET(DATA!CE95,0,$AX$48))</f>
        <v/>
      </c>
      <c r="BI146" s="112" t="str">
        <f ca="1">IF($AU146="","",OFFSET(DATA!CG95,0,$AX$48))</f>
        <v/>
      </c>
      <c r="BJ146" s="112" t="str">
        <f ca="1">IF($AU146="","",OFFSET(DATA!CI95,0,$AX$48))</f>
        <v/>
      </c>
      <c r="BK146" s="112" t="str">
        <f ca="1">IF($AU146="","",OFFSET(DATA!CK95,0,$AX$48))</f>
        <v/>
      </c>
      <c r="BL146" s="112" t="str">
        <f ca="1">IF($AU146="","",OFFSET(DATA!CM95,0,$AX$48))</f>
        <v/>
      </c>
      <c r="BM146" s="112" t="str">
        <f ca="1">IF($AU146="","",DATA!BH95)</f>
        <v/>
      </c>
      <c r="BN146" s="112" t="str">
        <f ca="1">IF($AU146="","",DATA!DS95)</f>
        <v/>
      </c>
      <c r="BO146" s="112" t="str">
        <f ca="1">IF($AU146="","",DATA!DU95)</f>
        <v/>
      </c>
      <c r="BP146" s="112" t="str">
        <f ca="1">IF($AU146="","",DATA!DV95)</f>
        <v/>
      </c>
      <c r="BQ146" s="112" t="str">
        <f ca="1">IF($AU146="","",DATA!DX95)</f>
        <v/>
      </c>
      <c r="BR146" s="112" t="str">
        <f ca="1">IF($AU146="","",DATA!DZ95)</f>
        <v/>
      </c>
      <c r="BS146" s="171" t="str">
        <f ca="1">IF($AU146="","",DATA!EA95)</f>
        <v/>
      </c>
      <c r="BT146" s="171" t="str">
        <f ca="1">IF($AU146="","",DATA!EC95)</f>
        <v/>
      </c>
      <c r="BU146" s="171" t="str">
        <f ca="1">IF($AU146="","",DATA!EF95)</f>
        <v/>
      </c>
      <c r="BV146" s="113" t="str">
        <f t="shared" ca="1" si="24"/>
        <v/>
      </c>
      <c r="BW146" s="680" t="str">
        <f ca="1">IF(AU146="","",OFFSET(DATA!DC95,0,'Intermediate Data'!$AX$48))</f>
        <v/>
      </c>
      <c r="BX146" s="681" t="str">
        <f ca="1">IF($AU146="","",DATA!DG95)</f>
        <v/>
      </c>
      <c r="BY146" s="680" t="str">
        <f ca="1">IF($AU146="","",OFFSET(DATA!DE95,0,'Intermediate Data'!$AX$48))</f>
        <v/>
      </c>
      <c r="BZ146" s="681" t="str">
        <f ca="1">IF($AU146="","",DATA!DH95)</f>
        <v/>
      </c>
      <c r="CA146" s="90" t="str">
        <f t="shared" ca="1" si="25"/>
        <v/>
      </c>
      <c r="CB146" s="99" t="str">
        <f t="shared" ca="1" si="26"/>
        <v/>
      </c>
      <c r="CC146" s="90" t="str">
        <f t="shared" ca="1" si="27"/>
        <v/>
      </c>
      <c r="CD146" s="90" t="str">
        <f t="shared" ca="1" si="28"/>
        <v/>
      </c>
      <c r="CF146" s="90" t="str">
        <f ca="1">IF($CD146="","",IF(OFFSET(AV$55,'Intermediate Data'!$CD146,0)=-98,"Unknown",IF(OFFSET(AV$55,'Intermediate Data'!$CD146,0)=-99,"N/A",OFFSET(AV$55,'Intermediate Data'!$CD146,0))))</f>
        <v/>
      </c>
      <c r="CG146" s="90" t="str">
        <f ca="1">IF($CD146="","",IF(OFFSET(AW$55,'Intermediate Data'!$CD146,0)=-98,"",IF(OFFSET(AW$55,'Intermediate Data'!$CD146,0)=-99,"N/A",OFFSET(AW$55,'Intermediate Data'!$CD146,0))))</f>
        <v/>
      </c>
      <c r="CH146" s="90" t="str">
        <f ca="1">IF($CD146="","",IF(OFFSET(AX$55,'Intermediate Data'!$CD146,0)=-98,"Unknown",IF(OFFSET(AX$55,'Intermediate Data'!$CD146,0)=-99,"N/A",OFFSET(AX$55,'Intermediate Data'!$CD146,0))))</f>
        <v/>
      </c>
      <c r="CI146" s="125" t="str">
        <f ca="1">IF($CD146="","",IF(OFFSET(AY$55,'Intermediate Data'!$CD146,0)=-98,"Unknown",IF(OFFSET(AY$55,'Intermediate Data'!$CD146,0)=-99,"No spec",OFFSET(AY$55,'Intermediate Data'!$CD146,0))))</f>
        <v/>
      </c>
      <c r="CJ146" s="125" t="str">
        <f ca="1">IF($CD146="","",IF(OFFSET(AZ$55,'Intermediate Data'!$CD146,0)=-98,"Unknown",IF(OFFSET(AZ$55,'Intermediate Data'!$CD146,0)=-99,"N/A",OFFSET(AZ$55,'Intermediate Data'!$CD146,0))))</f>
        <v/>
      </c>
      <c r="CK146" s="90" t="str">
        <f ca="1">IF($CD146="","",IF(OFFSET(BA$55,'Intermediate Data'!$CD146,0)=-98,"Unknown",IF(OFFSET(BA$55,'Intermediate Data'!$CD146,0)=-99,"N/A",OFFSET(BA$55,'Intermediate Data'!$CD146,0))))</f>
        <v/>
      </c>
      <c r="CL146" s="90" t="str">
        <f ca="1">IF($CD146="","",IF(OFFSET(BB$55,'Intermediate Data'!$CD146,$AX$50)=-98,"Unknown",IF(OFFSET(BB$55,'Intermediate Data'!$CD146,$AX$50)="N/A","",OFFSET(BB$55,'Intermediate Data'!$CD146,$AX$50))))</f>
        <v/>
      </c>
      <c r="CM146" s="90" t="str">
        <f ca="1">IF($CD146="","",IF(OFFSET(BG$55,'Intermediate Data'!$CD146,0)="ET","ET",""))</f>
        <v/>
      </c>
      <c r="CN146" s="90" t="str">
        <f ca="1">IF($CD146="","",IF(OFFSET(BH$55,'Intermediate Data'!$CD146,$AX$50)=-98,"Unknown",IF(OFFSET(BH$55,'Intermediate Data'!$CD146,$AX$50)="N/A","",OFFSET(BH$55,'Intermediate Data'!$CD146,$AX$50))))</f>
        <v/>
      </c>
      <c r="CO146" s="90" t="str">
        <f ca="1">IF($CD146="","",IF(OFFSET(BM$55,'Intermediate Data'!$CD146,0)=-98,"Not published",IF(OFFSET(BM$55,'Intermediate Data'!$CD146,0)=-99,"No spec",OFFSET(BM$55,'Intermediate Data'!$CD146,0))))</f>
        <v/>
      </c>
      <c r="CP146" s="114" t="str">
        <f ca="1">IF($CD146="","",IF(OFFSET(BN$55,'Intermediate Data'!$CD146,0)=-98,"Unknown",IF(OFFSET(BN$55,'Intermediate Data'!$CD146,0)=-99,"N/A",OFFSET(BN$55,'Intermediate Data'!$CD146,0))))</f>
        <v/>
      </c>
      <c r="CQ146" s="114" t="str">
        <f ca="1">IF($CD146="","",IF(OFFSET(BO$55,'Intermediate Data'!$CD146,0)=-98,"Unknown",IF(OFFSET(BO$55,'Intermediate Data'!$CD146,0)=-99,"N/A",OFFSET(BO$55,'Intermediate Data'!$CD146,0))))</f>
        <v/>
      </c>
      <c r="CR146" s="114" t="str">
        <f ca="1">IF($CD146="","",IF(OFFSET(BP$55,'Intermediate Data'!$CD146,0)=-98,"Unknown",IF(OFFSET(BP$55,'Intermediate Data'!$CD146,0)=-99,"N/A",OFFSET(BP$55,'Intermediate Data'!$CD146,0))))</f>
        <v/>
      </c>
      <c r="CS146" s="114" t="str">
        <f ca="1">IF($CD146="","",IF(OFFSET(BQ$55,'Intermediate Data'!$CD146,0)=-98,"Unknown",IF(OFFSET(BQ$55,'Intermediate Data'!$CD146,0)=-99,"N/A",OFFSET(BQ$55,'Intermediate Data'!$CD146,0))))</f>
        <v/>
      </c>
      <c r="CT146" s="114" t="str">
        <f ca="1">IF($CD146="","",IF(OFFSET(BR$55,'Intermediate Data'!$CD146,0)=-98,"Unknown",IF(OFFSET(BR$55,'Intermediate Data'!$CD146,0)=-99,"N/A",OFFSET(BR$55,'Intermediate Data'!$CD146,0))))</f>
        <v/>
      </c>
      <c r="CU146" s="114" t="str">
        <f ca="1">IF($CD146="","",IF(OFFSET(BS$55,'Intermediate Data'!$CD146,0)=-98,"Unknown",IF(OFFSET(BS$55,'Intermediate Data'!$CD146,0)=-99,"N/A",OFFSET(BS$55,'Intermediate Data'!$CD146,0))))</f>
        <v/>
      </c>
      <c r="CV146" s="114" t="str">
        <f ca="1">IF($CD146="","",IF(OFFSET(BT$55,'Intermediate Data'!$CD146,0)=-98,"Unknown",IF(OFFSET(BT$55,'Intermediate Data'!$CD146,0)=-99,"N/A",OFFSET(BT$55,'Intermediate Data'!$CD146,0))))</f>
        <v/>
      </c>
      <c r="CW146" s="114" t="str">
        <f ca="1">IF($CD146="","",IF(OFFSET(BU$55,'Intermediate Data'!$CD146,0)=-98,"Unknown",IF(OFFSET(BU$55,'Intermediate Data'!$CD146,0)=-99,"N/A",OFFSET(BU$55,'Intermediate Data'!$CD146,0))))</f>
        <v/>
      </c>
      <c r="CX146" s="114" t="str">
        <f ca="1">IF($CD146="","",IF(OFFSET(BV$55,'Intermediate Data'!$CD146,0)=-98,"Unknown",IF(OFFSET(BV$55,'Intermediate Data'!$CD146,0)=-99,"N/A",OFFSET(BV$55,'Intermediate Data'!$CD146,0))))</f>
        <v/>
      </c>
      <c r="CY146" s="682" t="str">
        <f ca="1">IF($CD146="","",IF(OFFSET(BW$55,'Intermediate Data'!$CD146,0)=-98,"Unknown",IF(OFFSET(BW$55,'Intermediate Data'!$CD146,0)="N/A","",OFFSET(BW$55,'Intermediate Data'!$CD146,0))))</f>
        <v/>
      </c>
      <c r="CZ146" s="682" t="str">
        <f ca="1">IF($CD146="","",IF(OFFSET(BX$55,'Intermediate Data'!$CD146,0)=-98,"Unknown",IF(OFFSET(BX$55,'Intermediate Data'!$CD146,0)="N/A","",OFFSET(BX$55,'Intermediate Data'!$CD146,0))))</f>
        <v/>
      </c>
      <c r="DA146" s="682" t="str">
        <f ca="1">IF($CD146="","",IF(OFFSET(BY$55,'Intermediate Data'!$CD146,0)=-98,"Unknown",IF(OFFSET(BY$55,'Intermediate Data'!$CD146,0)="N/A","",OFFSET(BY$55,'Intermediate Data'!$CD146,0))))</f>
        <v/>
      </c>
      <c r="DB146" s="682" t="str">
        <f ca="1">IF($CD146="","",IF(OFFSET(BZ$55,'Intermediate Data'!$CD146,0)=-98,"Unknown",IF(OFFSET(BZ$55,'Intermediate Data'!$CD146,0)="N/A","",OFFSET(BZ$55,'Intermediate Data'!$CD146,0))))</f>
        <v/>
      </c>
    </row>
    <row r="147" spans="1:106" x14ac:dyDescent="0.2">
      <c r="A147" s="90">
        <f ca="1">IF(OFFSET(DATA!F96,0,$D$48)='Intermediate Data'!$E$48,IF(OR($E$49=$C$27,$E$48=$B$4),DATA!A96,IF($G$49=DATA!D96,DATA!A96,"")),"")</f>
        <v>92</v>
      </c>
      <c r="B147" s="90">
        <f ca="1">IF($A147="","",DATA!EH96)</f>
        <v>91</v>
      </c>
      <c r="C147" s="90" t="str">
        <f ca="1">IF($A147="","",DATA!B96)</f>
        <v>Fax</v>
      </c>
      <c r="D147" s="90">
        <f ca="1">IF($A147="","",OFFSET(DATA!$H96,0,($D$50*5)))</f>
        <v>-99</v>
      </c>
      <c r="E147" s="90">
        <f ca="1">IF($A147="","",OFFSET(DATA!$H96,0,($D$50*5)+1))</f>
        <v>0.15970897337728876</v>
      </c>
      <c r="F147" s="90">
        <f ca="1">IF($A147="","",OFFSET(DATA!$H96,0,($D$50*5)+2))</f>
        <v>-99</v>
      </c>
      <c r="G147" s="90">
        <f ca="1">IF($A147="","",OFFSET(DATA!$H96,0,($D$50*5)+3))</f>
        <v>0.11733432045994785</v>
      </c>
      <c r="H147" s="90">
        <f ca="1">IF($A147="","",OFFSET(DATA!$H96,0,($D$50*5)+4))</f>
        <v>-99</v>
      </c>
      <c r="I147" s="90">
        <f t="shared" ca="1" si="17"/>
        <v>0.11733432045994785</v>
      </c>
      <c r="J147" s="90" t="str">
        <f t="shared" ca="1" si="18"/>
        <v>RASS</v>
      </c>
      <c r="K147" s="90">
        <f ca="1">IF($A147="","",OFFSET(DATA!$AG96,0,($D$50*5)))</f>
        <v>-99</v>
      </c>
      <c r="L147" s="90">
        <f ca="1">IF($A147="","",OFFSET(DATA!$AG96,0,($D$50*5)+1))</f>
        <v>0.16434875207958524</v>
      </c>
      <c r="M147" s="90">
        <f ca="1">IF($A147="","",OFFSET(DATA!$AG96,0,($D$50*5)+2))</f>
        <v>-99</v>
      </c>
      <c r="N147" s="90">
        <f ca="1">IF($A147="","",OFFSET(DATA!$AG96,0,($D$50*5)+3))</f>
        <v>0.12187398914531972</v>
      </c>
      <c r="O147" s="90">
        <f ca="1">IF($A147="","",OFFSET(DATA!$AG96,0,($D$50*5)+4))</f>
        <v>-99</v>
      </c>
      <c r="P147" s="90">
        <f t="shared" ca="1" si="19"/>
        <v>0.12187398914531972</v>
      </c>
      <c r="Q147" s="90" t="str">
        <f t="shared" ca="1" si="20"/>
        <v>RASS</v>
      </c>
      <c r="R147" s="699">
        <f ca="1">IF($A147="","",IF(DATA!BF96="",-99,DATA!BF96))</f>
        <v>-99</v>
      </c>
      <c r="S147" s="90">
        <f ca="1">IF($A147="","",IF(DATA!BG96="",-99,DATA!BF96-DATA!BG96))</f>
        <v>-99</v>
      </c>
      <c r="T147" s="90">
        <f ca="1">IF($A147="","",DATA!BH96)</f>
        <v>7.0000000000000007E-2</v>
      </c>
      <c r="U147" s="90">
        <f ca="1">IF($A147="","",OFFSET(DATA!BM96,0,$D$48))</f>
        <v>46</v>
      </c>
      <c r="V147" s="90">
        <f t="shared" ca="1" si="16"/>
        <v>91</v>
      </c>
      <c r="W147" s="99">
        <f t="shared" ca="1" si="21"/>
        <v>90.999955176530037</v>
      </c>
      <c r="X147" s="112">
        <f t="shared" ca="1" si="22"/>
        <v>36.999941084225355</v>
      </c>
      <c r="Y147" s="90">
        <f t="shared" ca="1" si="23"/>
        <v>95</v>
      </c>
      <c r="AA147" s="90" t="str">
        <f ca="1">IF($Y147="","",IF(OFFSET(C$55,'Intermediate Data'!$Y147,0)=-98,"Unknown",IF(OFFSET(C$55,'Intermediate Data'!$Y147,0)=-99,"N/A",OFFSET(C$55,'Intermediate Data'!$Y147,0))))</f>
        <v>Scanner</v>
      </c>
      <c r="AB147" s="90" t="str">
        <f ca="1">IF($Y147="","",IF(OFFSET(D$55,'Intermediate Data'!$Y147,0)=-98,"N/A",IF(OFFSET(D$55,'Intermediate Data'!$Y147,0)=-99,"N/A",OFFSET(D$55,'Intermediate Data'!$Y147,0))))</f>
        <v>N/A</v>
      </c>
      <c r="AC147" s="90">
        <f ca="1">IF($Y147="","",IF(OFFSET(E$55,'Intermediate Data'!$Y147,0)=-98,"N/A",IF(OFFSET(E$55,'Intermediate Data'!$Y147,0)=-99,"N/A",OFFSET(E$55,'Intermediate Data'!$Y147,0))))</f>
        <v>0.21647641047097599</v>
      </c>
      <c r="AD147" s="90" t="str">
        <f ca="1">IF($Y147="","",IF(OFFSET(F$55,'Intermediate Data'!$Y147,0)=-98,"N/A",IF(OFFSET(F$55,'Intermediate Data'!$Y147,0)=-99,"N/A",OFFSET(F$55,'Intermediate Data'!$Y147,0))))</f>
        <v>N/A</v>
      </c>
      <c r="AE147" s="90">
        <f ca="1">IF($Y147="","",IF(OFFSET(G$55,'Intermediate Data'!$Y147,0)=-98,"N/A",IF(OFFSET(G$55,'Intermediate Data'!$Y147,0)=-99,"N/A",OFFSET(G$55,'Intermediate Data'!$Y147,0))))</f>
        <v>0.12603127327316591</v>
      </c>
      <c r="AF147" s="90" t="str">
        <f ca="1">IF($Y147="","",IF(OFFSET(H$55,'Intermediate Data'!$Y147,0)=-98,"N/A",IF(OFFSET(H$55,'Intermediate Data'!$Y147,0)=-99,"N/A",OFFSET(H$55,'Intermediate Data'!$Y147,0))))</f>
        <v>N/A</v>
      </c>
      <c r="AG147" s="90">
        <f ca="1">IF($Y147="","",IF(OFFSET(I$55,'Intermediate Data'!$Y147,0)=-98,"N/A",IF(OFFSET(I$55,'Intermediate Data'!$Y147,0)=-99,"N/A",OFFSET(I$55,'Intermediate Data'!$Y147,0))))</f>
        <v>0.12603127327316591</v>
      </c>
      <c r="AH147" s="90" t="str">
        <f ca="1">IF($Y147="","",IF(OFFSET(J$55,'Intermediate Data'!$Y147,0)=-98,"N/A",IF(OFFSET(J$55,'Intermediate Data'!$Y147,0)=-99,"N/A",OFFSET(J$55,'Intermediate Data'!$Y147,0))))</f>
        <v>RASS</v>
      </c>
      <c r="AI147" s="90" t="str">
        <f ca="1">IF($Y147="","",IF(OFFSET(K$55,'Intermediate Data'!$Y147,0)=-98,"N/A",IF(OFFSET(K$55,'Intermediate Data'!$Y147,0)=-99,"N/A",OFFSET(K$55,'Intermediate Data'!$Y147,0))))</f>
        <v>N/A</v>
      </c>
      <c r="AJ147" s="90">
        <f ca="1">IF($Y147="","",IF(OFFSET(L$55,'Intermediate Data'!$Y147,0)=-98,"N/A",IF(OFFSET(L$55,'Intermediate Data'!$Y147,0)=-99,"N/A",OFFSET(L$55,'Intermediate Data'!$Y147,0))))</f>
        <v>0.22742217621491642</v>
      </c>
      <c r="AK147" s="90" t="str">
        <f ca="1">IF($Y147="","",IF(OFFSET(M$55,'Intermediate Data'!$Y147,0)=-98,"N/A",IF(OFFSET(M$55,'Intermediate Data'!$Y147,0)=-99,"N/A",OFFSET(M$55,'Intermediate Data'!$Y147,0))))</f>
        <v>N/A</v>
      </c>
      <c r="AL147" s="90">
        <f ca="1">IF($Y147="","",IF(OFFSET(N$55,'Intermediate Data'!$Y147,0)=-98,"N/A",IF(OFFSET(N$55,'Intermediate Data'!$Y147,0)=-99,"N/A",OFFSET(N$55,'Intermediate Data'!$Y147,0))))</f>
        <v>0.13129243147241795</v>
      </c>
      <c r="AM147" s="90" t="str">
        <f ca="1">IF($Y147="","",IF(OFFSET(O$55,'Intermediate Data'!$Y147,0)=-98,"N/A",IF(OFFSET(O$55,'Intermediate Data'!$Y147,0)=-99,"N/A",OFFSET(O$55,'Intermediate Data'!$Y147,0))))</f>
        <v>N/A</v>
      </c>
      <c r="AN147" s="90">
        <f ca="1">IF($Y147="","",IF(OFFSET(P$55,'Intermediate Data'!$Y147,0)=-98,"N/A",IF(OFFSET(P$55,'Intermediate Data'!$Y147,0)=-99,"N/A",OFFSET(P$55,'Intermediate Data'!$Y147,0))))</f>
        <v>0.13129243147241795</v>
      </c>
      <c r="AO147" s="90" t="str">
        <f ca="1">IF($Y147="","",IF(OFFSET(Q$55,'Intermediate Data'!$Y147,0)=-98,"N/A",IF(OFFSET(Q$55,'Intermediate Data'!$Y147,0)=-99,"N/A",OFFSET(Q$55,'Intermediate Data'!$Y147,0))))</f>
        <v>RASS</v>
      </c>
      <c r="AP147" s="697" t="str">
        <f ca="1">IF($Y147="","",IF(OFFSET(S$55,'Intermediate Data'!$Y147,0)=-98,"",IF(OFFSET(S$55,'Intermediate Data'!$Y147,0)=-99,"",OFFSET(S$55,'Intermediate Data'!$Y147,0))))</f>
        <v/>
      </c>
      <c r="AQ147" s="90" t="str">
        <f ca="1">IF($Y147="","",IF(OFFSET(T$55,'Intermediate Data'!$Y147,0)=-98,"Not published",IF(OFFSET(T$55,'Intermediate Data'!$Y147,0)=-99,"",OFFSET(T$55,'Intermediate Data'!$Y147,0))))</f>
        <v>Not published</v>
      </c>
      <c r="AR147" s="90">
        <f ca="1">IF($Y147="","",IF(OFFSET(U$55,'Intermediate Data'!$Y147,0)=-98,"Unknown",IF(OFFSET(U$55,'Intermediate Data'!$Y147,0)=-99,"",OFFSET(U$55,'Intermediate Data'!$Y147,0))))</f>
        <v>3</v>
      </c>
      <c r="AU147" s="112" t="str">
        <f ca="1">IF(AND(OFFSET(DATA!$F96,0,$AX$48)='Intermediate Data'!$AY$48,DATA!$E96="Tier 1"),IF(OR($AX$49=0,$AX$48=1),DATA!A96,IF(AND($AX$49=1,INDEX('Intermediate Data'!$AY$25:$AY$44,MATCH(DATA!$B96,'Intermediate Data'!$AX$25:$AX$44,0))=TRUE),DATA!A96,"")),"")</f>
        <v/>
      </c>
      <c r="AV147" s="112" t="str">
        <f ca="1">IF($AU147="","",DATA!B96)</f>
        <v/>
      </c>
      <c r="AW147" s="112" t="str">
        <f ca="1">IF(OR($AU147="",DATA!BI96=""),"",DATA!BI96)</f>
        <v/>
      </c>
      <c r="AX147" s="112" t="str">
        <f ca="1">IF(OR($AU147="",OFFSET(DATA!BK96,0,$AX$48)=""),"",OFFSET(DATA!BK96,0,$AX$48))</f>
        <v/>
      </c>
      <c r="AY147" s="112" t="str">
        <f ca="1">IF(OR($AU147="",OFFSET(DATA!BM96,0,$AX$48)=""),"",OFFSET(DATA!BM96,0,$AX$48))</f>
        <v/>
      </c>
      <c r="AZ147" s="112" t="str">
        <f ca="1">IF(OR($AU147="",OFFSET(DATA!BO96,0,'Intermediate Data'!$AX$48)=""),"",OFFSET(DATA!BO96,0,$AX$48))</f>
        <v/>
      </c>
      <c r="BA147" s="112" t="str">
        <f ca="1">IF(OR($AU147="",DATA!BQ96=""),"",DATA!BQ96)</f>
        <v/>
      </c>
      <c r="BB147" s="112" t="str">
        <f ca="1">IF($AU147="","",OFFSET(DATA!BS96,0,$AX$48))</f>
        <v/>
      </c>
      <c r="BC147" s="112" t="str">
        <f ca="1">IF($AU147="","",OFFSET(DATA!BU96,0,$AX$48))</f>
        <v/>
      </c>
      <c r="BD147" s="112" t="str">
        <f ca="1">IF($AU147="","",OFFSET(DATA!BW96,0,$AX$48))</f>
        <v/>
      </c>
      <c r="BE147" s="112" t="str">
        <f ca="1">IF($AU147="","",OFFSET(DATA!BY96,0,$AX$48))</f>
        <v/>
      </c>
      <c r="BF147" s="112" t="str">
        <f ca="1">IF($AU147="","",OFFSET(DATA!CA96,0,$AX$48))</f>
        <v/>
      </c>
      <c r="BG147" s="112" t="str">
        <f ca="1">IF($AU147="","",DATA!CC96)</f>
        <v/>
      </c>
      <c r="BH147" s="112" t="str">
        <f ca="1">IF($AU147="","",OFFSET(DATA!CE96,0,$AX$48))</f>
        <v/>
      </c>
      <c r="BI147" s="112" t="str">
        <f ca="1">IF($AU147="","",OFFSET(DATA!CG96,0,$AX$48))</f>
        <v/>
      </c>
      <c r="BJ147" s="112" t="str">
        <f ca="1">IF($AU147="","",OFFSET(DATA!CI96,0,$AX$48))</f>
        <v/>
      </c>
      <c r="BK147" s="112" t="str">
        <f ca="1">IF($AU147="","",OFFSET(DATA!CK96,0,$AX$48))</f>
        <v/>
      </c>
      <c r="BL147" s="112" t="str">
        <f ca="1">IF($AU147="","",OFFSET(DATA!CM96,0,$AX$48))</f>
        <v/>
      </c>
      <c r="BM147" s="112" t="str">
        <f ca="1">IF($AU147="","",DATA!BH96)</f>
        <v/>
      </c>
      <c r="BN147" s="112" t="str">
        <f ca="1">IF($AU147="","",DATA!DS96)</f>
        <v/>
      </c>
      <c r="BO147" s="112" t="str">
        <f ca="1">IF($AU147="","",DATA!DU96)</f>
        <v/>
      </c>
      <c r="BP147" s="112" t="str">
        <f ca="1">IF($AU147="","",DATA!DV96)</f>
        <v/>
      </c>
      <c r="BQ147" s="112" t="str">
        <f ca="1">IF($AU147="","",DATA!DX96)</f>
        <v/>
      </c>
      <c r="BR147" s="112" t="str">
        <f ca="1">IF($AU147="","",DATA!DZ96)</f>
        <v/>
      </c>
      <c r="BS147" s="171" t="str">
        <f ca="1">IF($AU147="","",DATA!EA96)</f>
        <v/>
      </c>
      <c r="BT147" s="171" t="str">
        <f ca="1">IF($AU147="","",DATA!EC96)</f>
        <v/>
      </c>
      <c r="BU147" s="171" t="str">
        <f ca="1">IF($AU147="","",DATA!EF96)</f>
        <v/>
      </c>
      <c r="BV147" s="113" t="str">
        <f t="shared" ca="1" si="24"/>
        <v/>
      </c>
      <c r="BW147" s="680" t="str">
        <f ca="1">IF(AU147="","",OFFSET(DATA!DC96,0,'Intermediate Data'!$AX$48))</f>
        <v/>
      </c>
      <c r="BX147" s="681" t="str">
        <f ca="1">IF($AU147="","",DATA!DG96)</f>
        <v/>
      </c>
      <c r="BY147" s="680" t="str">
        <f ca="1">IF($AU147="","",OFFSET(DATA!DE96,0,'Intermediate Data'!$AX$48))</f>
        <v/>
      </c>
      <c r="BZ147" s="681" t="str">
        <f ca="1">IF($AU147="","",DATA!DH96)</f>
        <v/>
      </c>
      <c r="CA147" s="90" t="str">
        <f t="shared" ca="1" si="25"/>
        <v/>
      </c>
      <c r="CB147" s="99" t="str">
        <f t="shared" ca="1" si="26"/>
        <v/>
      </c>
      <c r="CC147" s="90" t="str">
        <f t="shared" ca="1" si="27"/>
        <v/>
      </c>
      <c r="CD147" s="90" t="str">
        <f t="shared" ca="1" si="28"/>
        <v/>
      </c>
      <c r="CF147" s="90" t="str">
        <f ca="1">IF($CD147="","",IF(OFFSET(AV$55,'Intermediate Data'!$CD147,0)=-98,"Unknown",IF(OFFSET(AV$55,'Intermediate Data'!$CD147,0)=-99,"N/A",OFFSET(AV$55,'Intermediate Data'!$CD147,0))))</f>
        <v/>
      </c>
      <c r="CG147" s="90" t="str">
        <f ca="1">IF($CD147="","",IF(OFFSET(AW$55,'Intermediate Data'!$CD147,0)=-98,"",IF(OFFSET(AW$55,'Intermediate Data'!$CD147,0)=-99,"N/A",OFFSET(AW$55,'Intermediate Data'!$CD147,0))))</f>
        <v/>
      </c>
      <c r="CH147" s="90" t="str">
        <f ca="1">IF($CD147="","",IF(OFFSET(AX$55,'Intermediate Data'!$CD147,0)=-98,"Unknown",IF(OFFSET(AX$55,'Intermediate Data'!$CD147,0)=-99,"N/A",OFFSET(AX$55,'Intermediate Data'!$CD147,0))))</f>
        <v/>
      </c>
      <c r="CI147" s="125" t="str">
        <f ca="1">IF($CD147="","",IF(OFFSET(AY$55,'Intermediate Data'!$CD147,0)=-98,"Unknown",IF(OFFSET(AY$55,'Intermediate Data'!$CD147,0)=-99,"No spec",OFFSET(AY$55,'Intermediate Data'!$CD147,0))))</f>
        <v/>
      </c>
      <c r="CJ147" s="125" t="str">
        <f ca="1">IF($CD147="","",IF(OFFSET(AZ$55,'Intermediate Data'!$CD147,0)=-98,"Unknown",IF(OFFSET(AZ$55,'Intermediate Data'!$CD147,0)=-99,"N/A",OFFSET(AZ$55,'Intermediate Data'!$CD147,0))))</f>
        <v/>
      </c>
      <c r="CK147" s="90" t="str">
        <f ca="1">IF($CD147="","",IF(OFFSET(BA$55,'Intermediate Data'!$CD147,0)=-98,"Unknown",IF(OFFSET(BA$55,'Intermediate Data'!$CD147,0)=-99,"N/A",OFFSET(BA$55,'Intermediate Data'!$CD147,0))))</f>
        <v/>
      </c>
      <c r="CL147" s="90" t="str">
        <f ca="1">IF($CD147="","",IF(OFFSET(BB$55,'Intermediate Data'!$CD147,$AX$50)=-98,"Unknown",IF(OFFSET(BB$55,'Intermediate Data'!$CD147,$AX$50)="N/A","",OFFSET(BB$55,'Intermediate Data'!$CD147,$AX$50))))</f>
        <v/>
      </c>
      <c r="CM147" s="90" t="str">
        <f ca="1">IF($CD147="","",IF(OFFSET(BG$55,'Intermediate Data'!$CD147,0)="ET","ET",""))</f>
        <v/>
      </c>
      <c r="CN147" s="90" t="str">
        <f ca="1">IF($CD147="","",IF(OFFSET(BH$55,'Intermediate Data'!$CD147,$AX$50)=-98,"Unknown",IF(OFFSET(BH$55,'Intermediate Data'!$CD147,$AX$50)="N/A","",OFFSET(BH$55,'Intermediate Data'!$CD147,$AX$50))))</f>
        <v/>
      </c>
      <c r="CO147" s="90" t="str">
        <f ca="1">IF($CD147="","",IF(OFFSET(BM$55,'Intermediate Data'!$CD147,0)=-98,"Not published",IF(OFFSET(BM$55,'Intermediate Data'!$CD147,0)=-99,"No spec",OFFSET(BM$55,'Intermediate Data'!$CD147,0))))</f>
        <v/>
      </c>
      <c r="CP147" s="114" t="str">
        <f ca="1">IF($CD147="","",IF(OFFSET(BN$55,'Intermediate Data'!$CD147,0)=-98,"Unknown",IF(OFFSET(BN$55,'Intermediate Data'!$CD147,0)=-99,"N/A",OFFSET(BN$55,'Intermediate Data'!$CD147,0))))</f>
        <v/>
      </c>
      <c r="CQ147" s="114" t="str">
        <f ca="1">IF($CD147="","",IF(OFFSET(BO$55,'Intermediate Data'!$CD147,0)=-98,"Unknown",IF(OFFSET(BO$55,'Intermediate Data'!$CD147,0)=-99,"N/A",OFFSET(BO$55,'Intermediate Data'!$CD147,0))))</f>
        <v/>
      </c>
      <c r="CR147" s="114" t="str">
        <f ca="1">IF($CD147="","",IF(OFFSET(BP$55,'Intermediate Data'!$CD147,0)=-98,"Unknown",IF(OFFSET(BP$55,'Intermediate Data'!$CD147,0)=-99,"N/A",OFFSET(BP$55,'Intermediate Data'!$CD147,0))))</f>
        <v/>
      </c>
      <c r="CS147" s="114" t="str">
        <f ca="1">IF($CD147="","",IF(OFFSET(BQ$55,'Intermediate Data'!$CD147,0)=-98,"Unknown",IF(OFFSET(BQ$55,'Intermediate Data'!$CD147,0)=-99,"N/A",OFFSET(BQ$55,'Intermediate Data'!$CD147,0))))</f>
        <v/>
      </c>
      <c r="CT147" s="114" t="str">
        <f ca="1">IF($CD147="","",IF(OFFSET(BR$55,'Intermediate Data'!$CD147,0)=-98,"Unknown",IF(OFFSET(BR$55,'Intermediate Data'!$CD147,0)=-99,"N/A",OFFSET(BR$55,'Intermediate Data'!$CD147,0))))</f>
        <v/>
      </c>
      <c r="CU147" s="114" t="str">
        <f ca="1">IF($CD147="","",IF(OFFSET(BS$55,'Intermediate Data'!$CD147,0)=-98,"Unknown",IF(OFFSET(BS$55,'Intermediate Data'!$CD147,0)=-99,"N/A",OFFSET(BS$55,'Intermediate Data'!$CD147,0))))</f>
        <v/>
      </c>
      <c r="CV147" s="114" t="str">
        <f ca="1">IF($CD147="","",IF(OFFSET(BT$55,'Intermediate Data'!$CD147,0)=-98,"Unknown",IF(OFFSET(BT$55,'Intermediate Data'!$CD147,0)=-99,"N/A",OFFSET(BT$55,'Intermediate Data'!$CD147,0))))</f>
        <v/>
      </c>
      <c r="CW147" s="114" t="str">
        <f ca="1">IF($CD147="","",IF(OFFSET(BU$55,'Intermediate Data'!$CD147,0)=-98,"Unknown",IF(OFFSET(BU$55,'Intermediate Data'!$CD147,0)=-99,"N/A",OFFSET(BU$55,'Intermediate Data'!$CD147,0))))</f>
        <v/>
      </c>
      <c r="CX147" s="114" t="str">
        <f ca="1">IF($CD147="","",IF(OFFSET(BV$55,'Intermediate Data'!$CD147,0)=-98,"Unknown",IF(OFFSET(BV$55,'Intermediate Data'!$CD147,0)=-99,"N/A",OFFSET(BV$55,'Intermediate Data'!$CD147,0))))</f>
        <v/>
      </c>
      <c r="CY147" s="682" t="str">
        <f ca="1">IF($CD147="","",IF(OFFSET(BW$55,'Intermediate Data'!$CD147,0)=-98,"Unknown",IF(OFFSET(BW$55,'Intermediate Data'!$CD147,0)="N/A","",OFFSET(BW$55,'Intermediate Data'!$CD147,0))))</f>
        <v/>
      </c>
      <c r="CZ147" s="682" t="str">
        <f ca="1">IF($CD147="","",IF(OFFSET(BX$55,'Intermediate Data'!$CD147,0)=-98,"Unknown",IF(OFFSET(BX$55,'Intermediate Data'!$CD147,0)="N/A","",OFFSET(BX$55,'Intermediate Data'!$CD147,0))))</f>
        <v/>
      </c>
      <c r="DA147" s="682" t="str">
        <f ca="1">IF($CD147="","",IF(OFFSET(BY$55,'Intermediate Data'!$CD147,0)=-98,"Unknown",IF(OFFSET(BY$55,'Intermediate Data'!$CD147,0)="N/A","",OFFSET(BY$55,'Intermediate Data'!$CD147,0))))</f>
        <v/>
      </c>
      <c r="DB147" s="682" t="str">
        <f ca="1">IF($CD147="","",IF(OFFSET(BZ$55,'Intermediate Data'!$CD147,0)=-98,"Unknown",IF(OFFSET(BZ$55,'Intermediate Data'!$CD147,0)="N/A","",OFFSET(BZ$55,'Intermediate Data'!$CD147,0))))</f>
        <v/>
      </c>
    </row>
    <row r="148" spans="1:106" x14ac:dyDescent="0.2">
      <c r="A148" s="90">
        <f ca="1">IF(OFFSET(DATA!F97,0,$D$48)='Intermediate Data'!$E$48,IF(OR($E$49=$C$27,$E$48=$B$4),DATA!A97,IF($G$49=DATA!D97,DATA!A97,"")),"")</f>
        <v>93</v>
      </c>
      <c r="B148" s="90">
        <f ca="1">IF($A148="","",DATA!EH97)</f>
        <v>63</v>
      </c>
      <c r="C148" s="90" t="str">
        <f ca="1">IF($A148="","",DATA!B97)</f>
        <v>Network attached storage drive</v>
      </c>
      <c r="D148" s="90">
        <f ca="1">IF($A148="","",OFFSET(DATA!$H97,0,($D$50*5)))</f>
        <v>-99</v>
      </c>
      <c r="E148" s="90">
        <f ca="1">IF($A148="","",OFFSET(DATA!$H97,0,($D$50*5)+1))</f>
        <v>-99</v>
      </c>
      <c r="F148" s="90">
        <f ca="1">IF($A148="","",OFFSET(DATA!$H97,0,($D$50*5)+2))</f>
        <v>-99</v>
      </c>
      <c r="G148" s="90">
        <f ca="1">IF($A148="","",OFFSET(DATA!$H97,0,($D$50*5)+3))</f>
        <v>-99</v>
      </c>
      <c r="H148" s="90">
        <f ca="1">IF($A148="","",OFFSET(DATA!$H97,0,($D$50*5)+4))</f>
        <v>-99</v>
      </c>
      <c r="I148" s="90">
        <f t="shared" ca="1" si="17"/>
        <v>-99</v>
      </c>
      <c r="J148" s="90" t="str">
        <f t="shared" ca="1" si="18"/>
        <v/>
      </c>
      <c r="K148" s="90">
        <f ca="1">IF($A148="","",OFFSET(DATA!$AG97,0,($D$50*5)))</f>
        <v>-99</v>
      </c>
      <c r="L148" s="90">
        <f ca="1">IF($A148="","",OFFSET(DATA!$AG97,0,($D$50*5)+1))</f>
        <v>-99</v>
      </c>
      <c r="M148" s="90">
        <f ca="1">IF($A148="","",OFFSET(DATA!$AG97,0,($D$50*5)+2))</f>
        <v>-99</v>
      </c>
      <c r="N148" s="90">
        <f ca="1">IF($A148="","",OFFSET(DATA!$AG97,0,($D$50*5)+3))</f>
        <v>-99</v>
      </c>
      <c r="O148" s="90">
        <f ca="1">IF($A148="","",OFFSET(DATA!$AG97,0,($D$50*5)+4))</f>
        <v>-99</v>
      </c>
      <c r="P148" s="90">
        <f t="shared" ca="1" si="19"/>
        <v>-99</v>
      </c>
      <c r="Q148" s="90" t="str">
        <f t="shared" ca="1" si="20"/>
        <v/>
      </c>
      <c r="R148" s="699">
        <f ca="1">IF($A148="","",IF(DATA!BF97="",-99,DATA!BF97))</f>
        <v>-99</v>
      </c>
      <c r="S148" s="90">
        <f ca="1">IF($A148="","",IF(DATA!BG97="",-99,DATA!BF97-DATA!BG97))</f>
        <v>-99</v>
      </c>
      <c r="T148" s="90">
        <f ca="1">IF($A148="","",DATA!BH97)</f>
        <v>-99</v>
      </c>
      <c r="U148" s="90">
        <f ca="1">IF($A148="","",OFFSET(DATA!BM97,0,$D$48))</f>
        <v>-99</v>
      </c>
      <c r="V148" s="90">
        <f t="shared" ca="1" si="16"/>
        <v>63</v>
      </c>
      <c r="W148" s="99">
        <f t="shared" ca="1" si="21"/>
        <v>62.999881201479994</v>
      </c>
      <c r="X148" s="112">
        <f t="shared" ca="1" si="22"/>
        <v>35.999930769197945</v>
      </c>
      <c r="Y148" s="90">
        <f t="shared" ca="1" si="23"/>
        <v>127</v>
      </c>
      <c r="AA148" s="90" t="str">
        <f ca="1">IF($Y148="","",IF(OFFSET(C$55,'Intermediate Data'!$Y148,0)=-98,"Unknown",IF(OFFSET(C$55,'Intermediate Data'!$Y148,0)=-99,"N/A",OFFSET(C$55,'Intermediate Data'!$Y148,0))))</f>
        <v>Security system</v>
      </c>
      <c r="AB148" s="90" t="str">
        <f ca="1">IF($Y148="","",IF(OFFSET(D$55,'Intermediate Data'!$Y148,0)=-98,"N/A",IF(OFFSET(D$55,'Intermediate Data'!$Y148,0)=-99,"N/A",OFFSET(D$55,'Intermediate Data'!$Y148,0))))</f>
        <v>N/A</v>
      </c>
      <c r="AC148" s="90">
        <f ca="1">IF($Y148="","",IF(OFFSET(E$55,'Intermediate Data'!$Y148,0)=-98,"N/A",IF(OFFSET(E$55,'Intermediate Data'!$Y148,0)=-99,"N/A",OFFSET(E$55,'Intermediate Data'!$Y148,0))))</f>
        <v>0.12599829634246817</v>
      </c>
      <c r="AD148" s="90" t="str">
        <f ca="1">IF($Y148="","",IF(OFFSET(F$55,'Intermediate Data'!$Y148,0)=-98,"N/A",IF(OFFSET(F$55,'Intermediate Data'!$Y148,0)=-99,"N/A",OFFSET(F$55,'Intermediate Data'!$Y148,0))))</f>
        <v>N/A</v>
      </c>
      <c r="AE148" s="90">
        <f ca="1">IF($Y148="","",IF(OFFSET(G$55,'Intermediate Data'!$Y148,0)=-98,"N/A",IF(OFFSET(G$55,'Intermediate Data'!$Y148,0)=-99,"N/A",OFFSET(G$55,'Intermediate Data'!$Y148,0))))</f>
        <v>0.13852058628509761</v>
      </c>
      <c r="AF148" s="90" t="str">
        <f ca="1">IF($Y148="","",IF(OFFSET(H$55,'Intermediate Data'!$Y148,0)=-98,"N/A",IF(OFFSET(H$55,'Intermediate Data'!$Y148,0)=-99,"N/A",OFFSET(H$55,'Intermediate Data'!$Y148,0))))</f>
        <v>N/A</v>
      </c>
      <c r="AG148" s="90">
        <f ca="1">IF($Y148="","",IF(OFFSET(I$55,'Intermediate Data'!$Y148,0)=-98,"N/A",IF(OFFSET(I$55,'Intermediate Data'!$Y148,0)=-99,"N/A",OFFSET(I$55,'Intermediate Data'!$Y148,0))))</f>
        <v>0.13852058628509761</v>
      </c>
      <c r="AH148" s="90" t="str">
        <f ca="1">IF($Y148="","",IF(OFFSET(J$55,'Intermediate Data'!$Y148,0)=-98,"N/A",IF(OFFSET(J$55,'Intermediate Data'!$Y148,0)=-99,"N/A",OFFSET(J$55,'Intermediate Data'!$Y148,0))))</f>
        <v>RASS</v>
      </c>
      <c r="AI148" s="90" t="str">
        <f ca="1">IF($Y148="","",IF(OFFSET(K$55,'Intermediate Data'!$Y148,0)=-98,"N/A",IF(OFFSET(K$55,'Intermediate Data'!$Y148,0)=-99,"N/A",OFFSET(K$55,'Intermediate Data'!$Y148,0))))</f>
        <v>N/A</v>
      </c>
      <c r="AJ148" s="90">
        <f ca="1">IF($Y148="","",IF(OFFSET(L$55,'Intermediate Data'!$Y148,0)=-98,"N/A",IF(OFFSET(L$55,'Intermediate Data'!$Y148,0)=-99,"N/A",OFFSET(L$55,'Intermediate Data'!$Y148,0))))</f>
        <v>0.12826751231724084</v>
      </c>
      <c r="AK148" s="90" t="str">
        <f ca="1">IF($Y148="","",IF(OFFSET(M$55,'Intermediate Data'!$Y148,0)=-98,"N/A",IF(OFFSET(M$55,'Intermediate Data'!$Y148,0)=-99,"N/A",OFFSET(M$55,'Intermediate Data'!$Y148,0))))</f>
        <v>N/A</v>
      </c>
      <c r="AL148" s="90">
        <f ca="1">IF($Y148="","",IF(OFFSET(N$55,'Intermediate Data'!$Y148,0)=-98,"N/A",IF(OFFSET(N$55,'Intermediate Data'!$Y148,0)=-99,"N/A",OFFSET(N$55,'Intermediate Data'!$Y148,0))))</f>
        <v>0.14247251135258887</v>
      </c>
      <c r="AM148" s="90" t="str">
        <f ca="1">IF($Y148="","",IF(OFFSET(O$55,'Intermediate Data'!$Y148,0)=-98,"N/A",IF(OFFSET(O$55,'Intermediate Data'!$Y148,0)=-99,"N/A",OFFSET(O$55,'Intermediate Data'!$Y148,0))))</f>
        <v>N/A</v>
      </c>
      <c r="AN148" s="90">
        <f ca="1">IF($Y148="","",IF(OFFSET(P$55,'Intermediate Data'!$Y148,0)=-98,"N/A",IF(OFFSET(P$55,'Intermediate Data'!$Y148,0)=-99,"N/A",OFFSET(P$55,'Intermediate Data'!$Y148,0))))</f>
        <v>0.14247251135258887</v>
      </c>
      <c r="AO148" s="90" t="str">
        <f ca="1">IF($Y148="","",IF(OFFSET(Q$55,'Intermediate Data'!$Y148,0)=-98,"N/A",IF(OFFSET(Q$55,'Intermediate Data'!$Y148,0)=-99,"N/A",OFFSET(Q$55,'Intermediate Data'!$Y148,0))))</f>
        <v>RASS</v>
      </c>
      <c r="AP148" s="697" t="str">
        <f ca="1">IF($Y148="","",IF(OFFSET(S$55,'Intermediate Data'!$Y148,0)=-98,"",IF(OFFSET(S$55,'Intermediate Data'!$Y148,0)=-99,"",OFFSET(S$55,'Intermediate Data'!$Y148,0))))</f>
        <v/>
      </c>
      <c r="AQ148" s="90" t="str">
        <f ca="1">IF($Y148="","",IF(OFFSET(T$55,'Intermediate Data'!$Y148,0)=-98,"Not published",IF(OFFSET(T$55,'Intermediate Data'!$Y148,0)=-99,"",OFFSET(T$55,'Intermediate Data'!$Y148,0))))</f>
        <v/>
      </c>
      <c r="AR148" s="90" t="str">
        <f ca="1">IF($Y148="","",IF(OFFSET(U$55,'Intermediate Data'!$Y148,0)=-98,"Unknown",IF(OFFSET(U$55,'Intermediate Data'!$Y148,0)=-99,"",OFFSET(U$55,'Intermediate Data'!$Y148,0))))</f>
        <v/>
      </c>
      <c r="AU148" s="112" t="str">
        <f ca="1">IF(AND(OFFSET(DATA!$F97,0,$AX$48)='Intermediate Data'!$AY$48,DATA!$E97="Tier 1"),IF(OR($AX$49=0,$AX$48=1),DATA!A97,IF(AND($AX$49=1,INDEX('Intermediate Data'!$AY$25:$AY$44,MATCH(DATA!$B97,'Intermediate Data'!$AX$25:$AX$44,0))=TRUE),DATA!A97,"")),"")</f>
        <v/>
      </c>
      <c r="AV148" s="112" t="str">
        <f ca="1">IF($AU148="","",DATA!B97)</f>
        <v/>
      </c>
      <c r="AW148" s="112" t="str">
        <f ca="1">IF(OR($AU148="",DATA!BI97=""),"",DATA!BI97)</f>
        <v/>
      </c>
      <c r="AX148" s="112" t="str">
        <f ca="1">IF(OR($AU148="",OFFSET(DATA!BK97,0,$AX$48)=""),"",OFFSET(DATA!BK97,0,$AX$48))</f>
        <v/>
      </c>
      <c r="AY148" s="112" t="str">
        <f ca="1">IF(OR($AU148="",OFFSET(DATA!BM97,0,$AX$48)=""),"",OFFSET(DATA!BM97,0,$AX$48))</f>
        <v/>
      </c>
      <c r="AZ148" s="112" t="str">
        <f ca="1">IF(OR($AU148="",OFFSET(DATA!BO97,0,'Intermediate Data'!$AX$48)=""),"",OFFSET(DATA!BO97,0,$AX$48))</f>
        <v/>
      </c>
      <c r="BA148" s="112" t="str">
        <f ca="1">IF(OR($AU148="",DATA!BQ97=""),"",DATA!BQ97)</f>
        <v/>
      </c>
      <c r="BB148" s="112" t="str">
        <f ca="1">IF($AU148="","",OFFSET(DATA!BS97,0,$AX$48))</f>
        <v/>
      </c>
      <c r="BC148" s="112" t="str">
        <f ca="1">IF($AU148="","",OFFSET(DATA!BU97,0,$AX$48))</f>
        <v/>
      </c>
      <c r="BD148" s="112" t="str">
        <f ca="1">IF($AU148="","",OFFSET(DATA!BW97,0,$AX$48))</f>
        <v/>
      </c>
      <c r="BE148" s="112" t="str">
        <f ca="1">IF($AU148="","",OFFSET(DATA!BY97,0,$AX$48))</f>
        <v/>
      </c>
      <c r="BF148" s="112" t="str">
        <f ca="1">IF($AU148="","",OFFSET(DATA!CA97,0,$AX$48))</f>
        <v/>
      </c>
      <c r="BG148" s="112" t="str">
        <f ca="1">IF($AU148="","",DATA!CC97)</f>
        <v/>
      </c>
      <c r="BH148" s="112" t="str">
        <f ca="1">IF($AU148="","",OFFSET(DATA!CE97,0,$AX$48))</f>
        <v/>
      </c>
      <c r="BI148" s="112" t="str">
        <f ca="1">IF($AU148="","",OFFSET(DATA!CG97,0,$AX$48))</f>
        <v/>
      </c>
      <c r="BJ148" s="112" t="str">
        <f ca="1">IF($AU148="","",OFFSET(DATA!CI97,0,$AX$48))</f>
        <v/>
      </c>
      <c r="BK148" s="112" t="str">
        <f ca="1">IF($AU148="","",OFFSET(DATA!CK97,0,$AX$48))</f>
        <v/>
      </c>
      <c r="BL148" s="112" t="str">
        <f ca="1">IF($AU148="","",OFFSET(DATA!CM97,0,$AX$48))</f>
        <v/>
      </c>
      <c r="BM148" s="112" t="str">
        <f ca="1">IF($AU148="","",DATA!BH97)</f>
        <v/>
      </c>
      <c r="BN148" s="112" t="str">
        <f ca="1">IF($AU148="","",DATA!DS97)</f>
        <v/>
      </c>
      <c r="BO148" s="112" t="str">
        <f ca="1">IF($AU148="","",DATA!DU97)</f>
        <v/>
      </c>
      <c r="BP148" s="112" t="str">
        <f ca="1">IF($AU148="","",DATA!DV97)</f>
        <v/>
      </c>
      <c r="BQ148" s="112" t="str">
        <f ca="1">IF($AU148="","",DATA!DX97)</f>
        <v/>
      </c>
      <c r="BR148" s="112" t="str">
        <f ca="1">IF($AU148="","",DATA!DZ97)</f>
        <v/>
      </c>
      <c r="BS148" s="171" t="str">
        <f ca="1">IF($AU148="","",DATA!EA97)</f>
        <v/>
      </c>
      <c r="BT148" s="171" t="str">
        <f ca="1">IF($AU148="","",DATA!EC97)</f>
        <v/>
      </c>
      <c r="BU148" s="171" t="str">
        <f ca="1">IF($AU148="","",DATA!EF97)</f>
        <v/>
      </c>
      <c r="BV148" s="113" t="str">
        <f t="shared" ca="1" si="24"/>
        <v/>
      </c>
      <c r="BW148" s="680" t="str">
        <f ca="1">IF(AU148="","",OFFSET(DATA!DC97,0,'Intermediate Data'!$AX$48))</f>
        <v/>
      </c>
      <c r="BX148" s="681" t="str">
        <f ca="1">IF($AU148="","",DATA!DG97)</f>
        <v/>
      </c>
      <c r="BY148" s="680" t="str">
        <f ca="1">IF($AU148="","",OFFSET(DATA!DE97,0,'Intermediate Data'!$AX$48))</f>
        <v/>
      </c>
      <c r="BZ148" s="681" t="str">
        <f ca="1">IF($AU148="","",DATA!DH97)</f>
        <v/>
      </c>
      <c r="CA148" s="90" t="str">
        <f t="shared" ca="1" si="25"/>
        <v/>
      </c>
      <c r="CB148" s="99" t="str">
        <f t="shared" ca="1" si="26"/>
        <v/>
      </c>
      <c r="CC148" s="90" t="str">
        <f t="shared" ca="1" si="27"/>
        <v/>
      </c>
      <c r="CD148" s="90" t="str">
        <f t="shared" ca="1" si="28"/>
        <v/>
      </c>
      <c r="CF148" s="90" t="str">
        <f ca="1">IF($CD148="","",IF(OFFSET(AV$55,'Intermediate Data'!$CD148,0)=-98,"Unknown",IF(OFFSET(AV$55,'Intermediate Data'!$CD148,0)=-99,"N/A",OFFSET(AV$55,'Intermediate Data'!$CD148,0))))</f>
        <v/>
      </c>
      <c r="CG148" s="90" t="str">
        <f ca="1">IF($CD148="","",IF(OFFSET(AW$55,'Intermediate Data'!$CD148,0)=-98,"",IF(OFFSET(AW$55,'Intermediate Data'!$CD148,0)=-99,"N/A",OFFSET(AW$55,'Intermediate Data'!$CD148,0))))</f>
        <v/>
      </c>
      <c r="CH148" s="90" t="str">
        <f ca="1">IF($CD148="","",IF(OFFSET(AX$55,'Intermediate Data'!$CD148,0)=-98,"Unknown",IF(OFFSET(AX$55,'Intermediate Data'!$CD148,0)=-99,"N/A",OFFSET(AX$55,'Intermediate Data'!$CD148,0))))</f>
        <v/>
      </c>
      <c r="CI148" s="125" t="str">
        <f ca="1">IF($CD148="","",IF(OFFSET(AY$55,'Intermediate Data'!$CD148,0)=-98,"Unknown",IF(OFFSET(AY$55,'Intermediate Data'!$CD148,0)=-99,"No spec",OFFSET(AY$55,'Intermediate Data'!$CD148,0))))</f>
        <v/>
      </c>
      <c r="CJ148" s="125" t="str">
        <f ca="1">IF($CD148="","",IF(OFFSET(AZ$55,'Intermediate Data'!$CD148,0)=-98,"Unknown",IF(OFFSET(AZ$55,'Intermediate Data'!$CD148,0)=-99,"N/A",OFFSET(AZ$55,'Intermediate Data'!$CD148,0))))</f>
        <v/>
      </c>
      <c r="CK148" s="90" t="str">
        <f ca="1">IF($CD148="","",IF(OFFSET(BA$55,'Intermediate Data'!$CD148,0)=-98,"Unknown",IF(OFFSET(BA$55,'Intermediate Data'!$CD148,0)=-99,"N/A",OFFSET(BA$55,'Intermediate Data'!$CD148,0))))</f>
        <v/>
      </c>
      <c r="CL148" s="90" t="str">
        <f ca="1">IF($CD148="","",IF(OFFSET(BB$55,'Intermediate Data'!$CD148,$AX$50)=-98,"Unknown",IF(OFFSET(BB$55,'Intermediate Data'!$CD148,$AX$50)="N/A","",OFFSET(BB$55,'Intermediate Data'!$CD148,$AX$50))))</f>
        <v/>
      </c>
      <c r="CM148" s="90" t="str">
        <f ca="1">IF($CD148="","",IF(OFFSET(BG$55,'Intermediate Data'!$CD148,0)="ET","ET",""))</f>
        <v/>
      </c>
      <c r="CN148" s="90" t="str">
        <f ca="1">IF($CD148="","",IF(OFFSET(BH$55,'Intermediate Data'!$CD148,$AX$50)=-98,"Unknown",IF(OFFSET(BH$55,'Intermediate Data'!$CD148,$AX$50)="N/A","",OFFSET(BH$55,'Intermediate Data'!$CD148,$AX$50))))</f>
        <v/>
      </c>
      <c r="CO148" s="90" t="str">
        <f ca="1">IF($CD148="","",IF(OFFSET(BM$55,'Intermediate Data'!$CD148,0)=-98,"Not published",IF(OFFSET(BM$55,'Intermediate Data'!$CD148,0)=-99,"No spec",OFFSET(BM$55,'Intermediate Data'!$CD148,0))))</f>
        <v/>
      </c>
      <c r="CP148" s="114" t="str">
        <f ca="1">IF($CD148="","",IF(OFFSET(BN$55,'Intermediate Data'!$CD148,0)=-98,"Unknown",IF(OFFSET(BN$55,'Intermediate Data'!$CD148,0)=-99,"N/A",OFFSET(BN$55,'Intermediate Data'!$CD148,0))))</f>
        <v/>
      </c>
      <c r="CQ148" s="114" t="str">
        <f ca="1">IF($CD148="","",IF(OFFSET(BO$55,'Intermediate Data'!$CD148,0)=-98,"Unknown",IF(OFFSET(BO$55,'Intermediate Data'!$CD148,0)=-99,"N/A",OFFSET(BO$55,'Intermediate Data'!$CD148,0))))</f>
        <v/>
      </c>
      <c r="CR148" s="114" t="str">
        <f ca="1">IF($CD148="","",IF(OFFSET(BP$55,'Intermediate Data'!$CD148,0)=-98,"Unknown",IF(OFFSET(BP$55,'Intermediate Data'!$CD148,0)=-99,"N/A",OFFSET(BP$55,'Intermediate Data'!$CD148,0))))</f>
        <v/>
      </c>
      <c r="CS148" s="114" t="str">
        <f ca="1">IF($CD148="","",IF(OFFSET(BQ$55,'Intermediate Data'!$CD148,0)=-98,"Unknown",IF(OFFSET(BQ$55,'Intermediate Data'!$CD148,0)=-99,"N/A",OFFSET(BQ$55,'Intermediate Data'!$CD148,0))))</f>
        <v/>
      </c>
      <c r="CT148" s="114" t="str">
        <f ca="1">IF($CD148="","",IF(OFFSET(BR$55,'Intermediate Data'!$CD148,0)=-98,"Unknown",IF(OFFSET(BR$55,'Intermediate Data'!$CD148,0)=-99,"N/A",OFFSET(BR$55,'Intermediate Data'!$CD148,0))))</f>
        <v/>
      </c>
      <c r="CU148" s="114" t="str">
        <f ca="1">IF($CD148="","",IF(OFFSET(BS$55,'Intermediate Data'!$CD148,0)=-98,"Unknown",IF(OFFSET(BS$55,'Intermediate Data'!$CD148,0)=-99,"N/A",OFFSET(BS$55,'Intermediate Data'!$CD148,0))))</f>
        <v/>
      </c>
      <c r="CV148" s="114" t="str">
        <f ca="1">IF($CD148="","",IF(OFFSET(BT$55,'Intermediate Data'!$CD148,0)=-98,"Unknown",IF(OFFSET(BT$55,'Intermediate Data'!$CD148,0)=-99,"N/A",OFFSET(BT$55,'Intermediate Data'!$CD148,0))))</f>
        <v/>
      </c>
      <c r="CW148" s="114" t="str">
        <f ca="1">IF($CD148="","",IF(OFFSET(BU$55,'Intermediate Data'!$CD148,0)=-98,"Unknown",IF(OFFSET(BU$55,'Intermediate Data'!$CD148,0)=-99,"N/A",OFFSET(BU$55,'Intermediate Data'!$CD148,0))))</f>
        <v/>
      </c>
      <c r="CX148" s="114" t="str">
        <f ca="1">IF($CD148="","",IF(OFFSET(BV$55,'Intermediate Data'!$CD148,0)=-98,"Unknown",IF(OFFSET(BV$55,'Intermediate Data'!$CD148,0)=-99,"N/A",OFFSET(BV$55,'Intermediate Data'!$CD148,0))))</f>
        <v/>
      </c>
      <c r="CY148" s="682" t="str">
        <f ca="1">IF($CD148="","",IF(OFFSET(BW$55,'Intermediate Data'!$CD148,0)=-98,"Unknown",IF(OFFSET(BW$55,'Intermediate Data'!$CD148,0)="N/A","",OFFSET(BW$55,'Intermediate Data'!$CD148,0))))</f>
        <v/>
      </c>
      <c r="CZ148" s="682" t="str">
        <f ca="1">IF($CD148="","",IF(OFFSET(BX$55,'Intermediate Data'!$CD148,0)=-98,"Unknown",IF(OFFSET(BX$55,'Intermediate Data'!$CD148,0)="N/A","",OFFSET(BX$55,'Intermediate Data'!$CD148,0))))</f>
        <v/>
      </c>
      <c r="DA148" s="682" t="str">
        <f ca="1">IF($CD148="","",IF(OFFSET(BY$55,'Intermediate Data'!$CD148,0)=-98,"Unknown",IF(OFFSET(BY$55,'Intermediate Data'!$CD148,0)="N/A","",OFFSET(BY$55,'Intermediate Data'!$CD148,0))))</f>
        <v/>
      </c>
      <c r="DB148" s="682" t="str">
        <f ca="1">IF($CD148="","",IF(OFFSET(BZ$55,'Intermediate Data'!$CD148,0)=-98,"Unknown",IF(OFFSET(BZ$55,'Intermediate Data'!$CD148,0)="N/A","",OFFSET(BZ$55,'Intermediate Data'!$CD148,0))))</f>
        <v/>
      </c>
    </row>
    <row r="149" spans="1:106" x14ac:dyDescent="0.2">
      <c r="A149" s="90">
        <f ca="1">IF(OFFSET(DATA!F98,0,$D$48)='Intermediate Data'!$E$48,IF(OR($E$49=$C$27,$E$48=$B$4),DATA!A98,IF($G$49=DATA!D98,DATA!A98,"")),"")</f>
        <v>94</v>
      </c>
      <c r="B149" s="90">
        <f ca="1">IF($A149="","",DATA!EH98)</f>
        <v>46</v>
      </c>
      <c r="C149" s="90" t="str">
        <f ca="1">IF($A149="","",DATA!B98)</f>
        <v>Printer</v>
      </c>
      <c r="D149" s="90">
        <f ca="1">IF($A149="","",OFFSET(DATA!$H98,0,($D$50*5)))</f>
        <v>-99</v>
      </c>
      <c r="E149" s="90">
        <f ca="1">IF($A149="","",OFFSET(DATA!$H98,0,($D$50*5)+1))</f>
        <v>0.50883788026286081</v>
      </c>
      <c r="F149" s="90">
        <f ca="1">IF($A149="","",OFFSET(DATA!$H98,0,($D$50*5)+2))</f>
        <v>-99</v>
      </c>
      <c r="G149" s="90">
        <f ca="1">IF($A149="","",OFFSET(DATA!$H98,0,($D$50*5)+3))</f>
        <v>-98</v>
      </c>
      <c r="H149" s="90">
        <f ca="1">IF($A149="","",OFFSET(DATA!$H98,0,($D$50*5)+4))</f>
        <v>-99</v>
      </c>
      <c r="I149" s="90">
        <f t="shared" ca="1" si="17"/>
        <v>0.50883788026286081</v>
      </c>
      <c r="J149" s="90" t="str">
        <f t="shared" ca="1" si="18"/>
        <v>RASS</v>
      </c>
      <c r="K149" s="90">
        <f ca="1">IF($A149="","",OFFSET(DATA!$AG98,0,($D$50*5)))</f>
        <v>-99</v>
      </c>
      <c r="L149" s="90">
        <f ca="1">IF($A149="","",OFFSET(DATA!$AG98,0,($D$50*5)+1))</f>
        <v>0.59654744945467952</v>
      </c>
      <c r="M149" s="90">
        <f ca="1">IF($A149="","",OFFSET(DATA!$AG98,0,($D$50*5)+2))</f>
        <v>-99</v>
      </c>
      <c r="N149" s="90">
        <f ca="1">IF($A149="","",OFFSET(DATA!$AG98,0,($D$50*5)+3))</f>
        <v>1.1202750863174031</v>
      </c>
      <c r="O149" s="90">
        <f ca="1">IF($A149="","",OFFSET(DATA!$AG98,0,($D$50*5)+4))</f>
        <v>-99</v>
      </c>
      <c r="P149" s="90">
        <f t="shared" ca="1" si="19"/>
        <v>1.1202750863174031</v>
      </c>
      <c r="Q149" s="90" t="str">
        <f t="shared" ca="1" si="20"/>
        <v>RASS</v>
      </c>
      <c r="R149" s="699">
        <f ca="1">IF($A149="","",IF(DATA!BF98="",-99,DATA!BF98))</f>
        <v>-99</v>
      </c>
      <c r="S149" s="90">
        <f ca="1">IF($A149="","",IF(DATA!BG98="",-99,DATA!BF98-DATA!BG98))</f>
        <v>-99</v>
      </c>
      <c r="T149" s="90">
        <f ca="1">IF($A149="","",DATA!BH98)</f>
        <v>0.9</v>
      </c>
      <c r="U149" s="90">
        <f ca="1">IF($A149="","",OFFSET(DATA!BM98,0,$D$48))</f>
        <v>15.209999999999997</v>
      </c>
      <c r="V149" s="90">
        <f t="shared" ca="1" si="16"/>
        <v>46</v>
      </c>
      <c r="W149" s="99">
        <f t="shared" ca="1" si="21"/>
        <v>45.999942585939827</v>
      </c>
      <c r="X149" s="112">
        <f t="shared" ca="1" si="22"/>
        <v>34.999942994211935</v>
      </c>
      <c r="Y149" s="90">
        <f t="shared" ca="1" si="23"/>
        <v>13</v>
      </c>
      <c r="AA149" s="90" t="str">
        <f ca="1">IF($Y149="","",IF(OFFSET(C$55,'Intermediate Data'!$Y149,0)=-98,"Unknown",IF(OFFSET(C$55,'Intermediate Data'!$Y149,0)=-99,"N/A",OFFSET(C$55,'Intermediate Data'!$Y149,0))))</f>
        <v>Set top box</v>
      </c>
      <c r="AB149" s="90" t="str">
        <f ca="1">IF($Y149="","",IF(OFFSET(D$55,'Intermediate Data'!$Y149,0)=-98,"N/A",IF(OFFSET(D$55,'Intermediate Data'!$Y149,0)=-99,"N/A",OFFSET(D$55,'Intermediate Data'!$Y149,0))))</f>
        <v>N/A</v>
      </c>
      <c r="AC149" s="90" t="str">
        <f ca="1">IF($Y149="","",IF(OFFSET(E$55,'Intermediate Data'!$Y149,0)=-98,"N/A",IF(OFFSET(E$55,'Intermediate Data'!$Y149,0)=-99,"N/A",OFFSET(E$55,'Intermediate Data'!$Y149,0))))</f>
        <v>N/A</v>
      </c>
      <c r="AD149" s="90" t="str">
        <f ca="1">IF($Y149="","",IF(OFFSET(F$55,'Intermediate Data'!$Y149,0)=-98,"N/A",IF(OFFSET(F$55,'Intermediate Data'!$Y149,0)=-99,"N/A",OFFSET(F$55,'Intermediate Data'!$Y149,0))))</f>
        <v>N/A</v>
      </c>
      <c r="AE149" s="90" t="str">
        <f ca="1">IF($Y149="","",IF(OFFSET(G$55,'Intermediate Data'!$Y149,0)=-98,"N/A",IF(OFFSET(G$55,'Intermediate Data'!$Y149,0)=-99,"N/A",OFFSET(G$55,'Intermediate Data'!$Y149,0))))</f>
        <v>N/A</v>
      </c>
      <c r="AF149" s="90" t="str">
        <f ca="1">IF($Y149="","",IF(OFFSET(H$55,'Intermediate Data'!$Y149,0)=-98,"N/A",IF(OFFSET(H$55,'Intermediate Data'!$Y149,0)=-99,"N/A",OFFSET(H$55,'Intermediate Data'!$Y149,0))))</f>
        <v>N/A</v>
      </c>
      <c r="AG149" s="90" t="str">
        <f ca="1">IF($Y149="","",IF(OFFSET(I$55,'Intermediate Data'!$Y149,0)=-98,"N/A",IF(OFFSET(I$55,'Intermediate Data'!$Y149,0)=-99,"N/A",OFFSET(I$55,'Intermediate Data'!$Y149,0))))</f>
        <v>N/A</v>
      </c>
      <c r="AH149" s="90" t="str">
        <f ca="1">IF($Y149="","",IF(OFFSET(J$55,'Intermediate Data'!$Y149,0)=-98,"N/A",IF(OFFSET(J$55,'Intermediate Data'!$Y149,0)=-99,"N/A",OFFSET(J$55,'Intermediate Data'!$Y149,0))))</f>
        <v/>
      </c>
      <c r="AI149" s="90" t="str">
        <f ca="1">IF($Y149="","",IF(OFFSET(K$55,'Intermediate Data'!$Y149,0)=-98,"N/A",IF(OFFSET(K$55,'Intermediate Data'!$Y149,0)=-99,"N/A",OFFSET(K$55,'Intermediate Data'!$Y149,0))))</f>
        <v>N/A</v>
      </c>
      <c r="AJ149" s="90">
        <f ca="1">IF($Y149="","",IF(OFFSET(L$55,'Intermediate Data'!$Y149,0)=-98,"N/A",IF(OFFSET(L$55,'Intermediate Data'!$Y149,0)=-99,"N/A",OFFSET(L$55,'Intermediate Data'!$Y149,0))))</f>
        <v>0.84714932044525826</v>
      </c>
      <c r="AK149" s="90" t="str">
        <f ca="1">IF($Y149="","",IF(OFFSET(M$55,'Intermediate Data'!$Y149,0)=-98,"N/A",IF(OFFSET(M$55,'Intermediate Data'!$Y149,0)=-99,"N/A",OFFSET(M$55,'Intermediate Data'!$Y149,0))))</f>
        <v>N/A</v>
      </c>
      <c r="AL149" s="90">
        <f ca="1">IF($Y149="","",IF(OFFSET(N$55,'Intermediate Data'!$Y149,0)=-98,"N/A",IF(OFFSET(N$55,'Intermediate Data'!$Y149,0)=-99,"N/A",OFFSET(N$55,'Intermediate Data'!$Y149,0))))</f>
        <v>1.582170066925229</v>
      </c>
      <c r="AM149" s="90">
        <f ca="1">IF($Y149="","",IF(OFFSET(O$55,'Intermediate Data'!$Y149,0)=-98,"N/A",IF(OFFSET(O$55,'Intermediate Data'!$Y149,0)=-99,"N/A",OFFSET(O$55,'Intermediate Data'!$Y149,0))))</f>
        <v>1.6160000000000001</v>
      </c>
      <c r="AN149" s="90">
        <f ca="1">IF($Y149="","",IF(OFFSET(P$55,'Intermediate Data'!$Y149,0)=-98,"N/A",IF(OFFSET(P$55,'Intermediate Data'!$Y149,0)=-99,"N/A",OFFSET(P$55,'Intermediate Data'!$Y149,0))))</f>
        <v>1.6160000000000001</v>
      </c>
      <c r="AO149" s="90" t="str">
        <f ca="1">IF($Y149="","",IF(OFFSET(Q$55,'Intermediate Data'!$Y149,0)=-98,"N/A",IF(OFFSET(Q$55,'Intermediate Data'!$Y149,0)=-99,"N/A",OFFSET(Q$55,'Intermediate Data'!$Y149,0))))</f>
        <v>CLASS</v>
      </c>
      <c r="AP149" s="697" t="str">
        <f ca="1">IF($Y149="","",IF(OFFSET(S$55,'Intermediate Data'!$Y149,0)=-98,"",IF(OFFSET(S$55,'Intermediate Data'!$Y149,0)=-99,"",OFFSET(S$55,'Intermediate Data'!$Y149,0))))</f>
        <v/>
      </c>
      <c r="AQ149" s="90">
        <f ca="1">IF($Y149="","",IF(OFFSET(T$55,'Intermediate Data'!$Y149,0)=-98,"Not published",IF(OFFSET(T$55,'Intermediate Data'!$Y149,0)=-99,"",OFFSET(T$55,'Intermediate Data'!$Y149,0))))</f>
        <v>0.89</v>
      </c>
      <c r="AR149" s="90">
        <f ca="1">IF($Y149="","",IF(OFFSET(U$55,'Intermediate Data'!$Y149,0)=-98,"Unknown",IF(OFFSET(U$55,'Intermediate Data'!$Y149,0)=-99,"",OFFSET(U$55,'Intermediate Data'!$Y149,0))))</f>
        <v>115</v>
      </c>
      <c r="AU149" s="112" t="str">
        <f ca="1">IF(AND(OFFSET(DATA!$F98,0,$AX$48)='Intermediate Data'!$AY$48,DATA!$E98="Tier 1"),IF(OR($AX$49=0,$AX$48=1),DATA!A98,IF(AND($AX$49=1,INDEX('Intermediate Data'!$AY$25:$AY$44,MATCH(DATA!$B98,'Intermediate Data'!$AX$25:$AX$44,0))=TRUE),DATA!A98,"")),"")</f>
        <v/>
      </c>
      <c r="AV149" s="112" t="str">
        <f ca="1">IF($AU149="","",DATA!B98)</f>
        <v/>
      </c>
      <c r="AW149" s="112" t="str">
        <f ca="1">IF(OR($AU149="",DATA!BI98=""),"",DATA!BI98)</f>
        <v/>
      </c>
      <c r="AX149" s="112" t="str">
        <f ca="1">IF(OR($AU149="",OFFSET(DATA!BK98,0,$AX$48)=""),"",OFFSET(DATA!BK98,0,$AX$48))</f>
        <v/>
      </c>
      <c r="AY149" s="112" t="str">
        <f ca="1">IF(OR($AU149="",OFFSET(DATA!BM98,0,$AX$48)=""),"",OFFSET(DATA!BM98,0,$AX$48))</f>
        <v/>
      </c>
      <c r="AZ149" s="112" t="str">
        <f ca="1">IF(OR($AU149="",OFFSET(DATA!BO98,0,'Intermediate Data'!$AX$48)=""),"",OFFSET(DATA!BO98,0,$AX$48))</f>
        <v/>
      </c>
      <c r="BA149" s="112" t="str">
        <f ca="1">IF(OR($AU149="",DATA!BQ98=""),"",DATA!BQ98)</f>
        <v/>
      </c>
      <c r="BB149" s="112" t="str">
        <f ca="1">IF($AU149="","",OFFSET(DATA!BS98,0,$AX$48))</f>
        <v/>
      </c>
      <c r="BC149" s="112" t="str">
        <f ca="1">IF($AU149="","",OFFSET(DATA!BU98,0,$AX$48))</f>
        <v/>
      </c>
      <c r="BD149" s="112" t="str">
        <f ca="1">IF($AU149="","",OFFSET(DATA!BW98,0,$AX$48))</f>
        <v/>
      </c>
      <c r="BE149" s="112" t="str">
        <f ca="1">IF($AU149="","",OFFSET(DATA!BY98,0,$AX$48))</f>
        <v/>
      </c>
      <c r="BF149" s="112" t="str">
        <f ca="1">IF($AU149="","",OFFSET(DATA!CA98,0,$AX$48))</f>
        <v/>
      </c>
      <c r="BG149" s="112" t="str">
        <f ca="1">IF($AU149="","",DATA!CC98)</f>
        <v/>
      </c>
      <c r="BH149" s="112" t="str">
        <f ca="1">IF($AU149="","",OFFSET(DATA!CE98,0,$AX$48))</f>
        <v/>
      </c>
      <c r="BI149" s="112" t="str">
        <f ca="1">IF($AU149="","",OFFSET(DATA!CG98,0,$AX$48))</f>
        <v/>
      </c>
      <c r="BJ149" s="112" t="str">
        <f ca="1">IF($AU149="","",OFFSET(DATA!CI98,0,$AX$48))</f>
        <v/>
      </c>
      <c r="BK149" s="112" t="str">
        <f ca="1">IF($AU149="","",OFFSET(DATA!CK98,0,$AX$48))</f>
        <v/>
      </c>
      <c r="BL149" s="112" t="str">
        <f ca="1">IF($AU149="","",OFFSET(DATA!CM98,0,$AX$48))</f>
        <v/>
      </c>
      <c r="BM149" s="112" t="str">
        <f ca="1">IF($AU149="","",DATA!BH98)</f>
        <v/>
      </c>
      <c r="BN149" s="112" t="str">
        <f ca="1">IF($AU149="","",DATA!DS98)</f>
        <v/>
      </c>
      <c r="BO149" s="112" t="str">
        <f ca="1">IF($AU149="","",DATA!DU98)</f>
        <v/>
      </c>
      <c r="BP149" s="112" t="str">
        <f ca="1">IF($AU149="","",DATA!DV98)</f>
        <v/>
      </c>
      <c r="BQ149" s="112" t="str">
        <f ca="1">IF($AU149="","",DATA!DX98)</f>
        <v/>
      </c>
      <c r="BR149" s="112" t="str">
        <f ca="1">IF($AU149="","",DATA!DZ98)</f>
        <v/>
      </c>
      <c r="BS149" s="171" t="str">
        <f ca="1">IF($AU149="","",DATA!EA98)</f>
        <v/>
      </c>
      <c r="BT149" s="171" t="str">
        <f ca="1">IF($AU149="","",DATA!EC98)</f>
        <v/>
      </c>
      <c r="BU149" s="171" t="str">
        <f ca="1">IF($AU149="","",DATA!EF98)</f>
        <v/>
      </c>
      <c r="BV149" s="113" t="str">
        <f t="shared" ca="1" si="24"/>
        <v/>
      </c>
      <c r="BW149" s="680" t="str">
        <f ca="1">IF(AU149="","",OFFSET(DATA!DC98,0,'Intermediate Data'!$AX$48))</f>
        <v/>
      </c>
      <c r="BX149" s="681" t="str">
        <f ca="1">IF($AU149="","",DATA!DG98)</f>
        <v/>
      </c>
      <c r="BY149" s="680" t="str">
        <f ca="1">IF($AU149="","",OFFSET(DATA!DE98,0,'Intermediate Data'!$AX$48))</f>
        <v/>
      </c>
      <c r="BZ149" s="681" t="str">
        <f ca="1">IF($AU149="","",DATA!DH98)</f>
        <v/>
      </c>
      <c r="CA149" s="90" t="str">
        <f t="shared" ca="1" si="25"/>
        <v/>
      </c>
      <c r="CB149" s="99" t="str">
        <f t="shared" ca="1" si="26"/>
        <v/>
      </c>
      <c r="CC149" s="90" t="str">
        <f t="shared" ca="1" si="27"/>
        <v/>
      </c>
      <c r="CD149" s="90" t="str">
        <f t="shared" ca="1" si="28"/>
        <v/>
      </c>
      <c r="CF149" s="90" t="str">
        <f ca="1">IF($CD149="","",IF(OFFSET(AV$55,'Intermediate Data'!$CD149,0)=-98,"Unknown",IF(OFFSET(AV$55,'Intermediate Data'!$CD149,0)=-99,"N/A",OFFSET(AV$55,'Intermediate Data'!$CD149,0))))</f>
        <v/>
      </c>
      <c r="CG149" s="90" t="str">
        <f ca="1">IF($CD149="","",IF(OFFSET(AW$55,'Intermediate Data'!$CD149,0)=-98,"",IF(OFFSET(AW$55,'Intermediate Data'!$CD149,0)=-99,"N/A",OFFSET(AW$55,'Intermediate Data'!$CD149,0))))</f>
        <v/>
      </c>
      <c r="CH149" s="90" t="str">
        <f ca="1">IF($CD149="","",IF(OFFSET(AX$55,'Intermediate Data'!$CD149,0)=-98,"Unknown",IF(OFFSET(AX$55,'Intermediate Data'!$CD149,0)=-99,"N/A",OFFSET(AX$55,'Intermediate Data'!$CD149,0))))</f>
        <v/>
      </c>
      <c r="CI149" s="125" t="str">
        <f ca="1">IF($CD149="","",IF(OFFSET(AY$55,'Intermediate Data'!$CD149,0)=-98,"Unknown",IF(OFFSET(AY$55,'Intermediate Data'!$CD149,0)=-99,"No spec",OFFSET(AY$55,'Intermediate Data'!$CD149,0))))</f>
        <v/>
      </c>
      <c r="CJ149" s="125" t="str">
        <f ca="1">IF($CD149="","",IF(OFFSET(AZ$55,'Intermediate Data'!$CD149,0)=-98,"Unknown",IF(OFFSET(AZ$55,'Intermediate Data'!$CD149,0)=-99,"N/A",OFFSET(AZ$55,'Intermediate Data'!$CD149,0))))</f>
        <v/>
      </c>
      <c r="CK149" s="90" t="str">
        <f ca="1">IF($CD149="","",IF(OFFSET(BA$55,'Intermediate Data'!$CD149,0)=-98,"Unknown",IF(OFFSET(BA$55,'Intermediate Data'!$CD149,0)=-99,"N/A",OFFSET(BA$55,'Intermediate Data'!$CD149,0))))</f>
        <v/>
      </c>
      <c r="CL149" s="90" t="str">
        <f ca="1">IF($CD149="","",IF(OFFSET(BB$55,'Intermediate Data'!$CD149,$AX$50)=-98,"Unknown",IF(OFFSET(BB$55,'Intermediate Data'!$CD149,$AX$50)="N/A","",OFFSET(BB$55,'Intermediate Data'!$CD149,$AX$50))))</f>
        <v/>
      </c>
      <c r="CM149" s="90" t="str">
        <f ca="1">IF($CD149="","",IF(OFFSET(BG$55,'Intermediate Data'!$CD149,0)="ET","ET",""))</f>
        <v/>
      </c>
      <c r="CN149" s="90" t="str">
        <f ca="1">IF($CD149="","",IF(OFFSET(BH$55,'Intermediate Data'!$CD149,$AX$50)=-98,"Unknown",IF(OFFSET(BH$55,'Intermediate Data'!$CD149,$AX$50)="N/A","",OFFSET(BH$55,'Intermediate Data'!$CD149,$AX$50))))</f>
        <v/>
      </c>
      <c r="CO149" s="90" t="str">
        <f ca="1">IF($CD149="","",IF(OFFSET(BM$55,'Intermediate Data'!$CD149,0)=-98,"Not published",IF(OFFSET(BM$55,'Intermediate Data'!$CD149,0)=-99,"No spec",OFFSET(BM$55,'Intermediate Data'!$CD149,0))))</f>
        <v/>
      </c>
      <c r="CP149" s="114" t="str">
        <f ca="1">IF($CD149="","",IF(OFFSET(BN$55,'Intermediate Data'!$CD149,0)=-98,"Unknown",IF(OFFSET(BN$55,'Intermediate Data'!$CD149,0)=-99,"N/A",OFFSET(BN$55,'Intermediate Data'!$CD149,0))))</f>
        <v/>
      </c>
      <c r="CQ149" s="114" t="str">
        <f ca="1">IF($CD149="","",IF(OFFSET(BO$55,'Intermediate Data'!$CD149,0)=-98,"Unknown",IF(OFFSET(BO$55,'Intermediate Data'!$CD149,0)=-99,"N/A",OFFSET(BO$55,'Intermediate Data'!$CD149,0))))</f>
        <v/>
      </c>
      <c r="CR149" s="114" t="str">
        <f ca="1">IF($CD149="","",IF(OFFSET(BP$55,'Intermediate Data'!$CD149,0)=-98,"Unknown",IF(OFFSET(BP$55,'Intermediate Data'!$CD149,0)=-99,"N/A",OFFSET(BP$55,'Intermediate Data'!$CD149,0))))</f>
        <v/>
      </c>
      <c r="CS149" s="114" t="str">
        <f ca="1">IF($CD149="","",IF(OFFSET(BQ$55,'Intermediate Data'!$CD149,0)=-98,"Unknown",IF(OFFSET(BQ$55,'Intermediate Data'!$CD149,0)=-99,"N/A",OFFSET(BQ$55,'Intermediate Data'!$CD149,0))))</f>
        <v/>
      </c>
      <c r="CT149" s="114" t="str">
        <f ca="1">IF($CD149="","",IF(OFFSET(BR$55,'Intermediate Data'!$CD149,0)=-98,"Unknown",IF(OFFSET(BR$55,'Intermediate Data'!$CD149,0)=-99,"N/A",OFFSET(BR$55,'Intermediate Data'!$CD149,0))))</f>
        <v/>
      </c>
      <c r="CU149" s="114" t="str">
        <f ca="1">IF($CD149="","",IF(OFFSET(BS$55,'Intermediate Data'!$CD149,0)=-98,"Unknown",IF(OFFSET(BS$55,'Intermediate Data'!$CD149,0)=-99,"N/A",OFFSET(BS$55,'Intermediate Data'!$CD149,0))))</f>
        <v/>
      </c>
      <c r="CV149" s="114" t="str">
        <f ca="1">IF($CD149="","",IF(OFFSET(BT$55,'Intermediate Data'!$CD149,0)=-98,"Unknown",IF(OFFSET(BT$55,'Intermediate Data'!$CD149,0)=-99,"N/A",OFFSET(BT$55,'Intermediate Data'!$CD149,0))))</f>
        <v/>
      </c>
      <c r="CW149" s="114" t="str">
        <f ca="1">IF($CD149="","",IF(OFFSET(BU$55,'Intermediate Data'!$CD149,0)=-98,"Unknown",IF(OFFSET(BU$55,'Intermediate Data'!$CD149,0)=-99,"N/A",OFFSET(BU$55,'Intermediate Data'!$CD149,0))))</f>
        <v/>
      </c>
      <c r="CX149" s="114" t="str">
        <f ca="1">IF($CD149="","",IF(OFFSET(BV$55,'Intermediate Data'!$CD149,0)=-98,"Unknown",IF(OFFSET(BV$55,'Intermediate Data'!$CD149,0)=-99,"N/A",OFFSET(BV$55,'Intermediate Data'!$CD149,0))))</f>
        <v/>
      </c>
      <c r="CY149" s="682" t="str">
        <f ca="1">IF($CD149="","",IF(OFFSET(BW$55,'Intermediate Data'!$CD149,0)=-98,"Unknown",IF(OFFSET(BW$55,'Intermediate Data'!$CD149,0)="N/A","",OFFSET(BW$55,'Intermediate Data'!$CD149,0))))</f>
        <v/>
      </c>
      <c r="CZ149" s="682" t="str">
        <f ca="1">IF($CD149="","",IF(OFFSET(BX$55,'Intermediate Data'!$CD149,0)=-98,"Unknown",IF(OFFSET(BX$55,'Intermediate Data'!$CD149,0)="N/A","",OFFSET(BX$55,'Intermediate Data'!$CD149,0))))</f>
        <v/>
      </c>
      <c r="DA149" s="682" t="str">
        <f ca="1">IF($CD149="","",IF(OFFSET(BY$55,'Intermediate Data'!$CD149,0)=-98,"Unknown",IF(OFFSET(BY$55,'Intermediate Data'!$CD149,0)="N/A","",OFFSET(BY$55,'Intermediate Data'!$CD149,0))))</f>
        <v/>
      </c>
      <c r="DB149" s="682" t="str">
        <f ca="1">IF($CD149="","",IF(OFFSET(BZ$55,'Intermediate Data'!$CD149,0)=-98,"Unknown",IF(OFFSET(BZ$55,'Intermediate Data'!$CD149,0)="N/A","",OFFSET(BZ$55,'Intermediate Data'!$CD149,0))))</f>
        <v/>
      </c>
    </row>
    <row r="150" spans="1:106" x14ac:dyDescent="0.2">
      <c r="A150" s="90">
        <f ca="1">IF(OFFSET(DATA!F99,0,$D$48)='Intermediate Data'!$E$48,IF(OR($E$49=$C$27,$E$48=$B$4),DATA!A99,IF($G$49=DATA!D99,DATA!A99,"")),"")</f>
        <v>95</v>
      </c>
      <c r="B150" s="90">
        <f ca="1">IF($A150="","",DATA!EH99)</f>
        <v>37</v>
      </c>
      <c r="C150" s="90" t="str">
        <f ca="1">IF($A150="","",DATA!B99)</f>
        <v>Scanner</v>
      </c>
      <c r="D150" s="90">
        <f ca="1">IF($A150="","",OFFSET(DATA!$H99,0,($D$50*5)))</f>
        <v>-99</v>
      </c>
      <c r="E150" s="90">
        <f ca="1">IF($A150="","",OFFSET(DATA!$H99,0,($D$50*5)+1))</f>
        <v>0.21647641047097599</v>
      </c>
      <c r="F150" s="90">
        <f ca="1">IF($A150="","",OFFSET(DATA!$H99,0,($D$50*5)+2))</f>
        <v>-99</v>
      </c>
      <c r="G150" s="90">
        <f ca="1">IF($A150="","",OFFSET(DATA!$H99,0,($D$50*5)+3))</f>
        <v>0.12603127327316591</v>
      </c>
      <c r="H150" s="90">
        <f ca="1">IF($A150="","",OFFSET(DATA!$H99,0,($D$50*5)+4))</f>
        <v>-99</v>
      </c>
      <c r="I150" s="90">
        <f t="shared" ca="1" si="17"/>
        <v>0.12603127327316591</v>
      </c>
      <c r="J150" s="90" t="str">
        <f t="shared" ca="1" si="18"/>
        <v>RASS</v>
      </c>
      <c r="K150" s="90">
        <f ca="1">IF($A150="","",OFFSET(DATA!$AG99,0,($D$50*5)))</f>
        <v>-99</v>
      </c>
      <c r="L150" s="90">
        <f ca="1">IF($A150="","",OFFSET(DATA!$AG99,0,($D$50*5)+1))</f>
        <v>0.22742217621491642</v>
      </c>
      <c r="M150" s="90">
        <f ca="1">IF($A150="","",OFFSET(DATA!$AG99,0,($D$50*5)+2))</f>
        <v>-99</v>
      </c>
      <c r="N150" s="90">
        <f ca="1">IF($A150="","",OFFSET(DATA!$AG99,0,($D$50*5)+3))</f>
        <v>0.13129243147241795</v>
      </c>
      <c r="O150" s="90">
        <f ca="1">IF($A150="","",OFFSET(DATA!$AG99,0,($D$50*5)+4))</f>
        <v>-99</v>
      </c>
      <c r="P150" s="90">
        <f t="shared" ca="1" si="19"/>
        <v>0.13129243147241795</v>
      </c>
      <c r="Q150" s="90" t="str">
        <f t="shared" ca="1" si="20"/>
        <v>RASS</v>
      </c>
      <c r="R150" s="699">
        <f ca="1">IF($A150="","",IF(DATA!BF99="",-99,DATA!BF99))</f>
        <v>-99</v>
      </c>
      <c r="S150" s="90">
        <f ca="1">IF($A150="","",IF(DATA!BG99="",-99,DATA!BF99-DATA!BG99))</f>
        <v>-99</v>
      </c>
      <c r="T150" s="90">
        <f ca="1">IF($A150="","",DATA!BH99)</f>
        <v>-98</v>
      </c>
      <c r="U150" s="90">
        <f ca="1">IF($A150="","",OFFSET(DATA!BM99,0,$D$48))</f>
        <v>3</v>
      </c>
      <c r="V150" s="90">
        <f t="shared" ca="1" si="16"/>
        <v>37</v>
      </c>
      <c r="W150" s="99">
        <f t="shared" ca="1" si="21"/>
        <v>36.999941084225355</v>
      </c>
      <c r="X150" s="112">
        <f t="shared" ca="1" si="22"/>
        <v>33.999881201199997</v>
      </c>
      <c r="Y150" s="90">
        <f t="shared" ca="1" si="23"/>
        <v>65</v>
      </c>
      <c r="AA150" s="90" t="str">
        <f ca="1">IF($Y150="","",IF(OFFSET(C$55,'Intermediate Data'!$Y150,0)=-98,"Unknown",IF(OFFSET(C$55,'Intermediate Data'!$Y150,0)=-99,"N/A",OFFSET(C$55,'Intermediate Data'!$Y150,0))))</f>
        <v>Sewing machine &amp; peripherals</v>
      </c>
      <c r="AB150" s="90" t="str">
        <f ca="1">IF($Y150="","",IF(OFFSET(D$55,'Intermediate Data'!$Y150,0)=-98,"N/A",IF(OFFSET(D$55,'Intermediate Data'!$Y150,0)=-99,"N/A",OFFSET(D$55,'Intermediate Data'!$Y150,0))))</f>
        <v>N/A</v>
      </c>
      <c r="AC150" s="90" t="str">
        <f ca="1">IF($Y150="","",IF(OFFSET(E$55,'Intermediate Data'!$Y150,0)=-98,"N/A",IF(OFFSET(E$55,'Intermediate Data'!$Y150,0)=-99,"N/A",OFFSET(E$55,'Intermediate Data'!$Y150,0))))</f>
        <v>N/A</v>
      </c>
      <c r="AD150" s="90" t="str">
        <f ca="1">IF($Y150="","",IF(OFFSET(F$55,'Intermediate Data'!$Y150,0)=-98,"N/A",IF(OFFSET(F$55,'Intermediate Data'!$Y150,0)=-99,"N/A",OFFSET(F$55,'Intermediate Data'!$Y150,0))))</f>
        <v>N/A</v>
      </c>
      <c r="AE150" s="90" t="str">
        <f ca="1">IF($Y150="","",IF(OFFSET(G$55,'Intermediate Data'!$Y150,0)=-98,"N/A",IF(OFFSET(G$55,'Intermediate Data'!$Y150,0)=-99,"N/A",OFFSET(G$55,'Intermediate Data'!$Y150,0))))</f>
        <v>N/A</v>
      </c>
      <c r="AF150" s="90" t="str">
        <f ca="1">IF($Y150="","",IF(OFFSET(H$55,'Intermediate Data'!$Y150,0)=-98,"N/A",IF(OFFSET(H$55,'Intermediate Data'!$Y150,0)=-99,"N/A",OFFSET(H$55,'Intermediate Data'!$Y150,0))))</f>
        <v>N/A</v>
      </c>
      <c r="AG150" s="90" t="str">
        <f ca="1">IF($Y150="","",IF(OFFSET(I$55,'Intermediate Data'!$Y150,0)=-98,"N/A",IF(OFFSET(I$55,'Intermediate Data'!$Y150,0)=-99,"N/A",OFFSET(I$55,'Intermediate Data'!$Y150,0))))</f>
        <v>N/A</v>
      </c>
      <c r="AH150" s="90" t="str">
        <f ca="1">IF($Y150="","",IF(OFFSET(J$55,'Intermediate Data'!$Y150,0)=-98,"N/A",IF(OFFSET(J$55,'Intermediate Data'!$Y150,0)=-99,"N/A",OFFSET(J$55,'Intermediate Data'!$Y150,0))))</f>
        <v/>
      </c>
      <c r="AI150" s="90" t="str">
        <f ca="1">IF($Y150="","",IF(OFFSET(K$55,'Intermediate Data'!$Y150,0)=-98,"N/A",IF(OFFSET(K$55,'Intermediate Data'!$Y150,0)=-99,"N/A",OFFSET(K$55,'Intermediate Data'!$Y150,0))))</f>
        <v>N/A</v>
      </c>
      <c r="AJ150" s="90" t="str">
        <f ca="1">IF($Y150="","",IF(OFFSET(L$55,'Intermediate Data'!$Y150,0)=-98,"N/A",IF(OFFSET(L$55,'Intermediate Data'!$Y150,0)=-99,"N/A",OFFSET(L$55,'Intermediate Data'!$Y150,0))))</f>
        <v>N/A</v>
      </c>
      <c r="AK150" s="90" t="str">
        <f ca="1">IF($Y150="","",IF(OFFSET(M$55,'Intermediate Data'!$Y150,0)=-98,"N/A",IF(OFFSET(M$55,'Intermediate Data'!$Y150,0)=-99,"N/A",OFFSET(M$55,'Intermediate Data'!$Y150,0))))</f>
        <v>N/A</v>
      </c>
      <c r="AL150" s="90" t="str">
        <f ca="1">IF($Y150="","",IF(OFFSET(N$55,'Intermediate Data'!$Y150,0)=-98,"N/A",IF(OFFSET(N$55,'Intermediate Data'!$Y150,0)=-99,"N/A",OFFSET(N$55,'Intermediate Data'!$Y150,0))))</f>
        <v>N/A</v>
      </c>
      <c r="AM150" s="90" t="str">
        <f ca="1">IF($Y150="","",IF(OFFSET(O$55,'Intermediate Data'!$Y150,0)=-98,"N/A",IF(OFFSET(O$55,'Intermediate Data'!$Y150,0)=-99,"N/A",OFFSET(O$55,'Intermediate Data'!$Y150,0))))</f>
        <v>N/A</v>
      </c>
      <c r="AN150" s="90" t="str">
        <f ca="1">IF($Y150="","",IF(OFFSET(P$55,'Intermediate Data'!$Y150,0)=-98,"N/A",IF(OFFSET(P$55,'Intermediate Data'!$Y150,0)=-99,"N/A",OFFSET(P$55,'Intermediate Data'!$Y150,0))))</f>
        <v>N/A</v>
      </c>
      <c r="AO150" s="90" t="str">
        <f ca="1">IF($Y150="","",IF(OFFSET(Q$55,'Intermediate Data'!$Y150,0)=-98,"N/A",IF(OFFSET(Q$55,'Intermediate Data'!$Y150,0)=-99,"N/A",OFFSET(Q$55,'Intermediate Data'!$Y150,0))))</f>
        <v/>
      </c>
      <c r="AP150" s="697" t="str">
        <f ca="1">IF($Y150="","",IF(OFFSET(S$55,'Intermediate Data'!$Y150,0)=-98,"",IF(OFFSET(S$55,'Intermediate Data'!$Y150,0)=-99,"",OFFSET(S$55,'Intermediate Data'!$Y150,0))))</f>
        <v/>
      </c>
      <c r="AQ150" s="90" t="str">
        <f ca="1">IF($Y150="","",IF(OFFSET(T$55,'Intermediate Data'!$Y150,0)=-98,"Not published",IF(OFFSET(T$55,'Intermediate Data'!$Y150,0)=-99,"",OFFSET(T$55,'Intermediate Data'!$Y150,0))))</f>
        <v/>
      </c>
      <c r="AR150" s="90" t="str">
        <f ca="1">IF($Y150="","",IF(OFFSET(U$55,'Intermediate Data'!$Y150,0)=-98,"Unknown",IF(OFFSET(U$55,'Intermediate Data'!$Y150,0)=-99,"",OFFSET(U$55,'Intermediate Data'!$Y150,0))))</f>
        <v/>
      </c>
      <c r="AU150" s="112" t="str">
        <f ca="1">IF(AND(OFFSET(DATA!$F99,0,$AX$48)='Intermediate Data'!$AY$48,DATA!$E99="Tier 1"),IF(OR($AX$49=0,$AX$48=1),DATA!A99,IF(AND($AX$49=1,INDEX('Intermediate Data'!$AY$25:$AY$44,MATCH(DATA!$B99,'Intermediate Data'!$AX$25:$AX$44,0))=TRUE),DATA!A99,"")),"")</f>
        <v/>
      </c>
      <c r="AV150" s="112" t="str">
        <f ca="1">IF($AU150="","",DATA!B99)</f>
        <v/>
      </c>
      <c r="AW150" s="112" t="str">
        <f ca="1">IF(OR($AU150="",DATA!BI99=""),"",DATA!BI99)</f>
        <v/>
      </c>
      <c r="AX150" s="112" t="str">
        <f ca="1">IF(OR($AU150="",OFFSET(DATA!BK99,0,$AX$48)=""),"",OFFSET(DATA!BK99,0,$AX$48))</f>
        <v/>
      </c>
      <c r="AY150" s="112" t="str">
        <f ca="1">IF(OR($AU150="",OFFSET(DATA!BM99,0,$AX$48)=""),"",OFFSET(DATA!BM99,0,$AX$48))</f>
        <v/>
      </c>
      <c r="AZ150" s="112" t="str">
        <f ca="1">IF(OR($AU150="",OFFSET(DATA!BO99,0,'Intermediate Data'!$AX$48)=""),"",OFFSET(DATA!BO99,0,$AX$48))</f>
        <v/>
      </c>
      <c r="BA150" s="112" t="str">
        <f ca="1">IF(OR($AU150="",DATA!BQ99=""),"",DATA!BQ99)</f>
        <v/>
      </c>
      <c r="BB150" s="112" t="str">
        <f ca="1">IF($AU150="","",OFFSET(DATA!BS99,0,$AX$48))</f>
        <v/>
      </c>
      <c r="BC150" s="112" t="str">
        <f ca="1">IF($AU150="","",OFFSET(DATA!BU99,0,$AX$48))</f>
        <v/>
      </c>
      <c r="BD150" s="112" t="str">
        <f ca="1">IF($AU150="","",OFFSET(DATA!BW99,0,$AX$48))</f>
        <v/>
      </c>
      <c r="BE150" s="112" t="str">
        <f ca="1">IF($AU150="","",OFFSET(DATA!BY99,0,$AX$48))</f>
        <v/>
      </c>
      <c r="BF150" s="112" t="str">
        <f ca="1">IF($AU150="","",OFFSET(DATA!CA99,0,$AX$48))</f>
        <v/>
      </c>
      <c r="BG150" s="112" t="str">
        <f ca="1">IF($AU150="","",DATA!CC99)</f>
        <v/>
      </c>
      <c r="BH150" s="112" t="str">
        <f ca="1">IF($AU150="","",OFFSET(DATA!CE99,0,$AX$48))</f>
        <v/>
      </c>
      <c r="BI150" s="112" t="str">
        <f ca="1">IF($AU150="","",OFFSET(DATA!CG99,0,$AX$48))</f>
        <v/>
      </c>
      <c r="BJ150" s="112" t="str">
        <f ca="1">IF($AU150="","",OFFSET(DATA!CI99,0,$AX$48))</f>
        <v/>
      </c>
      <c r="BK150" s="112" t="str">
        <f ca="1">IF($AU150="","",OFFSET(DATA!CK99,0,$AX$48))</f>
        <v/>
      </c>
      <c r="BL150" s="112" t="str">
        <f ca="1">IF($AU150="","",OFFSET(DATA!CM99,0,$AX$48))</f>
        <v/>
      </c>
      <c r="BM150" s="112" t="str">
        <f ca="1">IF($AU150="","",DATA!BH99)</f>
        <v/>
      </c>
      <c r="BN150" s="112" t="str">
        <f ca="1">IF($AU150="","",DATA!DS99)</f>
        <v/>
      </c>
      <c r="BO150" s="112" t="str">
        <f ca="1">IF($AU150="","",DATA!DU99)</f>
        <v/>
      </c>
      <c r="BP150" s="112" t="str">
        <f ca="1">IF($AU150="","",DATA!DV99)</f>
        <v/>
      </c>
      <c r="BQ150" s="112" t="str">
        <f ca="1">IF($AU150="","",DATA!DX99)</f>
        <v/>
      </c>
      <c r="BR150" s="112" t="str">
        <f ca="1">IF($AU150="","",DATA!DZ99)</f>
        <v/>
      </c>
      <c r="BS150" s="171" t="str">
        <f ca="1">IF($AU150="","",DATA!EA99)</f>
        <v/>
      </c>
      <c r="BT150" s="171" t="str">
        <f ca="1">IF($AU150="","",DATA!EC99)</f>
        <v/>
      </c>
      <c r="BU150" s="171" t="str">
        <f ca="1">IF($AU150="","",DATA!EF99)</f>
        <v/>
      </c>
      <c r="BV150" s="113" t="str">
        <f t="shared" ca="1" si="24"/>
        <v/>
      </c>
      <c r="BW150" s="680" t="str">
        <f ca="1">IF(AU150="","",OFFSET(DATA!DC99,0,'Intermediate Data'!$AX$48))</f>
        <v/>
      </c>
      <c r="BX150" s="681" t="str">
        <f ca="1">IF($AU150="","",DATA!DG99)</f>
        <v/>
      </c>
      <c r="BY150" s="680" t="str">
        <f ca="1">IF($AU150="","",OFFSET(DATA!DE99,0,'Intermediate Data'!$AX$48))</f>
        <v/>
      </c>
      <c r="BZ150" s="681" t="str">
        <f ca="1">IF($AU150="","",DATA!DH99)</f>
        <v/>
      </c>
      <c r="CA150" s="90" t="str">
        <f t="shared" ca="1" si="25"/>
        <v/>
      </c>
      <c r="CB150" s="99" t="str">
        <f t="shared" ca="1" si="26"/>
        <v/>
      </c>
      <c r="CC150" s="90" t="str">
        <f t="shared" ca="1" si="27"/>
        <v/>
      </c>
      <c r="CD150" s="90" t="str">
        <f t="shared" ca="1" si="28"/>
        <v/>
      </c>
      <c r="CF150" s="90" t="str">
        <f ca="1">IF($CD150="","",IF(OFFSET(AV$55,'Intermediate Data'!$CD150,0)=-98,"Unknown",IF(OFFSET(AV$55,'Intermediate Data'!$CD150,0)=-99,"N/A",OFFSET(AV$55,'Intermediate Data'!$CD150,0))))</f>
        <v/>
      </c>
      <c r="CG150" s="90" t="str">
        <f ca="1">IF($CD150="","",IF(OFFSET(AW$55,'Intermediate Data'!$CD150,0)=-98,"",IF(OFFSET(AW$55,'Intermediate Data'!$CD150,0)=-99,"N/A",OFFSET(AW$55,'Intermediate Data'!$CD150,0))))</f>
        <v/>
      </c>
      <c r="CH150" s="90" t="str">
        <f ca="1">IF($CD150="","",IF(OFFSET(AX$55,'Intermediate Data'!$CD150,0)=-98,"Unknown",IF(OFFSET(AX$55,'Intermediate Data'!$CD150,0)=-99,"N/A",OFFSET(AX$55,'Intermediate Data'!$CD150,0))))</f>
        <v/>
      </c>
      <c r="CI150" s="125" t="str">
        <f ca="1">IF($CD150="","",IF(OFFSET(AY$55,'Intermediate Data'!$CD150,0)=-98,"Unknown",IF(OFFSET(AY$55,'Intermediate Data'!$CD150,0)=-99,"No spec",OFFSET(AY$55,'Intermediate Data'!$CD150,0))))</f>
        <v/>
      </c>
      <c r="CJ150" s="125" t="str">
        <f ca="1">IF($CD150="","",IF(OFFSET(AZ$55,'Intermediate Data'!$CD150,0)=-98,"Unknown",IF(OFFSET(AZ$55,'Intermediate Data'!$CD150,0)=-99,"N/A",OFFSET(AZ$55,'Intermediate Data'!$CD150,0))))</f>
        <v/>
      </c>
      <c r="CK150" s="90" t="str">
        <f ca="1">IF($CD150="","",IF(OFFSET(BA$55,'Intermediate Data'!$CD150,0)=-98,"Unknown",IF(OFFSET(BA$55,'Intermediate Data'!$CD150,0)=-99,"N/A",OFFSET(BA$55,'Intermediate Data'!$CD150,0))))</f>
        <v/>
      </c>
      <c r="CL150" s="90" t="str">
        <f ca="1">IF($CD150="","",IF(OFFSET(BB$55,'Intermediate Data'!$CD150,$AX$50)=-98,"Unknown",IF(OFFSET(BB$55,'Intermediate Data'!$CD150,$AX$50)="N/A","",OFFSET(BB$55,'Intermediate Data'!$CD150,$AX$50))))</f>
        <v/>
      </c>
      <c r="CM150" s="90" t="str">
        <f ca="1">IF($CD150="","",IF(OFFSET(BG$55,'Intermediate Data'!$CD150,0)="ET","ET",""))</f>
        <v/>
      </c>
      <c r="CN150" s="90" t="str">
        <f ca="1">IF($CD150="","",IF(OFFSET(BH$55,'Intermediate Data'!$CD150,$AX$50)=-98,"Unknown",IF(OFFSET(BH$55,'Intermediate Data'!$CD150,$AX$50)="N/A","",OFFSET(BH$55,'Intermediate Data'!$CD150,$AX$50))))</f>
        <v/>
      </c>
      <c r="CO150" s="90" t="str">
        <f ca="1">IF($CD150="","",IF(OFFSET(BM$55,'Intermediate Data'!$CD150,0)=-98,"Not published",IF(OFFSET(BM$55,'Intermediate Data'!$CD150,0)=-99,"No spec",OFFSET(BM$55,'Intermediate Data'!$CD150,0))))</f>
        <v/>
      </c>
      <c r="CP150" s="114" t="str">
        <f ca="1">IF($CD150="","",IF(OFFSET(BN$55,'Intermediate Data'!$CD150,0)=-98,"Unknown",IF(OFFSET(BN$55,'Intermediate Data'!$CD150,0)=-99,"N/A",OFFSET(BN$55,'Intermediate Data'!$CD150,0))))</f>
        <v/>
      </c>
      <c r="CQ150" s="114" t="str">
        <f ca="1">IF($CD150="","",IF(OFFSET(BO$55,'Intermediate Data'!$CD150,0)=-98,"Unknown",IF(OFFSET(BO$55,'Intermediate Data'!$CD150,0)=-99,"N/A",OFFSET(BO$55,'Intermediate Data'!$CD150,0))))</f>
        <v/>
      </c>
      <c r="CR150" s="114" t="str">
        <f ca="1">IF($CD150="","",IF(OFFSET(BP$55,'Intermediate Data'!$CD150,0)=-98,"Unknown",IF(OFFSET(BP$55,'Intermediate Data'!$CD150,0)=-99,"N/A",OFFSET(BP$55,'Intermediate Data'!$CD150,0))))</f>
        <v/>
      </c>
      <c r="CS150" s="114" t="str">
        <f ca="1">IF($CD150="","",IF(OFFSET(BQ$55,'Intermediate Data'!$CD150,0)=-98,"Unknown",IF(OFFSET(BQ$55,'Intermediate Data'!$CD150,0)=-99,"N/A",OFFSET(BQ$55,'Intermediate Data'!$CD150,0))))</f>
        <v/>
      </c>
      <c r="CT150" s="114" t="str">
        <f ca="1">IF($CD150="","",IF(OFFSET(BR$55,'Intermediate Data'!$CD150,0)=-98,"Unknown",IF(OFFSET(BR$55,'Intermediate Data'!$CD150,0)=-99,"N/A",OFFSET(BR$55,'Intermediate Data'!$CD150,0))))</f>
        <v/>
      </c>
      <c r="CU150" s="114" t="str">
        <f ca="1">IF($CD150="","",IF(OFFSET(BS$55,'Intermediate Data'!$CD150,0)=-98,"Unknown",IF(OFFSET(BS$55,'Intermediate Data'!$CD150,0)=-99,"N/A",OFFSET(BS$55,'Intermediate Data'!$CD150,0))))</f>
        <v/>
      </c>
      <c r="CV150" s="114" t="str">
        <f ca="1">IF($CD150="","",IF(OFFSET(BT$55,'Intermediate Data'!$CD150,0)=-98,"Unknown",IF(OFFSET(BT$55,'Intermediate Data'!$CD150,0)=-99,"N/A",OFFSET(BT$55,'Intermediate Data'!$CD150,0))))</f>
        <v/>
      </c>
      <c r="CW150" s="114" t="str">
        <f ca="1">IF($CD150="","",IF(OFFSET(BU$55,'Intermediate Data'!$CD150,0)=-98,"Unknown",IF(OFFSET(BU$55,'Intermediate Data'!$CD150,0)=-99,"N/A",OFFSET(BU$55,'Intermediate Data'!$CD150,0))))</f>
        <v/>
      </c>
      <c r="CX150" s="114" t="str">
        <f ca="1">IF($CD150="","",IF(OFFSET(BV$55,'Intermediate Data'!$CD150,0)=-98,"Unknown",IF(OFFSET(BV$55,'Intermediate Data'!$CD150,0)=-99,"N/A",OFFSET(BV$55,'Intermediate Data'!$CD150,0))))</f>
        <v/>
      </c>
      <c r="CY150" s="682" t="str">
        <f ca="1">IF($CD150="","",IF(OFFSET(BW$55,'Intermediate Data'!$CD150,0)=-98,"Unknown",IF(OFFSET(BW$55,'Intermediate Data'!$CD150,0)="N/A","",OFFSET(BW$55,'Intermediate Data'!$CD150,0))))</f>
        <v/>
      </c>
      <c r="CZ150" s="682" t="str">
        <f ca="1">IF($CD150="","",IF(OFFSET(BX$55,'Intermediate Data'!$CD150,0)=-98,"Unknown",IF(OFFSET(BX$55,'Intermediate Data'!$CD150,0)="N/A","",OFFSET(BX$55,'Intermediate Data'!$CD150,0))))</f>
        <v/>
      </c>
      <c r="DA150" s="682" t="str">
        <f ca="1">IF($CD150="","",IF(OFFSET(BY$55,'Intermediate Data'!$CD150,0)=-98,"Unknown",IF(OFFSET(BY$55,'Intermediate Data'!$CD150,0)="N/A","",OFFSET(BY$55,'Intermediate Data'!$CD150,0))))</f>
        <v/>
      </c>
      <c r="DB150" s="682" t="str">
        <f ca="1">IF($CD150="","",IF(OFFSET(BZ$55,'Intermediate Data'!$CD150,0)=-98,"Unknown",IF(OFFSET(BZ$55,'Intermediate Data'!$CD150,0)="N/A","",OFFSET(BZ$55,'Intermediate Data'!$CD150,0))))</f>
        <v/>
      </c>
    </row>
    <row r="151" spans="1:106" x14ac:dyDescent="0.2">
      <c r="A151" s="90">
        <f ca="1">IF(OFFSET(DATA!F100,0,$D$48)='Intermediate Data'!$E$48,IF(OR($E$49=$C$27,$E$48=$B$4),DATA!A100,IF($G$49=DATA!D100,DATA!A100,"")),"")</f>
        <v>96</v>
      </c>
      <c r="B151" s="90">
        <f ca="1">IF($A151="","",DATA!EH100)</f>
        <v>32</v>
      </c>
      <c r="C151" s="90" t="str">
        <f ca="1">IF($A151="","",DATA!B100)</f>
        <v>Shredder</v>
      </c>
      <c r="D151" s="90">
        <f ca="1">IF($A151="","",OFFSET(DATA!$H100,0,($D$50*5)))</f>
        <v>-99</v>
      </c>
      <c r="E151" s="90">
        <f ca="1">IF($A151="","",OFFSET(DATA!$H100,0,($D$50*5)+1))</f>
        <v>-99</v>
      </c>
      <c r="F151" s="90">
        <f ca="1">IF($A151="","",OFFSET(DATA!$H100,0,($D$50*5)+2))</f>
        <v>-99</v>
      </c>
      <c r="G151" s="90">
        <f ca="1">IF($A151="","",OFFSET(DATA!$H100,0,($D$50*5)+3))</f>
        <v>-99</v>
      </c>
      <c r="H151" s="90">
        <f ca="1">IF($A151="","",OFFSET(DATA!$H100,0,($D$50*5)+4))</f>
        <v>-99</v>
      </c>
      <c r="I151" s="90">
        <f t="shared" ca="1" si="17"/>
        <v>-99</v>
      </c>
      <c r="J151" s="90" t="str">
        <f t="shared" ca="1" si="18"/>
        <v/>
      </c>
      <c r="K151" s="90">
        <f ca="1">IF($A151="","",OFFSET(DATA!$AG100,0,($D$50*5)))</f>
        <v>-99</v>
      </c>
      <c r="L151" s="90">
        <f ca="1">IF($A151="","",OFFSET(DATA!$AG100,0,($D$50*5)+1))</f>
        <v>-99</v>
      </c>
      <c r="M151" s="90">
        <f ca="1">IF($A151="","",OFFSET(DATA!$AG100,0,($D$50*5)+2))</f>
        <v>-99</v>
      </c>
      <c r="N151" s="90">
        <f ca="1">IF($A151="","",OFFSET(DATA!$AG100,0,($D$50*5)+3))</f>
        <v>-99</v>
      </c>
      <c r="O151" s="90">
        <f ca="1">IF($A151="","",OFFSET(DATA!$AG100,0,($D$50*5)+4))</f>
        <v>-99</v>
      </c>
      <c r="P151" s="90">
        <f t="shared" ca="1" si="19"/>
        <v>-99</v>
      </c>
      <c r="Q151" s="90" t="str">
        <f t="shared" ca="1" si="20"/>
        <v/>
      </c>
      <c r="R151" s="699">
        <f ca="1">IF($A151="","",IF(DATA!BF100="",-99,DATA!BF100))</f>
        <v>-99</v>
      </c>
      <c r="S151" s="90">
        <f ca="1">IF($A151="","",IF(DATA!BG100="",-99,DATA!BF100-DATA!BG100))</f>
        <v>-99</v>
      </c>
      <c r="T151" s="90">
        <f ca="1">IF($A151="","",DATA!BH100)</f>
        <v>-99</v>
      </c>
      <c r="U151" s="90">
        <f ca="1">IF($A151="","",OFFSET(DATA!BM100,0,$D$48))</f>
        <v>-99</v>
      </c>
      <c r="V151" s="90">
        <f t="shared" ca="1" si="16"/>
        <v>32</v>
      </c>
      <c r="W151" s="99">
        <f t="shared" ca="1" si="21"/>
        <v>31.99988120151</v>
      </c>
      <c r="X151" s="112">
        <f t="shared" ca="1" si="22"/>
        <v>32.999881201699999</v>
      </c>
      <c r="Y151" s="90">
        <f t="shared" ca="1" si="23"/>
        <v>115</v>
      </c>
      <c r="AA151" s="90" t="str">
        <f ca="1">IF($Y151="","",IF(OFFSET(C$55,'Intermediate Data'!$Y151,0)=-98,"Unknown",IF(OFFSET(C$55,'Intermediate Data'!$Y151,0)=-99,"N/A",OFFSET(C$55,'Intermediate Data'!$Y151,0))))</f>
        <v>Shaver</v>
      </c>
      <c r="AB151" s="90" t="str">
        <f ca="1">IF($Y151="","",IF(OFFSET(D$55,'Intermediate Data'!$Y151,0)=-98,"N/A",IF(OFFSET(D$55,'Intermediate Data'!$Y151,0)=-99,"N/A",OFFSET(D$55,'Intermediate Data'!$Y151,0))))</f>
        <v>N/A</v>
      </c>
      <c r="AC151" s="90" t="str">
        <f ca="1">IF($Y151="","",IF(OFFSET(E$55,'Intermediate Data'!$Y151,0)=-98,"N/A",IF(OFFSET(E$55,'Intermediate Data'!$Y151,0)=-99,"N/A",OFFSET(E$55,'Intermediate Data'!$Y151,0))))</f>
        <v>N/A</v>
      </c>
      <c r="AD151" s="90" t="str">
        <f ca="1">IF($Y151="","",IF(OFFSET(F$55,'Intermediate Data'!$Y151,0)=-98,"N/A",IF(OFFSET(F$55,'Intermediate Data'!$Y151,0)=-99,"N/A",OFFSET(F$55,'Intermediate Data'!$Y151,0))))</f>
        <v>N/A</v>
      </c>
      <c r="AE151" s="90" t="str">
        <f ca="1">IF($Y151="","",IF(OFFSET(G$55,'Intermediate Data'!$Y151,0)=-98,"N/A",IF(OFFSET(G$55,'Intermediate Data'!$Y151,0)=-99,"N/A",OFFSET(G$55,'Intermediate Data'!$Y151,0))))</f>
        <v>N/A</v>
      </c>
      <c r="AF151" s="90" t="str">
        <f ca="1">IF($Y151="","",IF(OFFSET(H$55,'Intermediate Data'!$Y151,0)=-98,"N/A",IF(OFFSET(H$55,'Intermediate Data'!$Y151,0)=-99,"N/A",OFFSET(H$55,'Intermediate Data'!$Y151,0))))</f>
        <v>N/A</v>
      </c>
      <c r="AG151" s="90" t="str">
        <f ca="1">IF($Y151="","",IF(OFFSET(I$55,'Intermediate Data'!$Y151,0)=-98,"N/A",IF(OFFSET(I$55,'Intermediate Data'!$Y151,0)=-99,"N/A",OFFSET(I$55,'Intermediate Data'!$Y151,0))))</f>
        <v>N/A</v>
      </c>
      <c r="AH151" s="90" t="str">
        <f ca="1">IF($Y151="","",IF(OFFSET(J$55,'Intermediate Data'!$Y151,0)=-98,"N/A",IF(OFFSET(J$55,'Intermediate Data'!$Y151,0)=-99,"N/A",OFFSET(J$55,'Intermediate Data'!$Y151,0))))</f>
        <v/>
      </c>
      <c r="AI151" s="90" t="str">
        <f ca="1">IF($Y151="","",IF(OFFSET(K$55,'Intermediate Data'!$Y151,0)=-98,"N/A",IF(OFFSET(K$55,'Intermediate Data'!$Y151,0)=-99,"N/A",OFFSET(K$55,'Intermediate Data'!$Y151,0))))</f>
        <v>N/A</v>
      </c>
      <c r="AJ151" s="90" t="str">
        <f ca="1">IF($Y151="","",IF(OFFSET(L$55,'Intermediate Data'!$Y151,0)=-98,"N/A",IF(OFFSET(L$55,'Intermediate Data'!$Y151,0)=-99,"N/A",OFFSET(L$55,'Intermediate Data'!$Y151,0))))</f>
        <v>N/A</v>
      </c>
      <c r="AK151" s="90" t="str">
        <f ca="1">IF($Y151="","",IF(OFFSET(M$55,'Intermediate Data'!$Y151,0)=-98,"N/A",IF(OFFSET(M$55,'Intermediate Data'!$Y151,0)=-99,"N/A",OFFSET(M$55,'Intermediate Data'!$Y151,0))))</f>
        <v>N/A</v>
      </c>
      <c r="AL151" s="90" t="str">
        <f ca="1">IF($Y151="","",IF(OFFSET(N$55,'Intermediate Data'!$Y151,0)=-98,"N/A",IF(OFFSET(N$55,'Intermediate Data'!$Y151,0)=-99,"N/A",OFFSET(N$55,'Intermediate Data'!$Y151,0))))</f>
        <v>N/A</v>
      </c>
      <c r="AM151" s="90" t="str">
        <f ca="1">IF($Y151="","",IF(OFFSET(O$55,'Intermediate Data'!$Y151,0)=-98,"N/A",IF(OFFSET(O$55,'Intermediate Data'!$Y151,0)=-99,"N/A",OFFSET(O$55,'Intermediate Data'!$Y151,0))))</f>
        <v>N/A</v>
      </c>
      <c r="AN151" s="90" t="str">
        <f ca="1">IF($Y151="","",IF(OFFSET(P$55,'Intermediate Data'!$Y151,0)=-98,"N/A",IF(OFFSET(P$55,'Intermediate Data'!$Y151,0)=-99,"N/A",OFFSET(P$55,'Intermediate Data'!$Y151,0))))</f>
        <v>N/A</v>
      </c>
      <c r="AO151" s="90" t="str">
        <f ca="1">IF($Y151="","",IF(OFFSET(Q$55,'Intermediate Data'!$Y151,0)=-98,"N/A",IF(OFFSET(Q$55,'Intermediate Data'!$Y151,0)=-99,"N/A",OFFSET(Q$55,'Intermediate Data'!$Y151,0))))</f>
        <v/>
      </c>
      <c r="AP151" s="697" t="str">
        <f ca="1">IF($Y151="","",IF(OFFSET(S$55,'Intermediate Data'!$Y151,0)=-98,"",IF(OFFSET(S$55,'Intermediate Data'!$Y151,0)=-99,"",OFFSET(S$55,'Intermediate Data'!$Y151,0))))</f>
        <v/>
      </c>
      <c r="AQ151" s="90" t="str">
        <f ca="1">IF($Y151="","",IF(OFFSET(T$55,'Intermediate Data'!$Y151,0)=-98,"Not published",IF(OFFSET(T$55,'Intermediate Data'!$Y151,0)=-99,"",OFFSET(T$55,'Intermediate Data'!$Y151,0))))</f>
        <v/>
      </c>
      <c r="AR151" s="90" t="str">
        <f ca="1">IF($Y151="","",IF(OFFSET(U$55,'Intermediate Data'!$Y151,0)=-98,"Unknown",IF(OFFSET(U$55,'Intermediate Data'!$Y151,0)=-99,"",OFFSET(U$55,'Intermediate Data'!$Y151,0))))</f>
        <v/>
      </c>
      <c r="AU151" s="112" t="str">
        <f ca="1">IF(AND(OFFSET(DATA!$F100,0,$AX$48)='Intermediate Data'!$AY$48,DATA!$E100="Tier 1"),IF(OR($AX$49=0,$AX$48=1),DATA!A100,IF(AND($AX$49=1,INDEX('Intermediate Data'!$AY$25:$AY$44,MATCH(DATA!$B100,'Intermediate Data'!$AX$25:$AX$44,0))=TRUE),DATA!A100,"")),"")</f>
        <v/>
      </c>
      <c r="AV151" s="112" t="str">
        <f ca="1">IF($AU151="","",DATA!B100)</f>
        <v/>
      </c>
      <c r="AW151" s="112" t="str">
        <f ca="1">IF(OR($AU151="",DATA!BI100=""),"",DATA!BI100)</f>
        <v/>
      </c>
      <c r="AX151" s="112" t="str">
        <f ca="1">IF(OR($AU151="",OFFSET(DATA!BK100,0,$AX$48)=""),"",OFFSET(DATA!BK100,0,$AX$48))</f>
        <v/>
      </c>
      <c r="AY151" s="112" t="str">
        <f ca="1">IF(OR($AU151="",OFFSET(DATA!BM100,0,$AX$48)=""),"",OFFSET(DATA!BM100,0,$AX$48))</f>
        <v/>
      </c>
      <c r="AZ151" s="112" t="str">
        <f ca="1">IF(OR($AU151="",OFFSET(DATA!BO100,0,'Intermediate Data'!$AX$48)=""),"",OFFSET(DATA!BO100,0,$AX$48))</f>
        <v/>
      </c>
      <c r="BA151" s="112" t="str">
        <f ca="1">IF(OR($AU151="",DATA!BQ100=""),"",DATA!BQ100)</f>
        <v/>
      </c>
      <c r="BB151" s="112" t="str">
        <f ca="1">IF($AU151="","",OFFSET(DATA!BS100,0,$AX$48))</f>
        <v/>
      </c>
      <c r="BC151" s="112" t="str">
        <f ca="1">IF($AU151="","",OFFSET(DATA!BU100,0,$AX$48))</f>
        <v/>
      </c>
      <c r="BD151" s="112" t="str">
        <f ca="1">IF($AU151="","",OFFSET(DATA!BW100,0,$AX$48))</f>
        <v/>
      </c>
      <c r="BE151" s="112" t="str">
        <f ca="1">IF($AU151="","",OFFSET(DATA!BY100,0,$AX$48))</f>
        <v/>
      </c>
      <c r="BF151" s="112" t="str">
        <f ca="1">IF($AU151="","",OFFSET(DATA!CA100,0,$AX$48))</f>
        <v/>
      </c>
      <c r="BG151" s="112" t="str">
        <f ca="1">IF($AU151="","",DATA!CC100)</f>
        <v/>
      </c>
      <c r="BH151" s="112" t="str">
        <f ca="1">IF($AU151="","",OFFSET(DATA!CE100,0,$AX$48))</f>
        <v/>
      </c>
      <c r="BI151" s="112" t="str">
        <f ca="1">IF($AU151="","",OFFSET(DATA!CG100,0,$AX$48))</f>
        <v/>
      </c>
      <c r="BJ151" s="112" t="str">
        <f ca="1">IF($AU151="","",OFFSET(DATA!CI100,0,$AX$48))</f>
        <v/>
      </c>
      <c r="BK151" s="112" t="str">
        <f ca="1">IF($AU151="","",OFFSET(DATA!CK100,0,$AX$48))</f>
        <v/>
      </c>
      <c r="BL151" s="112" t="str">
        <f ca="1">IF($AU151="","",OFFSET(DATA!CM100,0,$AX$48))</f>
        <v/>
      </c>
      <c r="BM151" s="112" t="str">
        <f ca="1">IF($AU151="","",DATA!BH100)</f>
        <v/>
      </c>
      <c r="BN151" s="112" t="str">
        <f ca="1">IF($AU151="","",DATA!DS100)</f>
        <v/>
      </c>
      <c r="BO151" s="112" t="str">
        <f ca="1">IF($AU151="","",DATA!DU100)</f>
        <v/>
      </c>
      <c r="BP151" s="112" t="str">
        <f ca="1">IF($AU151="","",DATA!DV100)</f>
        <v/>
      </c>
      <c r="BQ151" s="112" t="str">
        <f ca="1">IF($AU151="","",DATA!DX100)</f>
        <v/>
      </c>
      <c r="BR151" s="112" t="str">
        <f ca="1">IF($AU151="","",DATA!DZ100)</f>
        <v/>
      </c>
      <c r="BS151" s="171" t="str">
        <f ca="1">IF($AU151="","",DATA!EA100)</f>
        <v/>
      </c>
      <c r="BT151" s="171" t="str">
        <f ca="1">IF($AU151="","",DATA!EC100)</f>
        <v/>
      </c>
      <c r="BU151" s="171" t="str">
        <f ca="1">IF($AU151="","",DATA!EF100)</f>
        <v/>
      </c>
      <c r="BV151" s="113" t="str">
        <f t="shared" ca="1" si="24"/>
        <v/>
      </c>
      <c r="BW151" s="680" t="str">
        <f ca="1">IF(AU151="","",OFFSET(DATA!DC100,0,'Intermediate Data'!$AX$48))</f>
        <v/>
      </c>
      <c r="BX151" s="681" t="str">
        <f ca="1">IF($AU151="","",DATA!DG100)</f>
        <v/>
      </c>
      <c r="BY151" s="680" t="str">
        <f ca="1">IF($AU151="","",OFFSET(DATA!DE100,0,'Intermediate Data'!$AX$48))</f>
        <v/>
      </c>
      <c r="BZ151" s="681" t="str">
        <f ca="1">IF($AU151="","",DATA!DH100)</f>
        <v/>
      </c>
      <c r="CA151" s="90" t="str">
        <f t="shared" ca="1" si="25"/>
        <v/>
      </c>
      <c r="CB151" s="99" t="str">
        <f t="shared" ca="1" si="26"/>
        <v/>
      </c>
      <c r="CC151" s="90" t="str">
        <f t="shared" ca="1" si="27"/>
        <v/>
      </c>
      <c r="CD151" s="90" t="str">
        <f t="shared" ca="1" si="28"/>
        <v/>
      </c>
      <c r="CF151" s="90" t="str">
        <f ca="1">IF($CD151="","",IF(OFFSET(AV$55,'Intermediate Data'!$CD151,0)=-98,"Unknown",IF(OFFSET(AV$55,'Intermediate Data'!$CD151,0)=-99,"N/A",OFFSET(AV$55,'Intermediate Data'!$CD151,0))))</f>
        <v/>
      </c>
      <c r="CG151" s="90" t="str">
        <f ca="1">IF($CD151="","",IF(OFFSET(AW$55,'Intermediate Data'!$CD151,0)=-98,"",IF(OFFSET(AW$55,'Intermediate Data'!$CD151,0)=-99,"N/A",OFFSET(AW$55,'Intermediate Data'!$CD151,0))))</f>
        <v/>
      </c>
      <c r="CH151" s="90" t="str">
        <f ca="1">IF($CD151="","",IF(OFFSET(AX$55,'Intermediate Data'!$CD151,0)=-98,"Unknown",IF(OFFSET(AX$55,'Intermediate Data'!$CD151,0)=-99,"N/A",OFFSET(AX$55,'Intermediate Data'!$CD151,0))))</f>
        <v/>
      </c>
      <c r="CI151" s="125" t="str">
        <f ca="1">IF($CD151="","",IF(OFFSET(AY$55,'Intermediate Data'!$CD151,0)=-98,"Unknown",IF(OFFSET(AY$55,'Intermediate Data'!$CD151,0)=-99,"No spec",OFFSET(AY$55,'Intermediate Data'!$CD151,0))))</f>
        <v/>
      </c>
      <c r="CJ151" s="125" t="str">
        <f ca="1">IF($CD151="","",IF(OFFSET(AZ$55,'Intermediate Data'!$CD151,0)=-98,"Unknown",IF(OFFSET(AZ$55,'Intermediate Data'!$CD151,0)=-99,"N/A",OFFSET(AZ$55,'Intermediate Data'!$CD151,0))))</f>
        <v/>
      </c>
      <c r="CK151" s="90" t="str">
        <f ca="1">IF($CD151="","",IF(OFFSET(BA$55,'Intermediate Data'!$CD151,0)=-98,"Unknown",IF(OFFSET(BA$55,'Intermediate Data'!$CD151,0)=-99,"N/A",OFFSET(BA$55,'Intermediate Data'!$CD151,0))))</f>
        <v/>
      </c>
      <c r="CL151" s="90" t="str">
        <f ca="1">IF($CD151="","",IF(OFFSET(BB$55,'Intermediate Data'!$CD151,$AX$50)=-98,"Unknown",IF(OFFSET(BB$55,'Intermediate Data'!$CD151,$AX$50)="N/A","",OFFSET(BB$55,'Intermediate Data'!$CD151,$AX$50))))</f>
        <v/>
      </c>
      <c r="CM151" s="90" t="str">
        <f ca="1">IF($CD151="","",IF(OFFSET(BG$55,'Intermediate Data'!$CD151,0)="ET","ET",""))</f>
        <v/>
      </c>
      <c r="CN151" s="90" t="str">
        <f ca="1">IF($CD151="","",IF(OFFSET(BH$55,'Intermediate Data'!$CD151,$AX$50)=-98,"Unknown",IF(OFFSET(BH$55,'Intermediate Data'!$CD151,$AX$50)="N/A","",OFFSET(BH$55,'Intermediate Data'!$CD151,$AX$50))))</f>
        <v/>
      </c>
      <c r="CO151" s="90" t="str">
        <f ca="1">IF($CD151="","",IF(OFFSET(BM$55,'Intermediate Data'!$CD151,0)=-98,"Not published",IF(OFFSET(BM$55,'Intermediate Data'!$CD151,0)=-99,"No spec",OFFSET(BM$55,'Intermediate Data'!$CD151,0))))</f>
        <v/>
      </c>
      <c r="CP151" s="114" t="str">
        <f ca="1">IF($CD151="","",IF(OFFSET(BN$55,'Intermediate Data'!$CD151,0)=-98,"Unknown",IF(OFFSET(BN$55,'Intermediate Data'!$CD151,0)=-99,"N/A",OFFSET(BN$55,'Intermediate Data'!$CD151,0))))</f>
        <v/>
      </c>
      <c r="CQ151" s="114" t="str">
        <f ca="1">IF($CD151="","",IF(OFFSET(BO$55,'Intermediate Data'!$CD151,0)=-98,"Unknown",IF(OFFSET(BO$55,'Intermediate Data'!$CD151,0)=-99,"N/A",OFFSET(BO$55,'Intermediate Data'!$CD151,0))))</f>
        <v/>
      </c>
      <c r="CR151" s="114" t="str">
        <f ca="1">IF($CD151="","",IF(OFFSET(BP$55,'Intermediate Data'!$CD151,0)=-98,"Unknown",IF(OFFSET(BP$55,'Intermediate Data'!$CD151,0)=-99,"N/A",OFFSET(BP$55,'Intermediate Data'!$CD151,0))))</f>
        <v/>
      </c>
      <c r="CS151" s="114" t="str">
        <f ca="1">IF($CD151="","",IF(OFFSET(BQ$55,'Intermediate Data'!$CD151,0)=-98,"Unknown",IF(OFFSET(BQ$55,'Intermediate Data'!$CD151,0)=-99,"N/A",OFFSET(BQ$55,'Intermediate Data'!$CD151,0))))</f>
        <v/>
      </c>
      <c r="CT151" s="114" t="str">
        <f ca="1">IF($CD151="","",IF(OFFSET(BR$55,'Intermediate Data'!$CD151,0)=-98,"Unknown",IF(OFFSET(BR$55,'Intermediate Data'!$CD151,0)=-99,"N/A",OFFSET(BR$55,'Intermediate Data'!$CD151,0))))</f>
        <v/>
      </c>
      <c r="CU151" s="114" t="str">
        <f ca="1">IF($CD151="","",IF(OFFSET(BS$55,'Intermediate Data'!$CD151,0)=-98,"Unknown",IF(OFFSET(BS$55,'Intermediate Data'!$CD151,0)=-99,"N/A",OFFSET(BS$55,'Intermediate Data'!$CD151,0))))</f>
        <v/>
      </c>
      <c r="CV151" s="114" t="str">
        <f ca="1">IF($CD151="","",IF(OFFSET(BT$55,'Intermediate Data'!$CD151,0)=-98,"Unknown",IF(OFFSET(BT$55,'Intermediate Data'!$CD151,0)=-99,"N/A",OFFSET(BT$55,'Intermediate Data'!$CD151,0))))</f>
        <v/>
      </c>
      <c r="CW151" s="114" t="str">
        <f ca="1">IF($CD151="","",IF(OFFSET(BU$55,'Intermediate Data'!$CD151,0)=-98,"Unknown",IF(OFFSET(BU$55,'Intermediate Data'!$CD151,0)=-99,"N/A",OFFSET(BU$55,'Intermediate Data'!$CD151,0))))</f>
        <v/>
      </c>
      <c r="CX151" s="114" t="str">
        <f ca="1">IF($CD151="","",IF(OFFSET(BV$55,'Intermediate Data'!$CD151,0)=-98,"Unknown",IF(OFFSET(BV$55,'Intermediate Data'!$CD151,0)=-99,"N/A",OFFSET(BV$55,'Intermediate Data'!$CD151,0))))</f>
        <v/>
      </c>
      <c r="CY151" s="682" t="str">
        <f ca="1">IF($CD151="","",IF(OFFSET(BW$55,'Intermediate Data'!$CD151,0)=-98,"Unknown",IF(OFFSET(BW$55,'Intermediate Data'!$CD151,0)="N/A","",OFFSET(BW$55,'Intermediate Data'!$CD151,0))))</f>
        <v/>
      </c>
      <c r="CZ151" s="682" t="str">
        <f ca="1">IF($CD151="","",IF(OFFSET(BX$55,'Intermediate Data'!$CD151,0)=-98,"Unknown",IF(OFFSET(BX$55,'Intermediate Data'!$CD151,0)="N/A","",OFFSET(BX$55,'Intermediate Data'!$CD151,0))))</f>
        <v/>
      </c>
      <c r="DA151" s="682" t="str">
        <f ca="1">IF($CD151="","",IF(OFFSET(BY$55,'Intermediate Data'!$CD151,0)=-98,"Unknown",IF(OFFSET(BY$55,'Intermediate Data'!$CD151,0)="N/A","",OFFSET(BY$55,'Intermediate Data'!$CD151,0))))</f>
        <v/>
      </c>
      <c r="DB151" s="682" t="str">
        <f ca="1">IF($CD151="","",IF(OFFSET(BZ$55,'Intermediate Data'!$CD151,0)=-98,"Unknown",IF(OFFSET(BZ$55,'Intermediate Data'!$CD151,0)="N/A","",OFFSET(BZ$55,'Intermediate Data'!$CD151,0))))</f>
        <v/>
      </c>
    </row>
    <row r="152" spans="1:106" x14ac:dyDescent="0.2">
      <c r="A152" s="90">
        <f ca="1">IF(OFFSET(DATA!F101,0,$D$48)='Intermediate Data'!$E$48,IF(OR($E$49=$C$27,$E$48=$B$4),DATA!A101,IF($G$49=DATA!D101,DATA!A101,"")),"")</f>
        <v>97</v>
      </c>
      <c r="B152" s="90">
        <f ca="1">IF($A152="","",DATA!EH101)</f>
        <v>23</v>
      </c>
      <c r="C152" s="90" t="str">
        <f ca="1">IF($A152="","",DATA!B101)</f>
        <v>Telephone</v>
      </c>
      <c r="D152" s="90">
        <f ca="1">IF($A152="","",OFFSET(DATA!$H101,0,($D$50*5)))</f>
        <v>-99</v>
      </c>
      <c r="E152" s="90">
        <f ca="1">IF($A152="","",OFFSET(DATA!$H101,0,($D$50*5)+1))</f>
        <v>-99</v>
      </c>
      <c r="F152" s="90">
        <f ca="1">IF($A152="","",OFFSET(DATA!$H101,0,($D$50*5)+2))</f>
        <v>-99</v>
      </c>
      <c r="G152" s="90">
        <f ca="1">IF($A152="","",OFFSET(DATA!$H101,0,($D$50*5)+3))</f>
        <v>-99</v>
      </c>
      <c r="H152" s="90">
        <f ca="1">IF($A152="","",OFFSET(DATA!$H101,0,($D$50*5)+4))</f>
        <v>-99</v>
      </c>
      <c r="I152" s="90">
        <f t="shared" ca="1" si="17"/>
        <v>-99</v>
      </c>
      <c r="J152" s="90" t="str">
        <f t="shared" ca="1" si="18"/>
        <v/>
      </c>
      <c r="K152" s="90">
        <f ca="1">IF($A152="","",OFFSET(DATA!$AG101,0,($D$50*5)))</f>
        <v>-99</v>
      </c>
      <c r="L152" s="90">
        <f ca="1">IF($A152="","",OFFSET(DATA!$AG101,0,($D$50*5)+1))</f>
        <v>-99</v>
      </c>
      <c r="M152" s="90">
        <f ca="1">IF($A152="","",OFFSET(DATA!$AG101,0,($D$50*5)+2))</f>
        <v>-99</v>
      </c>
      <c r="N152" s="90">
        <f ca="1">IF($A152="","",OFFSET(DATA!$AG101,0,($D$50*5)+3))</f>
        <v>-99</v>
      </c>
      <c r="O152" s="90">
        <f ca="1">IF($A152="","",OFFSET(DATA!$AG101,0,($D$50*5)+4))</f>
        <v>-99</v>
      </c>
      <c r="P152" s="90">
        <f t="shared" ca="1" si="19"/>
        <v>-99</v>
      </c>
      <c r="Q152" s="90" t="str">
        <f t="shared" ca="1" si="20"/>
        <v/>
      </c>
      <c r="R152" s="699">
        <f ca="1">IF($A152="","",IF(DATA!BF101="",-99,DATA!BF101))</f>
        <v>-99</v>
      </c>
      <c r="S152" s="90">
        <f ca="1">IF($A152="","",IF(DATA!BG101="",-99,DATA!BF101-DATA!BG101))</f>
        <v>-99</v>
      </c>
      <c r="T152" s="90">
        <f ca="1">IF($A152="","",DATA!BH101)</f>
        <v>0.71</v>
      </c>
      <c r="U152" s="90">
        <f ca="1">IF($A152="","",OFFSET(DATA!BM101,0,$D$48))</f>
        <v>5</v>
      </c>
      <c r="V152" s="90">
        <f t="shared" ref="V152:V183" ca="1" si="29">OFFSET(B152,0,MATCH($E$51,$B$54:$U$54,0)-1)</f>
        <v>23</v>
      </c>
      <c r="W152" s="99">
        <f t="shared" ca="1" si="21"/>
        <v>22.999901572519999</v>
      </c>
      <c r="X152" s="112">
        <f t="shared" ca="1" si="22"/>
        <v>31.99988120151</v>
      </c>
      <c r="Y152" s="90">
        <f t="shared" ca="1" si="23"/>
        <v>96</v>
      </c>
      <c r="AA152" s="90" t="str">
        <f ca="1">IF($Y152="","",IF(OFFSET(C$55,'Intermediate Data'!$Y152,0)=-98,"Unknown",IF(OFFSET(C$55,'Intermediate Data'!$Y152,0)=-99,"N/A",OFFSET(C$55,'Intermediate Data'!$Y152,0))))</f>
        <v>Shredder</v>
      </c>
      <c r="AB152" s="90" t="str">
        <f ca="1">IF($Y152="","",IF(OFFSET(D$55,'Intermediate Data'!$Y152,0)=-98,"N/A",IF(OFFSET(D$55,'Intermediate Data'!$Y152,0)=-99,"N/A",OFFSET(D$55,'Intermediate Data'!$Y152,0))))</f>
        <v>N/A</v>
      </c>
      <c r="AC152" s="90" t="str">
        <f ca="1">IF($Y152="","",IF(OFFSET(E$55,'Intermediate Data'!$Y152,0)=-98,"N/A",IF(OFFSET(E$55,'Intermediate Data'!$Y152,0)=-99,"N/A",OFFSET(E$55,'Intermediate Data'!$Y152,0))))</f>
        <v>N/A</v>
      </c>
      <c r="AD152" s="90" t="str">
        <f ca="1">IF($Y152="","",IF(OFFSET(F$55,'Intermediate Data'!$Y152,0)=-98,"N/A",IF(OFFSET(F$55,'Intermediate Data'!$Y152,0)=-99,"N/A",OFFSET(F$55,'Intermediate Data'!$Y152,0))))</f>
        <v>N/A</v>
      </c>
      <c r="AE152" s="90" t="str">
        <f ca="1">IF($Y152="","",IF(OFFSET(G$55,'Intermediate Data'!$Y152,0)=-98,"N/A",IF(OFFSET(G$55,'Intermediate Data'!$Y152,0)=-99,"N/A",OFFSET(G$55,'Intermediate Data'!$Y152,0))))</f>
        <v>N/A</v>
      </c>
      <c r="AF152" s="90" t="str">
        <f ca="1">IF($Y152="","",IF(OFFSET(H$55,'Intermediate Data'!$Y152,0)=-98,"N/A",IF(OFFSET(H$55,'Intermediate Data'!$Y152,0)=-99,"N/A",OFFSET(H$55,'Intermediate Data'!$Y152,0))))</f>
        <v>N/A</v>
      </c>
      <c r="AG152" s="90" t="str">
        <f ca="1">IF($Y152="","",IF(OFFSET(I$55,'Intermediate Data'!$Y152,0)=-98,"N/A",IF(OFFSET(I$55,'Intermediate Data'!$Y152,0)=-99,"N/A",OFFSET(I$55,'Intermediate Data'!$Y152,0))))</f>
        <v>N/A</v>
      </c>
      <c r="AH152" s="90" t="str">
        <f ca="1">IF($Y152="","",IF(OFFSET(J$55,'Intermediate Data'!$Y152,0)=-98,"N/A",IF(OFFSET(J$55,'Intermediate Data'!$Y152,0)=-99,"N/A",OFFSET(J$55,'Intermediate Data'!$Y152,0))))</f>
        <v/>
      </c>
      <c r="AI152" s="90" t="str">
        <f ca="1">IF($Y152="","",IF(OFFSET(K$55,'Intermediate Data'!$Y152,0)=-98,"N/A",IF(OFFSET(K$55,'Intermediate Data'!$Y152,0)=-99,"N/A",OFFSET(K$55,'Intermediate Data'!$Y152,0))))</f>
        <v>N/A</v>
      </c>
      <c r="AJ152" s="90" t="str">
        <f ca="1">IF($Y152="","",IF(OFFSET(L$55,'Intermediate Data'!$Y152,0)=-98,"N/A",IF(OFFSET(L$55,'Intermediate Data'!$Y152,0)=-99,"N/A",OFFSET(L$55,'Intermediate Data'!$Y152,0))))</f>
        <v>N/A</v>
      </c>
      <c r="AK152" s="90" t="str">
        <f ca="1">IF($Y152="","",IF(OFFSET(M$55,'Intermediate Data'!$Y152,0)=-98,"N/A",IF(OFFSET(M$55,'Intermediate Data'!$Y152,0)=-99,"N/A",OFFSET(M$55,'Intermediate Data'!$Y152,0))))</f>
        <v>N/A</v>
      </c>
      <c r="AL152" s="90" t="str">
        <f ca="1">IF($Y152="","",IF(OFFSET(N$55,'Intermediate Data'!$Y152,0)=-98,"N/A",IF(OFFSET(N$55,'Intermediate Data'!$Y152,0)=-99,"N/A",OFFSET(N$55,'Intermediate Data'!$Y152,0))))</f>
        <v>N/A</v>
      </c>
      <c r="AM152" s="90" t="str">
        <f ca="1">IF($Y152="","",IF(OFFSET(O$55,'Intermediate Data'!$Y152,0)=-98,"N/A",IF(OFFSET(O$55,'Intermediate Data'!$Y152,0)=-99,"N/A",OFFSET(O$55,'Intermediate Data'!$Y152,0))))</f>
        <v>N/A</v>
      </c>
      <c r="AN152" s="90" t="str">
        <f ca="1">IF($Y152="","",IF(OFFSET(P$55,'Intermediate Data'!$Y152,0)=-98,"N/A",IF(OFFSET(P$55,'Intermediate Data'!$Y152,0)=-99,"N/A",OFFSET(P$55,'Intermediate Data'!$Y152,0))))</f>
        <v>N/A</v>
      </c>
      <c r="AO152" s="90" t="str">
        <f ca="1">IF($Y152="","",IF(OFFSET(Q$55,'Intermediate Data'!$Y152,0)=-98,"N/A",IF(OFFSET(Q$55,'Intermediate Data'!$Y152,0)=-99,"N/A",OFFSET(Q$55,'Intermediate Data'!$Y152,0))))</f>
        <v/>
      </c>
      <c r="AP152" s="697" t="str">
        <f ca="1">IF($Y152="","",IF(OFFSET(S$55,'Intermediate Data'!$Y152,0)=-98,"",IF(OFFSET(S$55,'Intermediate Data'!$Y152,0)=-99,"",OFFSET(S$55,'Intermediate Data'!$Y152,0))))</f>
        <v/>
      </c>
      <c r="AQ152" s="90" t="str">
        <f ca="1">IF($Y152="","",IF(OFFSET(T$55,'Intermediate Data'!$Y152,0)=-98,"Not published",IF(OFFSET(T$55,'Intermediate Data'!$Y152,0)=-99,"",OFFSET(T$55,'Intermediate Data'!$Y152,0))))</f>
        <v/>
      </c>
      <c r="AR152" s="90" t="str">
        <f ca="1">IF($Y152="","",IF(OFFSET(U$55,'Intermediate Data'!$Y152,0)=-98,"Unknown",IF(OFFSET(U$55,'Intermediate Data'!$Y152,0)=-99,"",OFFSET(U$55,'Intermediate Data'!$Y152,0))))</f>
        <v/>
      </c>
      <c r="AU152" s="112" t="str">
        <f ca="1">IF(AND(OFFSET(DATA!$F101,0,$AX$48)='Intermediate Data'!$AY$48,DATA!$E101="Tier 1"),IF(OR($AX$49=0,$AX$48=1),DATA!A101,IF(AND($AX$49=1,INDEX('Intermediate Data'!$AY$25:$AY$44,MATCH(DATA!$B101,'Intermediate Data'!$AX$25:$AX$44,0))=TRUE),DATA!A101,"")),"")</f>
        <v/>
      </c>
      <c r="AV152" s="112" t="str">
        <f ca="1">IF($AU152="","",DATA!B101)</f>
        <v/>
      </c>
      <c r="AW152" s="112" t="str">
        <f ca="1">IF(OR($AU152="",DATA!BI101=""),"",DATA!BI101)</f>
        <v/>
      </c>
      <c r="AX152" s="112" t="str">
        <f ca="1">IF(OR($AU152="",OFFSET(DATA!BK101,0,$AX$48)=""),"",OFFSET(DATA!BK101,0,$AX$48))</f>
        <v/>
      </c>
      <c r="AY152" s="112" t="str">
        <f ca="1">IF(OR($AU152="",OFFSET(DATA!BM101,0,$AX$48)=""),"",OFFSET(DATA!BM101,0,$AX$48))</f>
        <v/>
      </c>
      <c r="AZ152" s="112" t="str">
        <f ca="1">IF(OR($AU152="",OFFSET(DATA!BO101,0,'Intermediate Data'!$AX$48)=""),"",OFFSET(DATA!BO101,0,$AX$48))</f>
        <v/>
      </c>
      <c r="BA152" s="112" t="str">
        <f ca="1">IF(OR($AU152="",DATA!BQ101=""),"",DATA!BQ101)</f>
        <v/>
      </c>
      <c r="BB152" s="112" t="str">
        <f ca="1">IF($AU152="","",OFFSET(DATA!BS101,0,$AX$48))</f>
        <v/>
      </c>
      <c r="BC152" s="112" t="str">
        <f ca="1">IF($AU152="","",OFFSET(DATA!BU101,0,$AX$48))</f>
        <v/>
      </c>
      <c r="BD152" s="112" t="str">
        <f ca="1">IF($AU152="","",OFFSET(DATA!BW101,0,$AX$48))</f>
        <v/>
      </c>
      <c r="BE152" s="112" t="str">
        <f ca="1">IF($AU152="","",OFFSET(DATA!BY101,0,$AX$48))</f>
        <v/>
      </c>
      <c r="BF152" s="112" t="str">
        <f ca="1">IF($AU152="","",OFFSET(DATA!CA101,0,$AX$48))</f>
        <v/>
      </c>
      <c r="BG152" s="112" t="str">
        <f ca="1">IF($AU152="","",DATA!CC101)</f>
        <v/>
      </c>
      <c r="BH152" s="112" t="str">
        <f ca="1">IF($AU152="","",OFFSET(DATA!CE101,0,$AX$48))</f>
        <v/>
      </c>
      <c r="BI152" s="112" t="str">
        <f ca="1">IF($AU152="","",OFFSET(DATA!CG101,0,$AX$48))</f>
        <v/>
      </c>
      <c r="BJ152" s="112" t="str">
        <f ca="1">IF($AU152="","",OFFSET(DATA!CI101,0,$AX$48))</f>
        <v/>
      </c>
      <c r="BK152" s="112" t="str">
        <f ca="1">IF($AU152="","",OFFSET(DATA!CK101,0,$AX$48))</f>
        <v/>
      </c>
      <c r="BL152" s="112" t="str">
        <f ca="1">IF($AU152="","",OFFSET(DATA!CM101,0,$AX$48))</f>
        <v/>
      </c>
      <c r="BM152" s="112" t="str">
        <f ca="1">IF($AU152="","",DATA!BH101)</f>
        <v/>
      </c>
      <c r="BN152" s="112" t="str">
        <f ca="1">IF($AU152="","",DATA!DS101)</f>
        <v/>
      </c>
      <c r="BO152" s="112" t="str">
        <f ca="1">IF($AU152="","",DATA!DU101)</f>
        <v/>
      </c>
      <c r="BP152" s="112" t="str">
        <f ca="1">IF($AU152="","",DATA!DV101)</f>
        <v/>
      </c>
      <c r="BQ152" s="112" t="str">
        <f ca="1">IF($AU152="","",DATA!DX101)</f>
        <v/>
      </c>
      <c r="BR152" s="112" t="str">
        <f ca="1">IF($AU152="","",DATA!DZ101)</f>
        <v/>
      </c>
      <c r="BS152" s="171" t="str">
        <f ca="1">IF($AU152="","",DATA!EA101)</f>
        <v/>
      </c>
      <c r="BT152" s="171" t="str">
        <f ca="1">IF($AU152="","",DATA!EC101)</f>
        <v/>
      </c>
      <c r="BU152" s="171" t="str">
        <f ca="1">IF($AU152="","",DATA!EF101)</f>
        <v/>
      </c>
      <c r="BV152" s="113" t="str">
        <f t="shared" ca="1" si="24"/>
        <v/>
      </c>
      <c r="BW152" s="680" t="str">
        <f ca="1">IF(AU152="","",OFFSET(DATA!DC101,0,'Intermediate Data'!$AX$48))</f>
        <v/>
      </c>
      <c r="BX152" s="681" t="str">
        <f ca="1">IF($AU152="","",DATA!DG101)</f>
        <v/>
      </c>
      <c r="BY152" s="680" t="str">
        <f ca="1">IF($AU152="","",OFFSET(DATA!DE101,0,'Intermediate Data'!$AX$48))</f>
        <v/>
      </c>
      <c r="BZ152" s="681" t="str">
        <f ca="1">IF($AU152="","",DATA!DH101)</f>
        <v/>
      </c>
      <c r="CA152" s="90" t="str">
        <f t="shared" ca="1" si="25"/>
        <v/>
      </c>
      <c r="CB152" s="99" t="str">
        <f t="shared" ca="1" si="26"/>
        <v/>
      </c>
      <c r="CC152" s="90" t="str">
        <f t="shared" ca="1" si="27"/>
        <v/>
      </c>
      <c r="CD152" s="90" t="str">
        <f t="shared" ca="1" si="28"/>
        <v/>
      </c>
      <c r="CF152" s="90" t="str">
        <f ca="1">IF($CD152="","",IF(OFFSET(AV$55,'Intermediate Data'!$CD152,0)=-98,"Unknown",IF(OFFSET(AV$55,'Intermediate Data'!$CD152,0)=-99,"N/A",OFFSET(AV$55,'Intermediate Data'!$CD152,0))))</f>
        <v/>
      </c>
      <c r="CG152" s="90" t="str">
        <f ca="1">IF($CD152="","",IF(OFFSET(AW$55,'Intermediate Data'!$CD152,0)=-98,"",IF(OFFSET(AW$55,'Intermediate Data'!$CD152,0)=-99,"N/A",OFFSET(AW$55,'Intermediate Data'!$CD152,0))))</f>
        <v/>
      </c>
      <c r="CH152" s="90" t="str">
        <f ca="1">IF($CD152="","",IF(OFFSET(AX$55,'Intermediate Data'!$CD152,0)=-98,"Unknown",IF(OFFSET(AX$55,'Intermediate Data'!$CD152,0)=-99,"N/A",OFFSET(AX$55,'Intermediate Data'!$CD152,0))))</f>
        <v/>
      </c>
      <c r="CI152" s="125" t="str">
        <f ca="1">IF($CD152="","",IF(OFFSET(AY$55,'Intermediate Data'!$CD152,0)=-98,"Unknown",IF(OFFSET(AY$55,'Intermediate Data'!$CD152,0)=-99,"No spec",OFFSET(AY$55,'Intermediate Data'!$CD152,0))))</f>
        <v/>
      </c>
      <c r="CJ152" s="125" t="str">
        <f ca="1">IF($CD152="","",IF(OFFSET(AZ$55,'Intermediate Data'!$CD152,0)=-98,"Unknown",IF(OFFSET(AZ$55,'Intermediate Data'!$CD152,0)=-99,"N/A",OFFSET(AZ$55,'Intermediate Data'!$CD152,0))))</f>
        <v/>
      </c>
      <c r="CK152" s="90" t="str">
        <f ca="1">IF($CD152="","",IF(OFFSET(BA$55,'Intermediate Data'!$CD152,0)=-98,"Unknown",IF(OFFSET(BA$55,'Intermediate Data'!$CD152,0)=-99,"N/A",OFFSET(BA$55,'Intermediate Data'!$CD152,0))))</f>
        <v/>
      </c>
      <c r="CL152" s="90" t="str">
        <f ca="1">IF($CD152="","",IF(OFFSET(BB$55,'Intermediate Data'!$CD152,$AX$50)=-98,"Unknown",IF(OFFSET(BB$55,'Intermediate Data'!$CD152,$AX$50)="N/A","",OFFSET(BB$55,'Intermediate Data'!$CD152,$AX$50))))</f>
        <v/>
      </c>
      <c r="CM152" s="90" t="str">
        <f ca="1">IF($CD152="","",IF(OFFSET(BG$55,'Intermediate Data'!$CD152,0)="ET","ET",""))</f>
        <v/>
      </c>
      <c r="CN152" s="90" t="str">
        <f ca="1">IF($CD152="","",IF(OFFSET(BH$55,'Intermediate Data'!$CD152,$AX$50)=-98,"Unknown",IF(OFFSET(BH$55,'Intermediate Data'!$CD152,$AX$50)="N/A","",OFFSET(BH$55,'Intermediate Data'!$CD152,$AX$50))))</f>
        <v/>
      </c>
      <c r="CO152" s="90" t="str">
        <f ca="1">IF($CD152="","",IF(OFFSET(BM$55,'Intermediate Data'!$CD152,0)=-98,"Not published",IF(OFFSET(BM$55,'Intermediate Data'!$CD152,0)=-99,"No spec",OFFSET(BM$55,'Intermediate Data'!$CD152,0))))</f>
        <v/>
      </c>
      <c r="CP152" s="114" t="str">
        <f ca="1">IF($CD152="","",IF(OFFSET(BN$55,'Intermediate Data'!$CD152,0)=-98,"Unknown",IF(OFFSET(BN$55,'Intermediate Data'!$CD152,0)=-99,"N/A",OFFSET(BN$55,'Intermediate Data'!$CD152,0))))</f>
        <v/>
      </c>
      <c r="CQ152" s="114" t="str">
        <f ca="1">IF($CD152="","",IF(OFFSET(BO$55,'Intermediate Data'!$CD152,0)=-98,"Unknown",IF(OFFSET(BO$55,'Intermediate Data'!$CD152,0)=-99,"N/A",OFFSET(BO$55,'Intermediate Data'!$CD152,0))))</f>
        <v/>
      </c>
      <c r="CR152" s="114" t="str">
        <f ca="1">IF($CD152="","",IF(OFFSET(BP$55,'Intermediate Data'!$CD152,0)=-98,"Unknown",IF(OFFSET(BP$55,'Intermediate Data'!$CD152,0)=-99,"N/A",OFFSET(BP$55,'Intermediate Data'!$CD152,0))))</f>
        <v/>
      </c>
      <c r="CS152" s="114" t="str">
        <f ca="1">IF($CD152="","",IF(OFFSET(BQ$55,'Intermediate Data'!$CD152,0)=-98,"Unknown",IF(OFFSET(BQ$55,'Intermediate Data'!$CD152,0)=-99,"N/A",OFFSET(BQ$55,'Intermediate Data'!$CD152,0))))</f>
        <v/>
      </c>
      <c r="CT152" s="114" t="str">
        <f ca="1">IF($CD152="","",IF(OFFSET(BR$55,'Intermediate Data'!$CD152,0)=-98,"Unknown",IF(OFFSET(BR$55,'Intermediate Data'!$CD152,0)=-99,"N/A",OFFSET(BR$55,'Intermediate Data'!$CD152,0))))</f>
        <v/>
      </c>
      <c r="CU152" s="114" t="str">
        <f ca="1">IF($CD152="","",IF(OFFSET(BS$55,'Intermediate Data'!$CD152,0)=-98,"Unknown",IF(OFFSET(BS$55,'Intermediate Data'!$CD152,0)=-99,"N/A",OFFSET(BS$55,'Intermediate Data'!$CD152,0))))</f>
        <v/>
      </c>
      <c r="CV152" s="114" t="str">
        <f ca="1">IF($CD152="","",IF(OFFSET(BT$55,'Intermediate Data'!$CD152,0)=-98,"Unknown",IF(OFFSET(BT$55,'Intermediate Data'!$CD152,0)=-99,"N/A",OFFSET(BT$55,'Intermediate Data'!$CD152,0))))</f>
        <v/>
      </c>
      <c r="CW152" s="114" t="str">
        <f ca="1">IF($CD152="","",IF(OFFSET(BU$55,'Intermediate Data'!$CD152,0)=-98,"Unknown",IF(OFFSET(BU$55,'Intermediate Data'!$CD152,0)=-99,"N/A",OFFSET(BU$55,'Intermediate Data'!$CD152,0))))</f>
        <v/>
      </c>
      <c r="CX152" s="114" t="str">
        <f ca="1">IF($CD152="","",IF(OFFSET(BV$55,'Intermediate Data'!$CD152,0)=-98,"Unknown",IF(OFFSET(BV$55,'Intermediate Data'!$CD152,0)=-99,"N/A",OFFSET(BV$55,'Intermediate Data'!$CD152,0))))</f>
        <v/>
      </c>
      <c r="CY152" s="682" t="str">
        <f ca="1">IF($CD152="","",IF(OFFSET(BW$55,'Intermediate Data'!$CD152,0)=-98,"Unknown",IF(OFFSET(BW$55,'Intermediate Data'!$CD152,0)="N/A","",OFFSET(BW$55,'Intermediate Data'!$CD152,0))))</f>
        <v/>
      </c>
      <c r="CZ152" s="682" t="str">
        <f ca="1">IF($CD152="","",IF(OFFSET(BX$55,'Intermediate Data'!$CD152,0)=-98,"Unknown",IF(OFFSET(BX$55,'Intermediate Data'!$CD152,0)="N/A","",OFFSET(BX$55,'Intermediate Data'!$CD152,0))))</f>
        <v/>
      </c>
      <c r="DA152" s="682" t="str">
        <f ca="1">IF($CD152="","",IF(OFFSET(BY$55,'Intermediate Data'!$CD152,0)=-98,"Unknown",IF(OFFSET(BY$55,'Intermediate Data'!$CD152,0)="N/A","",OFFSET(BY$55,'Intermediate Data'!$CD152,0))))</f>
        <v/>
      </c>
      <c r="DB152" s="682" t="str">
        <f ca="1">IF($CD152="","",IF(OFFSET(BZ$55,'Intermediate Data'!$CD152,0)=-98,"Unknown",IF(OFFSET(BZ$55,'Intermediate Data'!$CD152,0)="N/A","",OFFSET(BZ$55,'Intermediate Data'!$CD152,0))))</f>
        <v/>
      </c>
    </row>
    <row r="153" spans="1:106" x14ac:dyDescent="0.2">
      <c r="A153" s="90">
        <f ca="1">IF(OFFSET(DATA!F102,0,$D$48)='Intermediate Data'!$E$48,IF(OR($E$49=$C$27,$E$48=$B$4),DATA!A102,IF($G$49=DATA!D102,DATA!A102,"")),"")</f>
        <v>98</v>
      </c>
      <c r="B153" s="90">
        <f ca="1">IF($A153="","",DATA!EH102)</f>
        <v>15</v>
      </c>
      <c r="C153" s="90" t="str">
        <f ca="1">IF($A153="","",DATA!B102)</f>
        <v>Uninterruptible power supply</v>
      </c>
      <c r="D153" s="90">
        <f ca="1">IF($A153="","",OFFSET(DATA!$H102,0,($D$50*5)))</f>
        <v>-99</v>
      </c>
      <c r="E153" s="90">
        <f ca="1">IF($A153="","",OFFSET(DATA!$H102,0,($D$50*5)+1))</f>
        <v>-99</v>
      </c>
      <c r="F153" s="90">
        <f ca="1">IF($A153="","",OFFSET(DATA!$H102,0,($D$50*5)+2))</f>
        <v>-99</v>
      </c>
      <c r="G153" s="90">
        <f ca="1">IF($A153="","",OFFSET(DATA!$H102,0,($D$50*5)+3))</f>
        <v>0.12944048176150891</v>
      </c>
      <c r="H153" s="90">
        <f ca="1">IF($A153="","",OFFSET(DATA!$H102,0,($D$50*5)+4))</f>
        <v>-99</v>
      </c>
      <c r="I153" s="90">
        <f t="shared" ca="1" si="17"/>
        <v>0.12944048176150891</v>
      </c>
      <c r="J153" s="90" t="str">
        <f t="shared" ca="1" si="18"/>
        <v>RASS</v>
      </c>
      <c r="K153" s="90">
        <f ca="1">IF($A153="","",OFFSET(DATA!$AG102,0,($D$50*5)))</f>
        <v>-99</v>
      </c>
      <c r="L153" s="90">
        <f ca="1">IF($A153="","",OFFSET(DATA!$AG102,0,($D$50*5)+1))</f>
        <v>-99</v>
      </c>
      <c r="M153" s="90">
        <f ca="1">IF($A153="","",OFFSET(DATA!$AG102,0,($D$50*5)+2))</f>
        <v>-99</v>
      </c>
      <c r="N153" s="90">
        <f ca="1">IF($A153="","",OFFSET(DATA!$AG102,0,($D$50*5)+3))</f>
        <v>0.16293009710065778</v>
      </c>
      <c r="O153" s="90">
        <f ca="1">IF($A153="","",OFFSET(DATA!$AG102,0,($D$50*5)+4))</f>
        <v>-99</v>
      </c>
      <c r="P153" s="90">
        <f t="shared" ca="1" si="19"/>
        <v>0.16293009710065778</v>
      </c>
      <c r="Q153" s="90" t="str">
        <f t="shared" ca="1" si="20"/>
        <v>RASS</v>
      </c>
      <c r="R153" s="699">
        <f ca="1">IF($A153="","",IF(DATA!BF102="",-99,DATA!BF102))</f>
        <v>-99</v>
      </c>
      <c r="S153" s="90">
        <f ca="1">IF($A153="","",IF(DATA!BG102="",-99,DATA!BF102-DATA!BG102))</f>
        <v>-99</v>
      </c>
      <c r="T153" s="90">
        <f ca="1">IF($A153="","",DATA!BH102)</f>
        <v>0.78</v>
      </c>
      <c r="U153" s="90">
        <f ca="1">IF($A153="","",OFFSET(DATA!BM102,0,$D$48))</f>
        <v>40</v>
      </c>
      <c r="V153" s="90">
        <f t="shared" ca="1" si="29"/>
        <v>15</v>
      </c>
      <c r="W153" s="99">
        <f t="shared" ca="1" si="21"/>
        <v>14.999934821711106</v>
      </c>
      <c r="X153" s="112">
        <f t="shared" ca="1" si="22"/>
        <v>30.999881201040001</v>
      </c>
      <c r="Y153" s="90">
        <f t="shared" ca="1" si="23"/>
        <v>49</v>
      </c>
      <c r="AA153" s="90" t="str">
        <f ca="1">IF($Y153="","",IF(OFFSET(C$55,'Intermediate Data'!$Y153,0)=-98,"Unknown",IF(OFFSET(C$55,'Intermediate Data'!$Y153,0)=-99,"N/A",OFFSET(C$55,'Intermediate Data'!$Y153,0))))</f>
        <v>Smart power strip</v>
      </c>
      <c r="AB153" s="90" t="str">
        <f ca="1">IF($Y153="","",IF(OFFSET(D$55,'Intermediate Data'!$Y153,0)=-98,"N/A",IF(OFFSET(D$55,'Intermediate Data'!$Y153,0)=-99,"N/A",OFFSET(D$55,'Intermediate Data'!$Y153,0))))</f>
        <v>N/A</v>
      </c>
      <c r="AC153" s="90" t="str">
        <f ca="1">IF($Y153="","",IF(OFFSET(E$55,'Intermediate Data'!$Y153,0)=-98,"N/A",IF(OFFSET(E$55,'Intermediate Data'!$Y153,0)=-99,"N/A",OFFSET(E$55,'Intermediate Data'!$Y153,0))))</f>
        <v>N/A</v>
      </c>
      <c r="AD153" s="90" t="str">
        <f ca="1">IF($Y153="","",IF(OFFSET(F$55,'Intermediate Data'!$Y153,0)=-98,"N/A",IF(OFFSET(F$55,'Intermediate Data'!$Y153,0)=-99,"N/A",OFFSET(F$55,'Intermediate Data'!$Y153,0))))</f>
        <v>N/A</v>
      </c>
      <c r="AE153" s="90" t="str">
        <f ca="1">IF($Y153="","",IF(OFFSET(G$55,'Intermediate Data'!$Y153,0)=-98,"N/A",IF(OFFSET(G$55,'Intermediate Data'!$Y153,0)=-99,"N/A",OFFSET(G$55,'Intermediate Data'!$Y153,0))))</f>
        <v>N/A</v>
      </c>
      <c r="AF153" s="90" t="str">
        <f ca="1">IF($Y153="","",IF(OFFSET(H$55,'Intermediate Data'!$Y153,0)=-98,"N/A",IF(OFFSET(H$55,'Intermediate Data'!$Y153,0)=-99,"N/A",OFFSET(H$55,'Intermediate Data'!$Y153,0))))</f>
        <v>N/A</v>
      </c>
      <c r="AG153" s="90" t="str">
        <f ca="1">IF($Y153="","",IF(OFFSET(I$55,'Intermediate Data'!$Y153,0)=-98,"N/A",IF(OFFSET(I$55,'Intermediate Data'!$Y153,0)=-99,"N/A",OFFSET(I$55,'Intermediate Data'!$Y153,0))))</f>
        <v>N/A</v>
      </c>
      <c r="AH153" s="90" t="str">
        <f ca="1">IF($Y153="","",IF(OFFSET(J$55,'Intermediate Data'!$Y153,0)=-98,"N/A",IF(OFFSET(J$55,'Intermediate Data'!$Y153,0)=-99,"N/A",OFFSET(J$55,'Intermediate Data'!$Y153,0))))</f>
        <v/>
      </c>
      <c r="AI153" s="90" t="str">
        <f ca="1">IF($Y153="","",IF(OFFSET(K$55,'Intermediate Data'!$Y153,0)=-98,"N/A",IF(OFFSET(K$55,'Intermediate Data'!$Y153,0)=-99,"N/A",OFFSET(K$55,'Intermediate Data'!$Y153,0))))</f>
        <v>N/A</v>
      </c>
      <c r="AJ153" s="90" t="str">
        <f ca="1">IF($Y153="","",IF(OFFSET(L$55,'Intermediate Data'!$Y153,0)=-98,"N/A",IF(OFFSET(L$55,'Intermediate Data'!$Y153,0)=-99,"N/A",OFFSET(L$55,'Intermediate Data'!$Y153,0))))</f>
        <v>N/A</v>
      </c>
      <c r="AK153" s="90" t="str">
        <f ca="1">IF($Y153="","",IF(OFFSET(M$55,'Intermediate Data'!$Y153,0)=-98,"N/A",IF(OFFSET(M$55,'Intermediate Data'!$Y153,0)=-99,"N/A",OFFSET(M$55,'Intermediate Data'!$Y153,0))))</f>
        <v>N/A</v>
      </c>
      <c r="AL153" s="90" t="str">
        <f ca="1">IF($Y153="","",IF(OFFSET(N$55,'Intermediate Data'!$Y153,0)=-98,"N/A",IF(OFFSET(N$55,'Intermediate Data'!$Y153,0)=-99,"N/A",OFFSET(N$55,'Intermediate Data'!$Y153,0))))</f>
        <v>N/A</v>
      </c>
      <c r="AM153" s="90" t="str">
        <f ca="1">IF($Y153="","",IF(OFFSET(O$55,'Intermediate Data'!$Y153,0)=-98,"N/A",IF(OFFSET(O$55,'Intermediate Data'!$Y153,0)=-99,"N/A",OFFSET(O$55,'Intermediate Data'!$Y153,0))))</f>
        <v>N/A</v>
      </c>
      <c r="AN153" s="90" t="str">
        <f ca="1">IF($Y153="","",IF(OFFSET(P$55,'Intermediate Data'!$Y153,0)=-98,"N/A",IF(OFFSET(P$55,'Intermediate Data'!$Y153,0)=-99,"N/A",OFFSET(P$55,'Intermediate Data'!$Y153,0))))</f>
        <v>N/A</v>
      </c>
      <c r="AO153" s="90" t="str">
        <f ca="1">IF($Y153="","",IF(OFFSET(Q$55,'Intermediate Data'!$Y153,0)=-98,"N/A",IF(OFFSET(Q$55,'Intermediate Data'!$Y153,0)=-99,"N/A",OFFSET(Q$55,'Intermediate Data'!$Y153,0))))</f>
        <v/>
      </c>
      <c r="AP153" s="697" t="str">
        <f ca="1">IF($Y153="","",IF(OFFSET(S$55,'Intermediate Data'!$Y153,0)=-98,"",IF(OFFSET(S$55,'Intermediate Data'!$Y153,0)=-99,"",OFFSET(S$55,'Intermediate Data'!$Y153,0))))</f>
        <v/>
      </c>
      <c r="AQ153" s="90" t="str">
        <f ca="1">IF($Y153="","",IF(OFFSET(T$55,'Intermediate Data'!$Y153,0)=-98,"Not published",IF(OFFSET(T$55,'Intermediate Data'!$Y153,0)=-99,"",OFFSET(T$55,'Intermediate Data'!$Y153,0))))</f>
        <v/>
      </c>
      <c r="AR153" s="90" t="str">
        <f ca="1">IF($Y153="","",IF(OFFSET(U$55,'Intermediate Data'!$Y153,0)=-98,"Unknown",IF(OFFSET(U$55,'Intermediate Data'!$Y153,0)=-99,"",OFFSET(U$55,'Intermediate Data'!$Y153,0))))</f>
        <v/>
      </c>
      <c r="AU153" s="112" t="str">
        <f ca="1">IF(AND(OFFSET(DATA!$F102,0,$AX$48)='Intermediate Data'!$AY$48,DATA!$E102="Tier 1"),IF(OR($AX$49=0,$AX$48=1),DATA!A102,IF(AND($AX$49=1,INDEX('Intermediate Data'!$AY$25:$AY$44,MATCH(DATA!$B102,'Intermediate Data'!$AX$25:$AX$44,0))=TRUE),DATA!A102,"")),"")</f>
        <v/>
      </c>
      <c r="AV153" s="112" t="str">
        <f ca="1">IF($AU153="","",DATA!B102)</f>
        <v/>
      </c>
      <c r="AW153" s="112" t="str">
        <f ca="1">IF(OR($AU153="",DATA!BI102=""),"",DATA!BI102)</f>
        <v/>
      </c>
      <c r="AX153" s="112" t="str">
        <f ca="1">IF(OR($AU153="",OFFSET(DATA!BK102,0,$AX$48)=""),"",OFFSET(DATA!BK102,0,$AX$48))</f>
        <v/>
      </c>
      <c r="AY153" s="112" t="str">
        <f ca="1">IF(OR($AU153="",OFFSET(DATA!BM102,0,$AX$48)=""),"",OFFSET(DATA!BM102,0,$AX$48))</f>
        <v/>
      </c>
      <c r="AZ153" s="112" t="str">
        <f ca="1">IF(OR($AU153="",OFFSET(DATA!BO102,0,'Intermediate Data'!$AX$48)=""),"",OFFSET(DATA!BO102,0,$AX$48))</f>
        <v/>
      </c>
      <c r="BA153" s="112" t="str">
        <f ca="1">IF(OR($AU153="",DATA!BQ102=""),"",DATA!BQ102)</f>
        <v/>
      </c>
      <c r="BB153" s="112" t="str">
        <f ca="1">IF($AU153="","",OFFSET(DATA!BS102,0,$AX$48))</f>
        <v/>
      </c>
      <c r="BC153" s="112" t="str">
        <f ca="1">IF($AU153="","",OFFSET(DATA!BU102,0,$AX$48))</f>
        <v/>
      </c>
      <c r="BD153" s="112" t="str">
        <f ca="1">IF($AU153="","",OFFSET(DATA!BW102,0,$AX$48))</f>
        <v/>
      </c>
      <c r="BE153" s="112" t="str">
        <f ca="1">IF($AU153="","",OFFSET(DATA!BY102,0,$AX$48))</f>
        <v/>
      </c>
      <c r="BF153" s="112" t="str">
        <f ca="1">IF($AU153="","",OFFSET(DATA!CA102,0,$AX$48))</f>
        <v/>
      </c>
      <c r="BG153" s="112" t="str">
        <f ca="1">IF($AU153="","",DATA!CC102)</f>
        <v/>
      </c>
      <c r="BH153" s="112" t="str">
        <f ca="1">IF($AU153="","",OFFSET(DATA!CE102,0,$AX$48))</f>
        <v/>
      </c>
      <c r="BI153" s="112" t="str">
        <f ca="1">IF($AU153="","",OFFSET(DATA!CG102,0,$AX$48))</f>
        <v/>
      </c>
      <c r="BJ153" s="112" t="str">
        <f ca="1">IF($AU153="","",OFFSET(DATA!CI102,0,$AX$48))</f>
        <v/>
      </c>
      <c r="BK153" s="112" t="str">
        <f ca="1">IF($AU153="","",OFFSET(DATA!CK102,0,$AX$48))</f>
        <v/>
      </c>
      <c r="BL153" s="112" t="str">
        <f ca="1">IF($AU153="","",OFFSET(DATA!CM102,0,$AX$48))</f>
        <v/>
      </c>
      <c r="BM153" s="112" t="str">
        <f ca="1">IF($AU153="","",DATA!BH102)</f>
        <v/>
      </c>
      <c r="BN153" s="112" t="str">
        <f ca="1">IF($AU153="","",DATA!DS102)</f>
        <v/>
      </c>
      <c r="BO153" s="112" t="str">
        <f ca="1">IF($AU153="","",DATA!DU102)</f>
        <v/>
      </c>
      <c r="BP153" s="112" t="str">
        <f ca="1">IF($AU153="","",DATA!DV102)</f>
        <v/>
      </c>
      <c r="BQ153" s="112" t="str">
        <f ca="1">IF($AU153="","",DATA!DX102)</f>
        <v/>
      </c>
      <c r="BR153" s="112" t="str">
        <f ca="1">IF($AU153="","",DATA!DZ102)</f>
        <v/>
      </c>
      <c r="BS153" s="171" t="str">
        <f ca="1">IF($AU153="","",DATA!EA102)</f>
        <v/>
      </c>
      <c r="BT153" s="171" t="str">
        <f ca="1">IF($AU153="","",DATA!EC102)</f>
        <v/>
      </c>
      <c r="BU153" s="171" t="str">
        <f ca="1">IF($AU153="","",DATA!EF102)</f>
        <v/>
      </c>
      <c r="BV153" s="113" t="str">
        <f t="shared" ca="1" si="24"/>
        <v/>
      </c>
      <c r="BW153" s="680" t="str">
        <f ca="1">IF(AU153="","",OFFSET(DATA!DC102,0,'Intermediate Data'!$AX$48))</f>
        <v/>
      </c>
      <c r="BX153" s="681" t="str">
        <f ca="1">IF($AU153="","",DATA!DG102)</f>
        <v/>
      </c>
      <c r="BY153" s="680" t="str">
        <f ca="1">IF($AU153="","",OFFSET(DATA!DE102,0,'Intermediate Data'!$AX$48))</f>
        <v/>
      </c>
      <c r="BZ153" s="681" t="str">
        <f ca="1">IF($AU153="","",DATA!DH102)</f>
        <v/>
      </c>
      <c r="CA153" s="90" t="str">
        <f t="shared" ca="1" si="25"/>
        <v/>
      </c>
      <c r="CB153" s="99" t="str">
        <f t="shared" ca="1" si="26"/>
        <v/>
      </c>
      <c r="CC153" s="90" t="str">
        <f t="shared" ca="1" si="27"/>
        <v/>
      </c>
      <c r="CD153" s="90" t="str">
        <f t="shared" ca="1" si="28"/>
        <v/>
      </c>
      <c r="CF153" s="90" t="str">
        <f ca="1">IF($CD153="","",IF(OFFSET(AV$55,'Intermediate Data'!$CD153,0)=-98,"Unknown",IF(OFFSET(AV$55,'Intermediate Data'!$CD153,0)=-99,"N/A",OFFSET(AV$55,'Intermediate Data'!$CD153,0))))</f>
        <v/>
      </c>
      <c r="CG153" s="90" t="str">
        <f ca="1">IF($CD153="","",IF(OFFSET(AW$55,'Intermediate Data'!$CD153,0)=-98,"",IF(OFFSET(AW$55,'Intermediate Data'!$CD153,0)=-99,"N/A",OFFSET(AW$55,'Intermediate Data'!$CD153,0))))</f>
        <v/>
      </c>
      <c r="CH153" s="90" t="str">
        <f ca="1">IF($CD153="","",IF(OFFSET(AX$55,'Intermediate Data'!$CD153,0)=-98,"Unknown",IF(OFFSET(AX$55,'Intermediate Data'!$CD153,0)=-99,"N/A",OFFSET(AX$55,'Intermediate Data'!$CD153,0))))</f>
        <v/>
      </c>
      <c r="CI153" s="125" t="str">
        <f ca="1">IF($CD153="","",IF(OFFSET(AY$55,'Intermediate Data'!$CD153,0)=-98,"Unknown",IF(OFFSET(AY$55,'Intermediate Data'!$CD153,0)=-99,"No spec",OFFSET(AY$55,'Intermediate Data'!$CD153,0))))</f>
        <v/>
      </c>
      <c r="CJ153" s="125" t="str">
        <f ca="1">IF($CD153="","",IF(OFFSET(AZ$55,'Intermediate Data'!$CD153,0)=-98,"Unknown",IF(OFFSET(AZ$55,'Intermediate Data'!$CD153,0)=-99,"N/A",OFFSET(AZ$55,'Intermediate Data'!$CD153,0))))</f>
        <v/>
      </c>
      <c r="CK153" s="90" t="str">
        <f ca="1">IF($CD153="","",IF(OFFSET(BA$55,'Intermediate Data'!$CD153,0)=-98,"Unknown",IF(OFFSET(BA$55,'Intermediate Data'!$CD153,0)=-99,"N/A",OFFSET(BA$55,'Intermediate Data'!$CD153,0))))</f>
        <v/>
      </c>
      <c r="CL153" s="90" t="str">
        <f ca="1">IF($CD153="","",IF(OFFSET(BB$55,'Intermediate Data'!$CD153,$AX$50)=-98,"Unknown",IF(OFFSET(BB$55,'Intermediate Data'!$CD153,$AX$50)="N/A","",OFFSET(BB$55,'Intermediate Data'!$CD153,$AX$50))))</f>
        <v/>
      </c>
      <c r="CM153" s="90" t="str">
        <f ca="1">IF($CD153="","",IF(OFFSET(BG$55,'Intermediate Data'!$CD153,0)="ET","ET",""))</f>
        <v/>
      </c>
      <c r="CN153" s="90" t="str">
        <f ca="1">IF($CD153="","",IF(OFFSET(BH$55,'Intermediate Data'!$CD153,$AX$50)=-98,"Unknown",IF(OFFSET(BH$55,'Intermediate Data'!$CD153,$AX$50)="N/A","",OFFSET(BH$55,'Intermediate Data'!$CD153,$AX$50))))</f>
        <v/>
      </c>
      <c r="CO153" s="90" t="str">
        <f ca="1">IF($CD153="","",IF(OFFSET(BM$55,'Intermediate Data'!$CD153,0)=-98,"Not published",IF(OFFSET(BM$55,'Intermediate Data'!$CD153,0)=-99,"No spec",OFFSET(BM$55,'Intermediate Data'!$CD153,0))))</f>
        <v/>
      </c>
      <c r="CP153" s="114" t="str">
        <f ca="1">IF($CD153="","",IF(OFFSET(BN$55,'Intermediate Data'!$CD153,0)=-98,"Unknown",IF(OFFSET(BN$55,'Intermediate Data'!$CD153,0)=-99,"N/A",OFFSET(BN$55,'Intermediate Data'!$CD153,0))))</f>
        <v/>
      </c>
      <c r="CQ153" s="114" t="str">
        <f ca="1">IF($CD153="","",IF(OFFSET(BO$55,'Intermediate Data'!$CD153,0)=-98,"Unknown",IF(OFFSET(BO$55,'Intermediate Data'!$CD153,0)=-99,"N/A",OFFSET(BO$55,'Intermediate Data'!$CD153,0))))</f>
        <v/>
      </c>
      <c r="CR153" s="114" t="str">
        <f ca="1">IF($CD153="","",IF(OFFSET(BP$55,'Intermediate Data'!$CD153,0)=-98,"Unknown",IF(OFFSET(BP$55,'Intermediate Data'!$CD153,0)=-99,"N/A",OFFSET(BP$55,'Intermediate Data'!$CD153,0))))</f>
        <v/>
      </c>
      <c r="CS153" s="114" t="str">
        <f ca="1">IF($CD153="","",IF(OFFSET(BQ$55,'Intermediate Data'!$CD153,0)=-98,"Unknown",IF(OFFSET(BQ$55,'Intermediate Data'!$CD153,0)=-99,"N/A",OFFSET(BQ$55,'Intermediate Data'!$CD153,0))))</f>
        <v/>
      </c>
      <c r="CT153" s="114" t="str">
        <f ca="1">IF($CD153="","",IF(OFFSET(BR$55,'Intermediate Data'!$CD153,0)=-98,"Unknown",IF(OFFSET(BR$55,'Intermediate Data'!$CD153,0)=-99,"N/A",OFFSET(BR$55,'Intermediate Data'!$CD153,0))))</f>
        <v/>
      </c>
      <c r="CU153" s="114" t="str">
        <f ca="1">IF($CD153="","",IF(OFFSET(BS$55,'Intermediate Data'!$CD153,0)=-98,"Unknown",IF(OFFSET(BS$55,'Intermediate Data'!$CD153,0)=-99,"N/A",OFFSET(BS$55,'Intermediate Data'!$CD153,0))))</f>
        <v/>
      </c>
      <c r="CV153" s="114" t="str">
        <f ca="1">IF($CD153="","",IF(OFFSET(BT$55,'Intermediate Data'!$CD153,0)=-98,"Unknown",IF(OFFSET(BT$55,'Intermediate Data'!$CD153,0)=-99,"N/A",OFFSET(BT$55,'Intermediate Data'!$CD153,0))))</f>
        <v/>
      </c>
      <c r="CW153" s="114" t="str">
        <f ca="1">IF($CD153="","",IF(OFFSET(BU$55,'Intermediate Data'!$CD153,0)=-98,"Unknown",IF(OFFSET(BU$55,'Intermediate Data'!$CD153,0)=-99,"N/A",OFFSET(BU$55,'Intermediate Data'!$CD153,0))))</f>
        <v/>
      </c>
      <c r="CX153" s="114" t="str">
        <f ca="1">IF($CD153="","",IF(OFFSET(BV$55,'Intermediate Data'!$CD153,0)=-98,"Unknown",IF(OFFSET(BV$55,'Intermediate Data'!$CD153,0)=-99,"N/A",OFFSET(BV$55,'Intermediate Data'!$CD153,0))))</f>
        <v/>
      </c>
      <c r="CY153" s="682" t="str">
        <f ca="1">IF($CD153="","",IF(OFFSET(BW$55,'Intermediate Data'!$CD153,0)=-98,"Unknown",IF(OFFSET(BW$55,'Intermediate Data'!$CD153,0)="N/A","",OFFSET(BW$55,'Intermediate Data'!$CD153,0))))</f>
        <v/>
      </c>
      <c r="CZ153" s="682" t="str">
        <f ca="1">IF($CD153="","",IF(OFFSET(BX$55,'Intermediate Data'!$CD153,0)=-98,"Unknown",IF(OFFSET(BX$55,'Intermediate Data'!$CD153,0)="N/A","",OFFSET(BX$55,'Intermediate Data'!$CD153,0))))</f>
        <v/>
      </c>
      <c r="DA153" s="682" t="str">
        <f ca="1">IF($CD153="","",IF(OFFSET(BY$55,'Intermediate Data'!$CD153,0)=-98,"Unknown",IF(OFFSET(BY$55,'Intermediate Data'!$CD153,0)="N/A","",OFFSET(BY$55,'Intermediate Data'!$CD153,0))))</f>
        <v/>
      </c>
      <c r="DB153" s="682" t="str">
        <f ca="1">IF($CD153="","",IF(OFFSET(BZ$55,'Intermediate Data'!$CD153,0)=-98,"Unknown",IF(OFFSET(BZ$55,'Intermediate Data'!$CD153,0)="N/A","",OFFSET(BZ$55,'Intermediate Data'!$CD153,0))))</f>
        <v/>
      </c>
    </row>
    <row r="154" spans="1:106" x14ac:dyDescent="0.2">
      <c r="A154" s="90">
        <f ca="1">IF(OFFSET(DATA!F103,0,$D$48)='Intermediate Data'!$E$48,IF(OR($E$49=$C$27,$E$48=$B$4),DATA!A103,IF($G$49=DATA!D103,DATA!A103,"")),"")</f>
        <v>99</v>
      </c>
      <c r="B154" s="90">
        <f ca="1">IF($A154="","",DATA!EH103)</f>
        <v>135</v>
      </c>
      <c r="C154" s="90" t="str">
        <f ca="1">IF($A154="","",DATA!B103)</f>
        <v>Aquarium - Lights, pumps</v>
      </c>
      <c r="D154" s="90">
        <f ca="1">IF($A154="","",OFFSET(DATA!$H103,0,($D$50*5)))</f>
        <v>-99</v>
      </c>
      <c r="E154" s="90">
        <f ca="1">IF($A154="","",OFFSET(DATA!$H103,0,($D$50*5)+1))</f>
        <v>7.7531326020710695E-2</v>
      </c>
      <c r="F154" s="90">
        <f ca="1">IF($A154="","",OFFSET(DATA!$H103,0,($D$50*5)+2))</f>
        <v>-99</v>
      </c>
      <c r="G154" s="90">
        <f ca="1">IF($A154="","",OFFSET(DATA!$H103,0,($D$50*5)+3))</f>
        <v>8.2283615650530564E-2</v>
      </c>
      <c r="H154" s="90">
        <f ca="1">IF($A154="","",OFFSET(DATA!$H103,0,($D$50*5)+4))</f>
        <v>-99</v>
      </c>
      <c r="I154" s="90">
        <f t="shared" ca="1" si="17"/>
        <v>8.2283615650530564E-2</v>
      </c>
      <c r="J154" s="90" t="str">
        <f t="shared" ca="1" si="18"/>
        <v>RASS</v>
      </c>
      <c r="K154" s="90">
        <f ca="1">IF($A154="","",OFFSET(DATA!$AG103,0,($D$50*5)))</f>
        <v>-99</v>
      </c>
      <c r="L154" s="90">
        <f ca="1">IF($A154="","",OFFSET(DATA!$AG103,0,($D$50*5)+1))</f>
        <v>8.7880748217025892E-2</v>
      </c>
      <c r="M154" s="90">
        <f ca="1">IF($A154="","",OFFSET(DATA!$AG103,0,($D$50*5)+2))</f>
        <v>-99</v>
      </c>
      <c r="N154" s="90">
        <f ca="1">IF($A154="","",OFFSET(DATA!$AG103,0,($D$50*5)+3))</f>
        <v>9.2205001129372993E-2</v>
      </c>
      <c r="O154" s="90">
        <f ca="1">IF($A154="","",OFFSET(DATA!$AG103,0,($D$50*5)+4))</f>
        <v>-99</v>
      </c>
      <c r="P154" s="90">
        <f t="shared" ca="1" si="19"/>
        <v>9.2205001129372993E-2</v>
      </c>
      <c r="Q154" s="90" t="str">
        <f t="shared" ca="1" si="20"/>
        <v>RASS</v>
      </c>
      <c r="R154" s="699">
        <f ca="1">IF($A154="","",IF(DATA!BF103="",-99,DATA!BF103))</f>
        <v>-99</v>
      </c>
      <c r="S154" s="90">
        <f ca="1">IF($A154="","",IF(DATA!BG103="",-99,DATA!BF103-DATA!BG103))</f>
        <v>-99</v>
      </c>
      <c r="T154" s="90">
        <f ca="1">IF($A154="","",DATA!BH103)</f>
        <v>-99</v>
      </c>
      <c r="U154" s="90">
        <f ca="1">IF($A154="","",OFFSET(DATA!BM103,0,$D$48))</f>
        <v>-99</v>
      </c>
      <c r="V154" s="90">
        <f t="shared" ca="1" si="29"/>
        <v>135</v>
      </c>
      <c r="W154" s="99">
        <f t="shared" ca="1" si="21"/>
        <v>134.99993074375843</v>
      </c>
      <c r="X154" s="112">
        <f t="shared" ca="1" si="22"/>
        <v>29.99988120183</v>
      </c>
      <c r="Y154" s="90">
        <f t="shared" ca="1" si="23"/>
        <v>128</v>
      </c>
      <c r="AA154" s="90" t="str">
        <f ca="1">IF($Y154="","",IF(OFFSET(C$55,'Intermediate Data'!$Y154,0)=-98,"Unknown",IF(OFFSET(C$55,'Intermediate Data'!$Y154,0)=-99,"N/A",OFFSET(C$55,'Intermediate Data'!$Y154,0))))</f>
        <v>Smoke detector</v>
      </c>
      <c r="AB154" s="90" t="str">
        <f ca="1">IF($Y154="","",IF(OFFSET(D$55,'Intermediate Data'!$Y154,0)=-98,"N/A",IF(OFFSET(D$55,'Intermediate Data'!$Y154,0)=-99,"N/A",OFFSET(D$55,'Intermediate Data'!$Y154,0))))</f>
        <v>N/A</v>
      </c>
      <c r="AC154" s="90" t="str">
        <f ca="1">IF($Y154="","",IF(OFFSET(E$55,'Intermediate Data'!$Y154,0)=-98,"N/A",IF(OFFSET(E$55,'Intermediate Data'!$Y154,0)=-99,"N/A",OFFSET(E$55,'Intermediate Data'!$Y154,0))))</f>
        <v>N/A</v>
      </c>
      <c r="AD154" s="90" t="str">
        <f ca="1">IF($Y154="","",IF(OFFSET(F$55,'Intermediate Data'!$Y154,0)=-98,"N/A",IF(OFFSET(F$55,'Intermediate Data'!$Y154,0)=-99,"N/A",OFFSET(F$55,'Intermediate Data'!$Y154,0))))</f>
        <v>N/A</v>
      </c>
      <c r="AE154" s="90" t="str">
        <f ca="1">IF($Y154="","",IF(OFFSET(G$55,'Intermediate Data'!$Y154,0)=-98,"N/A",IF(OFFSET(G$55,'Intermediate Data'!$Y154,0)=-99,"N/A",OFFSET(G$55,'Intermediate Data'!$Y154,0))))</f>
        <v>N/A</v>
      </c>
      <c r="AF154" s="90" t="str">
        <f ca="1">IF($Y154="","",IF(OFFSET(H$55,'Intermediate Data'!$Y154,0)=-98,"N/A",IF(OFFSET(H$55,'Intermediate Data'!$Y154,0)=-99,"N/A",OFFSET(H$55,'Intermediate Data'!$Y154,0))))</f>
        <v>N/A</v>
      </c>
      <c r="AG154" s="90" t="str">
        <f ca="1">IF($Y154="","",IF(OFFSET(I$55,'Intermediate Data'!$Y154,0)=-98,"N/A",IF(OFFSET(I$55,'Intermediate Data'!$Y154,0)=-99,"N/A",OFFSET(I$55,'Intermediate Data'!$Y154,0))))</f>
        <v>N/A</v>
      </c>
      <c r="AH154" s="90" t="str">
        <f ca="1">IF($Y154="","",IF(OFFSET(J$55,'Intermediate Data'!$Y154,0)=-98,"N/A",IF(OFFSET(J$55,'Intermediate Data'!$Y154,0)=-99,"N/A",OFFSET(J$55,'Intermediate Data'!$Y154,0))))</f>
        <v/>
      </c>
      <c r="AI154" s="90" t="str">
        <f ca="1">IF($Y154="","",IF(OFFSET(K$55,'Intermediate Data'!$Y154,0)=-98,"N/A",IF(OFFSET(K$55,'Intermediate Data'!$Y154,0)=-99,"N/A",OFFSET(K$55,'Intermediate Data'!$Y154,0))))</f>
        <v>N/A</v>
      </c>
      <c r="AJ154" s="90" t="str">
        <f ca="1">IF($Y154="","",IF(OFFSET(L$55,'Intermediate Data'!$Y154,0)=-98,"N/A",IF(OFFSET(L$55,'Intermediate Data'!$Y154,0)=-99,"N/A",OFFSET(L$55,'Intermediate Data'!$Y154,0))))</f>
        <v>N/A</v>
      </c>
      <c r="AK154" s="90" t="str">
        <f ca="1">IF($Y154="","",IF(OFFSET(M$55,'Intermediate Data'!$Y154,0)=-98,"N/A",IF(OFFSET(M$55,'Intermediate Data'!$Y154,0)=-99,"N/A",OFFSET(M$55,'Intermediate Data'!$Y154,0))))</f>
        <v>N/A</v>
      </c>
      <c r="AL154" s="90" t="str">
        <f ca="1">IF($Y154="","",IF(OFFSET(N$55,'Intermediate Data'!$Y154,0)=-98,"N/A",IF(OFFSET(N$55,'Intermediate Data'!$Y154,0)=-99,"N/A",OFFSET(N$55,'Intermediate Data'!$Y154,0))))</f>
        <v>N/A</v>
      </c>
      <c r="AM154" s="90" t="str">
        <f ca="1">IF($Y154="","",IF(OFFSET(O$55,'Intermediate Data'!$Y154,0)=-98,"N/A",IF(OFFSET(O$55,'Intermediate Data'!$Y154,0)=-99,"N/A",OFFSET(O$55,'Intermediate Data'!$Y154,0))))</f>
        <v>N/A</v>
      </c>
      <c r="AN154" s="90" t="str">
        <f ca="1">IF($Y154="","",IF(OFFSET(P$55,'Intermediate Data'!$Y154,0)=-98,"N/A",IF(OFFSET(P$55,'Intermediate Data'!$Y154,0)=-99,"N/A",OFFSET(P$55,'Intermediate Data'!$Y154,0))))</f>
        <v>N/A</v>
      </c>
      <c r="AO154" s="90" t="str">
        <f ca="1">IF($Y154="","",IF(OFFSET(Q$55,'Intermediate Data'!$Y154,0)=-98,"N/A",IF(OFFSET(Q$55,'Intermediate Data'!$Y154,0)=-99,"N/A",OFFSET(Q$55,'Intermediate Data'!$Y154,0))))</f>
        <v/>
      </c>
      <c r="AP154" s="697" t="str">
        <f ca="1">IF($Y154="","",IF(OFFSET(S$55,'Intermediate Data'!$Y154,0)=-98,"",IF(OFFSET(S$55,'Intermediate Data'!$Y154,0)=-99,"",OFFSET(S$55,'Intermediate Data'!$Y154,0))))</f>
        <v/>
      </c>
      <c r="AQ154" s="90" t="str">
        <f ca="1">IF($Y154="","",IF(OFFSET(T$55,'Intermediate Data'!$Y154,0)=-98,"Not published",IF(OFFSET(T$55,'Intermediate Data'!$Y154,0)=-99,"",OFFSET(T$55,'Intermediate Data'!$Y154,0))))</f>
        <v/>
      </c>
      <c r="AR154" s="90" t="str">
        <f ca="1">IF($Y154="","",IF(OFFSET(U$55,'Intermediate Data'!$Y154,0)=-98,"Unknown",IF(OFFSET(U$55,'Intermediate Data'!$Y154,0)=-99,"",OFFSET(U$55,'Intermediate Data'!$Y154,0))))</f>
        <v/>
      </c>
      <c r="AU154" s="112" t="str">
        <f ca="1">IF(AND(OFFSET(DATA!$F103,0,$AX$48)='Intermediate Data'!$AY$48,DATA!$E103="Tier 1"),IF(OR($AX$49=0,$AX$48=1),DATA!A103,IF(AND($AX$49=1,INDEX('Intermediate Data'!$AY$25:$AY$44,MATCH(DATA!$B103,'Intermediate Data'!$AX$25:$AX$44,0))=TRUE),DATA!A103,"")),"")</f>
        <v/>
      </c>
      <c r="AV154" s="112" t="str">
        <f ca="1">IF($AU154="","",DATA!B103)</f>
        <v/>
      </c>
      <c r="AW154" s="112" t="str">
        <f ca="1">IF(OR($AU154="",DATA!BI103=""),"",DATA!BI103)</f>
        <v/>
      </c>
      <c r="AX154" s="112" t="str">
        <f ca="1">IF(OR($AU154="",OFFSET(DATA!BK103,0,$AX$48)=""),"",OFFSET(DATA!BK103,0,$AX$48))</f>
        <v/>
      </c>
      <c r="AY154" s="112" t="str">
        <f ca="1">IF(OR($AU154="",OFFSET(DATA!BM103,0,$AX$48)=""),"",OFFSET(DATA!BM103,0,$AX$48))</f>
        <v/>
      </c>
      <c r="AZ154" s="112" t="str">
        <f ca="1">IF(OR($AU154="",OFFSET(DATA!BO103,0,'Intermediate Data'!$AX$48)=""),"",OFFSET(DATA!BO103,0,$AX$48))</f>
        <v/>
      </c>
      <c r="BA154" s="112" t="str">
        <f ca="1">IF(OR($AU154="",DATA!BQ103=""),"",DATA!BQ103)</f>
        <v/>
      </c>
      <c r="BB154" s="112" t="str">
        <f ca="1">IF($AU154="","",OFFSET(DATA!BS103,0,$AX$48))</f>
        <v/>
      </c>
      <c r="BC154" s="112" t="str">
        <f ca="1">IF($AU154="","",OFFSET(DATA!BU103,0,$AX$48))</f>
        <v/>
      </c>
      <c r="BD154" s="112" t="str">
        <f ca="1">IF($AU154="","",OFFSET(DATA!BW103,0,$AX$48))</f>
        <v/>
      </c>
      <c r="BE154" s="112" t="str">
        <f ca="1">IF($AU154="","",OFFSET(DATA!BY103,0,$AX$48))</f>
        <v/>
      </c>
      <c r="BF154" s="112" t="str">
        <f ca="1">IF($AU154="","",OFFSET(DATA!CA103,0,$AX$48))</f>
        <v/>
      </c>
      <c r="BG154" s="112" t="str">
        <f ca="1">IF($AU154="","",DATA!CC103)</f>
        <v/>
      </c>
      <c r="BH154" s="112" t="str">
        <f ca="1">IF($AU154="","",OFFSET(DATA!CE103,0,$AX$48))</f>
        <v/>
      </c>
      <c r="BI154" s="112" t="str">
        <f ca="1">IF($AU154="","",OFFSET(DATA!CG103,0,$AX$48))</f>
        <v/>
      </c>
      <c r="BJ154" s="112" t="str">
        <f ca="1">IF($AU154="","",OFFSET(DATA!CI103,0,$AX$48))</f>
        <v/>
      </c>
      <c r="BK154" s="112" t="str">
        <f ca="1">IF($AU154="","",OFFSET(DATA!CK103,0,$AX$48))</f>
        <v/>
      </c>
      <c r="BL154" s="112" t="str">
        <f ca="1">IF($AU154="","",OFFSET(DATA!CM103,0,$AX$48))</f>
        <v/>
      </c>
      <c r="BM154" s="112" t="str">
        <f ca="1">IF($AU154="","",DATA!BH103)</f>
        <v/>
      </c>
      <c r="BN154" s="112" t="str">
        <f ca="1">IF($AU154="","",DATA!DS103)</f>
        <v/>
      </c>
      <c r="BO154" s="112" t="str">
        <f ca="1">IF($AU154="","",DATA!DU103)</f>
        <v/>
      </c>
      <c r="BP154" s="112" t="str">
        <f ca="1">IF($AU154="","",DATA!DV103)</f>
        <v/>
      </c>
      <c r="BQ154" s="112" t="str">
        <f ca="1">IF($AU154="","",DATA!DX103)</f>
        <v/>
      </c>
      <c r="BR154" s="112" t="str">
        <f ca="1">IF($AU154="","",DATA!DZ103)</f>
        <v/>
      </c>
      <c r="BS154" s="171" t="str">
        <f ca="1">IF($AU154="","",DATA!EA103)</f>
        <v/>
      </c>
      <c r="BT154" s="171" t="str">
        <f ca="1">IF($AU154="","",DATA!EC103)</f>
        <v/>
      </c>
      <c r="BU154" s="171" t="str">
        <f ca="1">IF($AU154="","",DATA!EF103)</f>
        <v/>
      </c>
      <c r="BV154" s="113" t="str">
        <f t="shared" ca="1" si="24"/>
        <v/>
      </c>
      <c r="BW154" s="680" t="str">
        <f ca="1">IF(AU154="","",OFFSET(DATA!DC103,0,'Intermediate Data'!$AX$48))</f>
        <v/>
      </c>
      <c r="BX154" s="681" t="str">
        <f ca="1">IF($AU154="","",DATA!DG103)</f>
        <v/>
      </c>
      <c r="BY154" s="680" t="str">
        <f ca="1">IF($AU154="","",OFFSET(DATA!DE103,0,'Intermediate Data'!$AX$48))</f>
        <v/>
      </c>
      <c r="BZ154" s="681" t="str">
        <f ca="1">IF($AU154="","",DATA!DH103)</f>
        <v/>
      </c>
      <c r="CA154" s="90" t="str">
        <f t="shared" ca="1" si="25"/>
        <v/>
      </c>
      <c r="CB154" s="99" t="str">
        <f t="shared" ca="1" si="26"/>
        <v/>
      </c>
      <c r="CC154" s="90" t="str">
        <f t="shared" ca="1" si="27"/>
        <v/>
      </c>
      <c r="CD154" s="90" t="str">
        <f t="shared" ca="1" si="28"/>
        <v/>
      </c>
      <c r="CF154" s="90" t="str">
        <f ca="1">IF($CD154="","",IF(OFFSET(AV$55,'Intermediate Data'!$CD154,0)=-98,"Unknown",IF(OFFSET(AV$55,'Intermediate Data'!$CD154,0)=-99,"N/A",OFFSET(AV$55,'Intermediate Data'!$CD154,0))))</f>
        <v/>
      </c>
      <c r="CG154" s="90" t="str">
        <f ca="1">IF($CD154="","",IF(OFFSET(AW$55,'Intermediate Data'!$CD154,0)=-98,"",IF(OFFSET(AW$55,'Intermediate Data'!$CD154,0)=-99,"N/A",OFFSET(AW$55,'Intermediate Data'!$CD154,0))))</f>
        <v/>
      </c>
      <c r="CH154" s="90" t="str">
        <f ca="1">IF($CD154="","",IF(OFFSET(AX$55,'Intermediate Data'!$CD154,0)=-98,"Unknown",IF(OFFSET(AX$55,'Intermediate Data'!$CD154,0)=-99,"N/A",OFFSET(AX$55,'Intermediate Data'!$CD154,0))))</f>
        <v/>
      </c>
      <c r="CI154" s="125" t="str">
        <f ca="1">IF($CD154="","",IF(OFFSET(AY$55,'Intermediate Data'!$CD154,0)=-98,"Unknown",IF(OFFSET(AY$55,'Intermediate Data'!$CD154,0)=-99,"No spec",OFFSET(AY$55,'Intermediate Data'!$CD154,0))))</f>
        <v/>
      </c>
      <c r="CJ154" s="125" t="str">
        <f ca="1">IF($CD154="","",IF(OFFSET(AZ$55,'Intermediate Data'!$CD154,0)=-98,"Unknown",IF(OFFSET(AZ$55,'Intermediate Data'!$CD154,0)=-99,"N/A",OFFSET(AZ$55,'Intermediate Data'!$CD154,0))))</f>
        <v/>
      </c>
      <c r="CK154" s="90" t="str">
        <f ca="1">IF($CD154="","",IF(OFFSET(BA$55,'Intermediate Data'!$CD154,0)=-98,"Unknown",IF(OFFSET(BA$55,'Intermediate Data'!$CD154,0)=-99,"N/A",OFFSET(BA$55,'Intermediate Data'!$CD154,0))))</f>
        <v/>
      </c>
      <c r="CL154" s="90" t="str">
        <f ca="1">IF($CD154="","",IF(OFFSET(BB$55,'Intermediate Data'!$CD154,$AX$50)=-98,"Unknown",IF(OFFSET(BB$55,'Intermediate Data'!$CD154,$AX$50)="N/A","",OFFSET(BB$55,'Intermediate Data'!$CD154,$AX$50))))</f>
        <v/>
      </c>
      <c r="CM154" s="90" t="str">
        <f ca="1">IF($CD154="","",IF(OFFSET(BG$55,'Intermediate Data'!$CD154,0)="ET","ET",""))</f>
        <v/>
      </c>
      <c r="CN154" s="90" t="str">
        <f ca="1">IF($CD154="","",IF(OFFSET(BH$55,'Intermediate Data'!$CD154,$AX$50)=-98,"Unknown",IF(OFFSET(BH$55,'Intermediate Data'!$CD154,$AX$50)="N/A","",OFFSET(BH$55,'Intermediate Data'!$CD154,$AX$50))))</f>
        <v/>
      </c>
      <c r="CO154" s="90" t="str">
        <f ca="1">IF($CD154="","",IF(OFFSET(BM$55,'Intermediate Data'!$CD154,0)=-98,"Not published",IF(OFFSET(BM$55,'Intermediate Data'!$CD154,0)=-99,"No spec",OFFSET(BM$55,'Intermediate Data'!$CD154,0))))</f>
        <v/>
      </c>
      <c r="CP154" s="114" t="str">
        <f ca="1">IF($CD154="","",IF(OFFSET(BN$55,'Intermediate Data'!$CD154,0)=-98,"Unknown",IF(OFFSET(BN$55,'Intermediate Data'!$CD154,0)=-99,"N/A",OFFSET(BN$55,'Intermediate Data'!$CD154,0))))</f>
        <v/>
      </c>
      <c r="CQ154" s="114" t="str">
        <f ca="1">IF($CD154="","",IF(OFFSET(BO$55,'Intermediate Data'!$CD154,0)=-98,"Unknown",IF(OFFSET(BO$55,'Intermediate Data'!$CD154,0)=-99,"N/A",OFFSET(BO$55,'Intermediate Data'!$CD154,0))))</f>
        <v/>
      </c>
      <c r="CR154" s="114" t="str">
        <f ca="1">IF($CD154="","",IF(OFFSET(BP$55,'Intermediate Data'!$CD154,0)=-98,"Unknown",IF(OFFSET(BP$55,'Intermediate Data'!$CD154,0)=-99,"N/A",OFFSET(BP$55,'Intermediate Data'!$CD154,0))))</f>
        <v/>
      </c>
      <c r="CS154" s="114" t="str">
        <f ca="1">IF($CD154="","",IF(OFFSET(BQ$55,'Intermediate Data'!$CD154,0)=-98,"Unknown",IF(OFFSET(BQ$55,'Intermediate Data'!$CD154,0)=-99,"N/A",OFFSET(BQ$55,'Intermediate Data'!$CD154,0))))</f>
        <v/>
      </c>
      <c r="CT154" s="114" t="str">
        <f ca="1">IF($CD154="","",IF(OFFSET(BR$55,'Intermediate Data'!$CD154,0)=-98,"Unknown",IF(OFFSET(BR$55,'Intermediate Data'!$CD154,0)=-99,"N/A",OFFSET(BR$55,'Intermediate Data'!$CD154,0))))</f>
        <v/>
      </c>
      <c r="CU154" s="114" t="str">
        <f ca="1">IF($CD154="","",IF(OFFSET(BS$55,'Intermediate Data'!$CD154,0)=-98,"Unknown",IF(OFFSET(BS$55,'Intermediate Data'!$CD154,0)=-99,"N/A",OFFSET(BS$55,'Intermediate Data'!$CD154,0))))</f>
        <v/>
      </c>
      <c r="CV154" s="114" t="str">
        <f ca="1">IF($CD154="","",IF(OFFSET(BT$55,'Intermediate Data'!$CD154,0)=-98,"Unknown",IF(OFFSET(BT$55,'Intermediate Data'!$CD154,0)=-99,"N/A",OFFSET(BT$55,'Intermediate Data'!$CD154,0))))</f>
        <v/>
      </c>
      <c r="CW154" s="114" t="str">
        <f ca="1">IF($CD154="","",IF(OFFSET(BU$55,'Intermediate Data'!$CD154,0)=-98,"Unknown",IF(OFFSET(BU$55,'Intermediate Data'!$CD154,0)=-99,"N/A",OFFSET(BU$55,'Intermediate Data'!$CD154,0))))</f>
        <v/>
      </c>
      <c r="CX154" s="114" t="str">
        <f ca="1">IF($CD154="","",IF(OFFSET(BV$55,'Intermediate Data'!$CD154,0)=-98,"Unknown",IF(OFFSET(BV$55,'Intermediate Data'!$CD154,0)=-99,"N/A",OFFSET(BV$55,'Intermediate Data'!$CD154,0))))</f>
        <v/>
      </c>
      <c r="CY154" s="682" t="str">
        <f ca="1">IF($CD154="","",IF(OFFSET(BW$55,'Intermediate Data'!$CD154,0)=-98,"Unknown",IF(OFFSET(BW$55,'Intermediate Data'!$CD154,0)="N/A","",OFFSET(BW$55,'Intermediate Data'!$CD154,0))))</f>
        <v/>
      </c>
      <c r="CZ154" s="682" t="str">
        <f ca="1">IF($CD154="","",IF(OFFSET(BX$55,'Intermediate Data'!$CD154,0)=-98,"Unknown",IF(OFFSET(BX$55,'Intermediate Data'!$CD154,0)="N/A","",OFFSET(BX$55,'Intermediate Data'!$CD154,0))))</f>
        <v/>
      </c>
      <c r="DA154" s="682" t="str">
        <f ca="1">IF($CD154="","",IF(OFFSET(BY$55,'Intermediate Data'!$CD154,0)=-98,"Unknown",IF(OFFSET(BY$55,'Intermediate Data'!$CD154,0)="N/A","",OFFSET(BY$55,'Intermediate Data'!$CD154,0))))</f>
        <v/>
      </c>
      <c r="DB154" s="682" t="str">
        <f ca="1">IF($CD154="","",IF(OFFSET(BZ$55,'Intermediate Data'!$CD154,0)=-98,"Unknown",IF(OFFSET(BZ$55,'Intermediate Data'!$CD154,0)="N/A","",OFFSET(BZ$55,'Intermediate Data'!$CD154,0))))</f>
        <v/>
      </c>
    </row>
    <row r="155" spans="1:106" x14ac:dyDescent="0.2">
      <c r="A155" s="90">
        <f ca="1">IF(OFFSET(DATA!F104,0,$D$48)='Intermediate Data'!$E$48,IF(OR($E$49=$C$27,$E$48=$B$4),DATA!A104,IF($G$49=DATA!D104,DATA!A104,"")),"")</f>
        <v>100</v>
      </c>
      <c r="B155" s="90">
        <f ca="1">IF($A155="","",DATA!EH104)</f>
        <v>130</v>
      </c>
      <c r="C155" s="90" t="str">
        <f ca="1">IF($A155="","",DATA!B104)</f>
        <v>Battery charger</v>
      </c>
      <c r="D155" s="90">
        <f ca="1">IF($A155="","",OFFSET(DATA!$H104,0,($D$50*5)))</f>
        <v>-99</v>
      </c>
      <c r="E155" s="90">
        <f ca="1">IF($A155="","",OFFSET(DATA!$H104,0,($D$50*5)+1))</f>
        <v>-99</v>
      </c>
      <c r="F155" s="90">
        <f ca="1">IF($A155="","",OFFSET(DATA!$H104,0,($D$50*5)+2))</f>
        <v>-99</v>
      </c>
      <c r="G155" s="90">
        <f ca="1">IF($A155="","",OFFSET(DATA!$H104,0,($D$50*5)+3))</f>
        <v>-99</v>
      </c>
      <c r="H155" s="90">
        <f ca="1">IF($A155="","",OFFSET(DATA!$H104,0,($D$50*5)+4))</f>
        <v>-99</v>
      </c>
      <c r="I155" s="90">
        <f t="shared" ca="1" si="17"/>
        <v>-99</v>
      </c>
      <c r="J155" s="90" t="str">
        <f t="shared" ca="1" si="18"/>
        <v/>
      </c>
      <c r="K155" s="90">
        <f ca="1">IF($A155="","",OFFSET(DATA!$AG104,0,($D$50*5)))</f>
        <v>-99</v>
      </c>
      <c r="L155" s="90">
        <f ca="1">IF($A155="","",OFFSET(DATA!$AG104,0,($D$50*5)+1))</f>
        <v>-99</v>
      </c>
      <c r="M155" s="90">
        <f ca="1">IF($A155="","",OFFSET(DATA!$AG104,0,($D$50*5)+2))</f>
        <v>-99</v>
      </c>
      <c r="N155" s="90">
        <f ca="1">IF($A155="","",OFFSET(DATA!$AG104,0,($D$50*5)+3))</f>
        <v>-99</v>
      </c>
      <c r="O155" s="90">
        <f ca="1">IF($A155="","",OFFSET(DATA!$AG104,0,($D$50*5)+4))</f>
        <v>-99</v>
      </c>
      <c r="P155" s="90">
        <f t="shared" ca="1" si="19"/>
        <v>-99</v>
      </c>
      <c r="Q155" s="90" t="str">
        <f t="shared" ca="1" si="20"/>
        <v/>
      </c>
      <c r="R155" s="699">
        <f ca="1">IF($A155="","",IF(DATA!BF104="",-99,DATA!BF104))</f>
        <v>-99</v>
      </c>
      <c r="S155" s="90">
        <f ca="1">IF($A155="","",IF(DATA!BG104="",-99,DATA!BF104-DATA!BG104))</f>
        <v>-99</v>
      </c>
      <c r="T155" s="90">
        <f ca="1">IF($A155="","",DATA!BH104)</f>
        <v>-99</v>
      </c>
      <c r="U155" s="90">
        <f ca="1">IF($A155="","",OFFSET(DATA!BM104,0,$D$48))</f>
        <v>-99</v>
      </c>
      <c r="V155" s="90">
        <f t="shared" ca="1" si="29"/>
        <v>130</v>
      </c>
      <c r="W155" s="99">
        <f t="shared" ca="1" si="21"/>
        <v>129.99988120155001</v>
      </c>
      <c r="X155" s="112">
        <f t="shared" ca="1" si="22"/>
        <v>28.999908063119999</v>
      </c>
      <c r="Y155" s="90">
        <f t="shared" ca="1" si="23"/>
        <v>57</v>
      </c>
      <c r="AA155" s="90" t="str">
        <f ca="1">IF($Y155="","",IF(OFFSET(C$55,'Intermediate Data'!$Y155,0)=-98,"Unknown",IF(OFFSET(C$55,'Intermediate Data'!$Y155,0)=-99,"N/A",OFFSET(C$55,'Intermediate Data'!$Y155,0))))</f>
        <v>Soundbar</v>
      </c>
      <c r="AB155" s="90" t="str">
        <f ca="1">IF($Y155="","",IF(OFFSET(D$55,'Intermediate Data'!$Y155,0)=-98,"N/A",IF(OFFSET(D$55,'Intermediate Data'!$Y155,0)=-99,"N/A",OFFSET(D$55,'Intermediate Data'!$Y155,0))))</f>
        <v>N/A</v>
      </c>
      <c r="AC155" s="90" t="str">
        <f ca="1">IF($Y155="","",IF(OFFSET(E$55,'Intermediate Data'!$Y155,0)=-98,"N/A",IF(OFFSET(E$55,'Intermediate Data'!$Y155,0)=-99,"N/A",OFFSET(E$55,'Intermediate Data'!$Y155,0))))</f>
        <v>N/A</v>
      </c>
      <c r="AD155" s="90" t="str">
        <f ca="1">IF($Y155="","",IF(OFFSET(F$55,'Intermediate Data'!$Y155,0)=-98,"N/A",IF(OFFSET(F$55,'Intermediate Data'!$Y155,0)=-99,"N/A",OFFSET(F$55,'Intermediate Data'!$Y155,0))))</f>
        <v>N/A</v>
      </c>
      <c r="AE155" s="90" t="str">
        <f ca="1">IF($Y155="","",IF(OFFSET(G$55,'Intermediate Data'!$Y155,0)=-98,"N/A",IF(OFFSET(G$55,'Intermediate Data'!$Y155,0)=-99,"N/A",OFFSET(G$55,'Intermediate Data'!$Y155,0))))</f>
        <v>N/A</v>
      </c>
      <c r="AF155" s="90" t="str">
        <f ca="1">IF($Y155="","",IF(OFFSET(H$55,'Intermediate Data'!$Y155,0)=-98,"N/A",IF(OFFSET(H$55,'Intermediate Data'!$Y155,0)=-99,"N/A",OFFSET(H$55,'Intermediate Data'!$Y155,0))))</f>
        <v>N/A</v>
      </c>
      <c r="AG155" s="90" t="str">
        <f ca="1">IF($Y155="","",IF(OFFSET(I$55,'Intermediate Data'!$Y155,0)=-98,"N/A",IF(OFFSET(I$55,'Intermediate Data'!$Y155,0)=-99,"N/A",OFFSET(I$55,'Intermediate Data'!$Y155,0))))</f>
        <v>N/A</v>
      </c>
      <c r="AH155" s="90" t="str">
        <f ca="1">IF($Y155="","",IF(OFFSET(J$55,'Intermediate Data'!$Y155,0)=-98,"N/A",IF(OFFSET(J$55,'Intermediate Data'!$Y155,0)=-99,"N/A",OFFSET(J$55,'Intermediate Data'!$Y155,0))))</f>
        <v/>
      </c>
      <c r="AI155" s="90" t="str">
        <f ca="1">IF($Y155="","",IF(OFFSET(K$55,'Intermediate Data'!$Y155,0)=-98,"N/A",IF(OFFSET(K$55,'Intermediate Data'!$Y155,0)=-99,"N/A",OFFSET(K$55,'Intermediate Data'!$Y155,0))))</f>
        <v>N/A</v>
      </c>
      <c r="AJ155" s="90" t="str">
        <f ca="1">IF($Y155="","",IF(OFFSET(L$55,'Intermediate Data'!$Y155,0)=-98,"N/A",IF(OFFSET(L$55,'Intermediate Data'!$Y155,0)=-99,"N/A",OFFSET(L$55,'Intermediate Data'!$Y155,0))))</f>
        <v>N/A</v>
      </c>
      <c r="AK155" s="90" t="str">
        <f ca="1">IF($Y155="","",IF(OFFSET(M$55,'Intermediate Data'!$Y155,0)=-98,"N/A",IF(OFFSET(M$55,'Intermediate Data'!$Y155,0)=-99,"N/A",OFFSET(M$55,'Intermediate Data'!$Y155,0))))</f>
        <v>N/A</v>
      </c>
      <c r="AL155" s="90" t="str">
        <f ca="1">IF($Y155="","",IF(OFFSET(N$55,'Intermediate Data'!$Y155,0)=-98,"N/A",IF(OFFSET(N$55,'Intermediate Data'!$Y155,0)=-99,"N/A",OFFSET(N$55,'Intermediate Data'!$Y155,0))))</f>
        <v>N/A</v>
      </c>
      <c r="AM155" s="90" t="str">
        <f ca="1">IF($Y155="","",IF(OFFSET(O$55,'Intermediate Data'!$Y155,0)=-98,"N/A",IF(OFFSET(O$55,'Intermediate Data'!$Y155,0)=-99,"N/A",OFFSET(O$55,'Intermediate Data'!$Y155,0))))</f>
        <v>N/A</v>
      </c>
      <c r="AN155" s="90" t="str">
        <f ca="1">IF($Y155="","",IF(OFFSET(P$55,'Intermediate Data'!$Y155,0)=-98,"N/A",IF(OFFSET(P$55,'Intermediate Data'!$Y155,0)=-99,"N/A",OFFSET(P$55,'Intermediate Data'!$Y155,0))))</f>
        <v>N/A</v>
      </c>
      <c r="AO155" s="90" t="str">
        <f ca="1">IF($Y155="","",IF(OFFSET(Q$55,'Intermediate Data'!$Y155,0)=-98,"N/A",IF(OFFSET(Q$55,'Intermediate Data'!$Y155,0)=-99,"N/A",OFFSET(Q$55,'Intermediate Data'!$Y155,0))))</f>
        <v/>
      </c>
      <c r="AP155" s="697" t="str">
        <f ca="1">IF($Y155="","",IF(OFFSET(S$55,'Intermediate Data'!$Y155,0)=-98,"",IF(OFFSET(S$55,'Intermediate Data'!$Y155,0)=-99,"",OFFSET(S$55,'Intermediate Data'!$Y155,0))))</f>
        <v/>
      </c>
      <c r="AQ155" s="90">
        <f ca="1">IF($Y155="","",IF(OFFSET(T$55,'Intermediate Data'!$Y155,0)=-98,"Not published",IF(OFFSET(T$55,'Intermediate Data'!$Y155,0)=-99,"",OFFSET(T$55,'Intermediate Data'!$Y155,0))))</f>
        <v>0.62</v>
      </c>
      <c r="AR155" s="90">
        <f ca="1">IF($Y155="","",IF(OFFSET(U$55,'Intermediate Data'!$Y155,0)=-98,"Unknown",IF(OFFSET(U$55,'Intermediate Data'!$Y155,0)=-99,"",OFFSET(U$55,'Intermediate Data'!$Y155,0))))</f>
        <v>70</v>
      </c>
      <c r="AU155" s="112" t="str">
        <f ca="1">IF(AND(OFFSET(DATA!$F104,0,$AX$48)='Intermediate Data'!$AY$48,DATA!$E104="Tier 1"),IF(OR($AX$49=0,$AX$48=1),DATA!A104,IF(AND($AX$49=1,INDEX('Intermediate Data'!$AY$25:$AY$44,MATCH(DATA!$B104,'Intermediate Data'!$AX$25:$AX$44,0))=TRUE),DATA!A104,"")),"")</f>
        <v/>
      </c>
      <c r="AV155" s="112" t="str">
        <f ca="1">IF($AU155="","",DATA!B104)</f>
        <v/>
      </c>
      <c r="AW155" s="112" t="str">
        <f ca="1">IF(OR($AU155="",DATA!BI104=""),"",DATA!BI104)</f>
        <v/>
      </c>
      <c r="AX155" s="112" t="str">
        <f ca="1">IF(OR($AU155="",OFFSET(DATA!BK104,0,$AX$48)=""),"",OFFSET(DATA!BK104,0,$AX$48))</f>
        <v/>
      </c>
      <c r="AY155" s="112" t="str">
        <f ca="1">IF(OR($AU155="",OFFSET(DATA!BM104,0,$AX$48)=""),"",OFFSET(DATA!BM104,0,$AX$48))</f>
        <v/>
      </c>
      <c r="AZ155" s="112" t="str">
        <f ca="1">IF(OR($AU155="",OFFSET(DATA!BO104,0,'Intermediate Data'!$AX$48)=""),"",OFFSET(DATA!BO104,0,$AX$48))</f>
        <v/>
      </c>
      <c r="BA155" s="112" t="str">
        <f ca="1">IF(OR($AU155="",DATA!BQ104=""),"",DATA!BQ104)</f>
        <v/>
      </c>
      <c r="BB155" s="112" t="str">
        <f ca="1">IF($AU155="","",OFFSET(DATA!BS104,0,$AX$48))</f>
        <v/>
      </c>
      <c r="BC155" s="112" t="str">
        <f ca="1">IF($AU155="","",OFFSET(DATA!BU104,0,$AX$48))</f>
        <v/>
      </c>
      <c r="BD155" s="112" t="str">
        <f ca="1">IF($AU155="","",OFFSET(DATA!BW104,0,$AX$48))</f>
        <v/>
      </c>
      <c r="BE155" s="112" t="str">
        <f ca="1">IF($AU155="","",OFFSET(DATA!BY104,0,$AX$48))</f>
        <v/>
      </c>
      <c r="BF155" s="112" t="str">
        <f ca="1">IF($AU155="","",OFFSET(DATA!CA104,0,$AX$48))</f>
        <v/>
      </c>
      <c r="BG155" s="112" t="str">
        <f ca="1">IF($AU155="","",DATA!CC104)</f>
        <v/>
      </c>
      <c r="BH155" s="112" t="str">
        <f ca="1">IF($AU155="","",OFFSET(DATA!CE104,0,$AX$48))</f>
        <v/>
      </c>
      <c r="BI155" s="112" t="str">
        <f ca="1">IF($AU155="","",OFFSET(DATA!CG104,0,$AX$48))</f>
        <v/>
      </c>
      <c r="BJ155" s="112" t="str">
        <f ca="1">IF($AU155="","",OFFSET(DATA!CI104,0,$AX$48))</f>
        <v/>
      </c>
      <c r="BK155" s="112" t="str">
        <f ca="1">IF($AU155="","",OFFSET(DATA!CK104,0,$AX$48))</f>
        <v/>
      </c>
      <c r="BL155" s="112" t="str">
        <f ca="1">IF($AU155="","",OFFSET(DATA!CM104,0,$AX$48))</f>
        <v/>
      </c>
      <c r="BM155" s="112" t="str">
        <f ca="1">IF($AU155="","",DATA!BH104)</f>
        <v/>
      </c>
      <c r="BN155" s="112" t="str">
        <f ca="1">IF($AU155="","",DATA!DS104)</f>
        <v/>
      </c>
      <c r="BO155" s="112" t="str">
        <f ca="1">IF($AU155="","",DATA!DU104)</f>
        <v/>
      </c>
      <c r="BP155" s="112" t="str">
        <f ca="1">IF($AU155="","",DATA!DV104)</f>
        <v/>
      </c>
      <c r="BQ155" s="112" t="str">
        <f ca="1">IF($AU155="","",DATA!DX104)</f>
        <v/>
      </c>
      <c r="BR155" s="112" t="str">
        <f ca="1">IF($AU155="","",DATA!DZ104)</f>
        <v/>
      </c>
      <c r="BS155" s="171" t="str">
        <f ca="1">IF($AU155="","",DATA!EA104)</f>
        <v/>
      </c>
      <c r="BT155" s="171" t="str">
        <f ca="1">IF($AU155="","",DATA!EC104)</f>
        <v/>
      </c>
      <c r="BU155" s="171" t="str">
        <f ca="1">IF($AU155="","",DATA!EF104)</f>
        <v/>
      </c>
      <c r="BV155" s="113" t="str">
        <f t="shared" ca="1" si="24"/>
        <v/>
      </c>
      <c r="BW155" s="680" t="str">
        <f ca="1">IF(AU155="","",OFFSET(DATA!DC104,0,'Intermediate Data'!$AX$48))</f>
        <v/>
      </c>
      <c r="BX155" s="681" t="str">
        <f ca="1">IF($AU155="","",DATA!DG104)</f>
        <v/>
      </c>
      <c r="BY155" s="680" t="str">
        <f ca="1">IF($AU155="","",OFFSET(DATA!DE104,0,'Intermediate Data'!$AX$48))</f>
        <v/>
      </c>
      <c r="BZ155" s="681" t="str">
        <f ca="1">IF($AU155="","",DATA!DH104)</f>
        <v/>
      </c>
      <c r="CA155" s="90" t="str">
        <f t="shared" ca="1" si="25"/>
        <v/>
      </c>
      <c r="CB155" s="99" t="str">
        <f t="shared" ca="1" si="26"/>
        <v/>
      </c>
      <c r="CC155" s="90" t="str">
        <f t="shared" ca="1" si="27"/>
        <v/>
      </c>
      <c r="CD155" s="90" t="str">
        <f t="shared" ca="1" si="28"/>
        <v/>
      </c>
      <c r="CF155" s="90" t="str">
        <f ca="1">IF($CD155="","",IF(OFFSET(AV$55,'Intermediate Data'!$CD155,0)=-98,"Unknown",IF(OFFSET(AV$55,'Intermediate Data'!$CD155,0)=-99,"N/A",OFFSET(AV$55,'Intermediate Data'!$CD155,0))))</f>
        <v/>
      </c>
      <c r="CG155" s="90" t="str">
        <f ca="1">IF($CD155="","",IF(OFFSET(AW$55,'Intermediate Data'!$CD155,0)=-98,"",IF(OFFSET(AW$55,'Intermediate Data'!$CD155,0)=-99,"N/A",OFFSET(AW$55,'Intermediate Data'!$CD155,0))))</f>
        <v/>
      </c>
      <c r="CH155" s="90" t="str">
        <f ca="1">IF($CD155="","",IF(OFFSET(AX$55,'Intermediate Data'!$CD155,0)=-98,"Unknown",IF(OFFSET(AX$55,'Intermediate Data'!$CD155,0)=-99,"N/A",OFFSET(AX$55,'Intermediate Data'!$CD155,0))))</f>
        <v/>
      </c>
      <c r="CI155" s="125" t="str">
        <f ca="1">IF($CD155="","",IF(OFFSET(AY$55,'Intermediate Data'!$CD155,0)=-98,"Unknown",IF(OFFSET(AY$55,'Intermediate Data'!$CD155,0)=-99,"No spec",OFFSET(AY$55,'Intermediate Data'!$CD155,0))))</f>
        <v/>
      </c>
      <c r="CJ155" s="125" t="str">
        <f ca="1">IF($CD155="","",IF(OFFSET(AZ$55,'Intermediate Data'!$CD155,0)=-98,"Unknown",IF(OFFSET(AZ$55,'Intermediate Data'!$CD155,0)=-99,"N/A",OFFSET(AZ$55,'Intermediate Data'!$CD155,0))))</f>
        <v/>
      </c>
      <c r="CK155" s="90" t="str">
        <f ca="1">IF($CD155="","",IF(OFFSET(BA$55,'Intermediate Data'!$CD155,0)=-98,"Unknown",IF(OFFSET(BA$55,'Intermediate Data'!$CD155,0)=-99,"N/A",OFFSET(BA$55,'Intermediate Data'!$CD155,0))))</f>
        <v/>
      </c>
      <c r="CL155" s="90" t="str">
        <f ca="1">IF($CD155="","",IF(OFFSET(BB$55,'Intermediate Data'!$CD155,$AX$50)=-98,"Unknown",IF(OFFSET(BB$55,'Intermediate Data'!$CD155,$AX$50)="N/A","",OFFSET(BB$55,'Intermediate Data'!$CD155,$AX$50))))</f>
        <v/>
      </c>
      <c r="CM155" s="90" t="str">
        <f ca="1">IF($CD155="","",IF(OFFSET(BG$55,'Intermediate Data'!$CD155,0)="ET","ET",""))</f>
        <v/>
      </c>
      <c r="CN155" s="90" t="str">
        <f ca="1">IF($CD155="","",IF(OFFSET(BH$55,'Intermediate Data'!$CD155,$AX$50)=-98,"Unknown",IF(OFFSET(BH$55,'Intermediate Data'!$CD155,$AX$50)="N/A","",OFFSET(BH$55,'Intermediate Data'!$CD155,$AX$50))))</f>
        <v/>
      </c>
      <c r="CO155" s="90" t="str">
        <f ca="1">IF($CD155="","",IF(OFFSET(BM$55,'Intermediate Data'!$CD155,0)=-98,"Not published",IF(OFFSET(BM$55,'Intermediate Data'!$CD155,0)=-99,"No spec",OFFSET(BM$55,'Intermediate Data'!$CD155,0))))</f>
        <v/>
      </c>
      <c r="CP155" s="114" t="str">
        <f ca="1">IF($CD155="","",IF(OFFSET(BN$55,'Intermediate Data'!$CD155,0)=-98,"Unknown",IF(OFFSET(BN$55,'Intermediate Data'!$CD155,0)=-99,"N/A",OFFSET(BN$55,'Intermediate Data'!$CD155,0))))</f>
        <v/>
      </c>
      <c r="CQ155" s="114" t="str">
        <f ca="1">IF($CD155="","",IF(OFFSET(BO$55,'Intermediate Data'!$CD155,0)=-98,"Unknown",IF(OFFSET(BO$55,'Intermediate Data'!$CD155,0)=-99,"N/A",OFFSET(BO$55,'Intermediate Data'!$CD155,0))))</f>
        <v/>
      </c>
      <c r="CR155" s="114" t="str">
        <f ca="1">IF($CD155="","",IF(OFFSET(BP$55,'Intermediate Data'!$CD155,0)=-98,"Unknown",IF(OFFSET(BP$55,'Intermediate Data'!$CD155,0)=-99,"N/A",OFFSET(BP$55,'Intermediate Data'!$CD155,0))))</f>
        <v/>
      </c>
      <c r="CS155" s="114" t="str">
        <f ca="1">IF($CD155="","",IF(OFFSET(BQ$55,'Intermediate Data'!$CD155,0)=-98,"Unknown",IF(OFFSET(BQ$55,'Intermediate Data'!$CD155,0)=-99,"N/A",OFFSET(BQ$55,'Intermediate Data'!$CD155,0))))</f>
        <v/>
      </c>
      <c r="CT155" s="114" t="str">
        <f ca="1">IF($CD155="","",IF(OFFSET(BR$55,'Intermediate Data'!$CD155,0)=-98,"Unknown",IF(OFFSET(BR$55,'Intermediate Data'!$CD155,0)=-99,"N/A",OFFSET(BR$55,'Intermediate Data'!$CD155,0))))</f>
        <v/>
      </c>
      <c r="CU155" s="114" t="str">
        <f ca="1">IF($CD155="","",IF(OFFSET(BS$55,'Intermediate Data'!$CD155,0)=-98,"Unknown",IF(OFFSET(BS$55,'Intermediate Data'!$CD155,0)=-99,"N/A",OFFSET(BS$55,'Intermediate Data'!$CD155,0))))</f>
        <v/>
      </c>
      <c r="CV155" s="114" t="str">
        <f ca="1">IF($CD155="","",IF(OFFSET(BT$55,'Intermediate Data'!$CD155,0)=-98,"Unknown",IF(OFFSET(BT$55,'Intermediate Data'!$CD155,0)=-99,"N/A",OFFSET(BT$55,'Intermediate Data'!$CD155,0))))</f>
        <v/>
      </c>
      <c r="CW155" s="114" t="str">
        <f ca="1">IF($CD155="","",IF(OFFSET(BU$55,'Intermediate Data'!$CD155,0)=-98,"Unknown",IF(OFFSET(BU$55,'Intermediate Data'!$CD155,0)=-99,"N/A",OFFSET(BU$55,'Intermediate Data'!$CD155,0))))</f>
        <v/>
      </c>
      <c r="CX155" s="114" t="str">
        <f ca="1">IF($CD155="","",IF(OFFSET(BV$55,'Intermediate Data'!$CD155,0)=-98,"Unknown",IF(OFFSET(BV$55,'Intermediate Data'!$CD155,0)=-99,"N/A",OFFSET(BV$55,'Intermediate Data'!$CD155,0))))</f>
        <v/>
      </c>
      <c r="CY155" s="682" t="str">
        <f ca="1">IF($CD155="","",IF(OFFSET(BW$55,'Intermediate Data'!$CD155,0)=-98,"Unknown",IF(OFFSET(BW$55,'Intermediate Data'!$CD155,0)="N/A","",OFFSET(BW$55,'Intermediate Data'!$CD155,0))))</f>
        <v/>
      </c>
      <c r="CZ155" s="682" t="str">
        <f ca="1">IF($CD155="","",IF(OFFSET(BX$55,'Intermediate Data'!$CD155,0)=-98,"Unknown",IF(OFFSET(BX$55,'Intermediate Data'!$CD155,0)="N/A","",OFFSET(BX$55,'Intermediate Data'!$CD155,0))))</f>
        <v/>
      </c>
      <c r="DA155" s="682" t="str">
        <f ca="1">IF($CD155="","",IF(OFFSET(BY$55,'Intermediate Data'!$CD155,0)=-98,"Unknown",IF(OFFSET(BY$55,'Intermediate Data'!$CD155,0)="N/A","",OFFSET(BY$55,'Intermediate Data'!$CD155,0))))</f>
        <v/>
      </c>
      <c r="DB155" s="682" t="str">
        <f ca="1">IF($CD155="","",IF(OFFSET(BZ$55,'Intermediate Data'!$CD155,0)=-98,"Unknown",IF(OFFSET(BZ$55,'Intermediate Data'!$CD155,0)="N/A","",OFFSET(BZ$55,'Intermediate Data'!$CD155,0))))</f>
        <v/>
      </c>
    </row>
    <row r="156" spans="1:106" x14ac:dyDescent="0.2">
      <c r="A156" s="90">
        <f ca="1">IF(OFFSET(DATA!F105,0,$D$48)='Intermediate Data'!$E$48,IF(OR($E$49=$C$27,$E$48=$B$4),DATA!A105,IF($G$49=DATA!D105,DATA!A105,"")),"")</f>
        <v>101</v>
      </c>
      <c r="B156" s="90">
        <f ca="1">IF($A156="","",DATA!EH105)</f>
        <v>125</v>
      </c>
      <c r="C156" s="90" t="str">
        <f ca="1">IF($A156="","",DATA!B105)</f>
        <v>Cell phone charger</v>
      </c>
      <c r="D156" s="90">
        <f ca="1">IF($A156="","",OFFSET(DATA!$H105,0,($D$50*5)))</f>
        <v>-99</v>
      </c>
      <c r="E156" s="90">
        <f ca="1">IF($A156="","",OFFSET(DATA!$H105,0,($D$50*5)+1))</f>
        <v>-99</v>
      </c>
      <c r="F156" s="90">
        <f ca="1">IF($A156="","",OFFSET(DATA!$H105,0,($D$50*5)+2))</f>
        <v>-99</v>
      </c>
      <c r="G156" s="90">
        <f ca="1">IF($A156="","",OFFSET(DATA!$H105,0,($D$50*5)+3))</f>
        <v>-99</v>
      </c>
      <c r="H156" s="90">
        <f ca="1">IF($A156="","",OFFSET(DATA!$H105,0,($D$50*5)+4))</f>
        <v>-99</v>
      </c>
      <c r="I156" s="90">
        <f t="shared" ca="1" si="17"/>
        <v>-99</v>
      </c>
      <c r="J156" s="90" t="str">
        <f t="shared" ca="1" si="18"/>
        <v/>
      </c>
      <c r="K156" s="90">
        <f ca="1">IF($A156="","",OFFSET(DATA!$AG105,0,($D$50*5)))</f>
        <v>-99</v>
      </c>
      <c r="L156" s="90">
        <f ca="1">IF($A156="","",OFFSET(DATA!$AG105,0,($D$50*5)+1))</f>
        <v>-99</v>
      </c>
      <c r="M156" s="90">
        <f ca="1">IF($A156="","",OFFSET(DATA!$AG105,0,($D$50*5)+2))</f>
        <v>-99</v>
      </c>
      <c r="N156" s="90">
        <f ca="1">IF($A156="","",OFFSET(DATA!$AG105,0,($D$50*5)+3))</f>
        <v>-99</v>
      </c>
      <c r="O156" s="90">
        <f ca="1">IF($A156="","",OFFSET(DATA!$AG105,0,($D$50*5)+4))</f>
        <v>-99</v>
      </c>
      <c r="P156" s="90">
        <f t="shared" ca="1" si="19"/>
        <v>-99</v>
      </c>
      <c r="Q156" s="90" t="str">
        <f t="shared" ca="1" si="20"/>
        <v/>
      </c>
      <c r="R156" s="699">
        <f ca="1">IF($A156="","",IF(DATA!BF105="",-99,DATA!BF105))</f>
        <v>-99</v>
      </c>
      <c r="S156" s="90">
        <f ca="1">IF($A156="","",IF(DATA!BG105="",-99,DATA!BF105-DATA!BG105))</f>
        <v>-99</v>
      </c>
      <c r="T156" s="90">
        <f ca="1">IF($A156="","",DATA!BH105)</f>
        <v>-99</v>
      </c>
      <c r="U156" s="90">
        <f ca="1">IF($A156="","",OFFSET(DATA!BM105,0,$D$48))</f>
        <v>-99</v>
      </c>
      <c r="V156" s="90">
        <f t="shared" ca="1" si="29"/>
        <v>125</v>
      </c>
      <c r="W156" s="99">
        <f t="shared" ca="1" si="21"/>
        <v>124.99988120156</v>
      </c>
      <c r="X156" s="112">
        <f t="shared" ca="1" si="22"/>
        <v>27.999881200979999</v>
      </c>
      <c r="Y156" s="90">
        <f t="shared" ca="1" si="23"/>
        <v>43</v>
      </c>
      <c r="AA156" s="90" t="str">
        <f ca="1">IF($Y156="","",IF(OFFSET(C$55,'Intermediate Data'!$Y156,0)=-98,"Unknown",IF(OFFSET(C$55,'Intermediate Data'!$Y156,0)=-99,"N/A",OFFSET(C$55,'Intermediate Data'!$Y156,0))))</f>
        <v>Speciality cooking</v>
      </c>
      <c r="AB156" s="90" t="str">
        <f ca="1">IF($Y156="","",IF(OFFSET(D$55,'Intermediate Data'!$Y156,0)=-98,"N/A",IF(OFFSET(D$55,'Intermediate Data'!$Y156,0)=-99,"N/A",OFFSET(D$55,'Intermediate Data'!$Y156,0))))</f>
        <v>N/A</v>
      </c>
      <c r="AC156" s="90" t="str">
        <f ca="1">IF($Y156="","",IF(OFFSET(E$55,'Intermediate Data'!$Y156,0)=-98,"N/A",IF(OFFSET(E$55,'Intermediate Data'!$Y156,0)=-99,"N/A",OFFSET(E$55,'Intermediate Data'!$Y156,0))))</f>
        <v>N/A</v>
      </c>
      <c r="AD156" s="90" t="str">
        <f ca="1">IF($Y156="","",IF(OFFSET(F$55,'Intermediate Data'!$Y156,0)=-98,"N/A",IF(OFFSET(F$55,'Intermediate Data'!$Y156,0)=-99,"N/A",OFFSET(F$55,'Intermediate Data'!$Y156,0))))</f>
        <v>N/A</v>
      </c>
      <c r="AE156" s="90" t="str">
        <f ca="1">IF($Y156="","",IF(OFFSET(G$55,'Intermediate Data'!$Y156,0)=-98,"N/A",IF(OFFSET(G$55,'Intermediate Data'!$Y156,0)=-99,"N/A",OFFSET(G$55,'Intermediate Data'!$Y156,0))))</f>
        <v>N/A</v>
      </c>
      <c r="AF156" s="90" t="str">
        <f ca="1">IF($Y156="","",IF(OFFSET(H$55,'Intermediate Data'!$Y156,0)=-98,"N/A",IF(OFFSET(H$55,'Intermediate Data'!$Y156,0)=-99,"N/A",OFFSET(H$55,'Intermediate Data'!$Y156,0))))</f>
        <v>N/A</v>
      </c>
      <c r="AG156" s="90" t="str">
        <f ca="1">IF($Y156="","",IF(OFFSET(I$55,'Intermediate Data'!$Y156,0)=-98,"N/A",IF(OFFSET(I$55,'Intermediate Data'!$Y156,0)=-99,"N/A",OFFSET(I$55,'Intermediate Data'!$Y156,0))))</f>
        <v>N/A</v>
      </c>
      <c r="AH156" s="90" t="str">
        <f ca="1">IF($Y156="","",IF(OFFSET(J$55,'Intermediate Data'!$Y156,0)=-98,"N/A",IF(OFFSET(J$55,'Intermediate Data'!$Y156,0)=-99,"N/A",OFFSET(J$55,'Intermediate Data'!$Y156,0))))</f>
        <v/>
      </c>
      <c r="AI156" s="90" t="str">
        <f ca="1">IF($Y156="","",IF(OFFSET(K$55,'Intermediate Data'!$Y156,0)=-98,"N/A",IF(OFFSET(K$55,'Intermediate Data'!$Y156,0)=-99,"N/A",OFFSET(K$55,'Intermediate Data'!$Y156,0))))</f>
        <v>N/A</v>
      </c>
      <c r="AJ156" s="90" t="str">
        <f ca="1">IF($Y156="","",IF(OFFSET(L$55,'Intermediate Data'!$Y156,0)=-98,"N/A",IF(OFFSET(L$55,'Intermediate Data'!$Y156,0)=-99,"N/A",OFFSET(L$55,'Intermediate Data'!$Y156,0))))</f>
        <v>N/A</v>
      </c>
      <c r="AK156" s="90" t="str">
        <f ca="1">IF($Y156="","",IF(OFFSET(M$55,'Intermediate Data'!$Y156,0)=-98,"N/A",IF(OFFSET(M$55,'Intermediate Data'!$Y156,0)=-99,"N/A",OFFSET(M$55,'Intermediate Data'!$Y156,0))))</f>
        <v>N/A</v>
      </c>
      <c r="AL156" s="90" t="str">
        <f ca="1">IF($Y156="","",IF(OFFSET(N$55,'Intermediate Data'!$Y156,0)=-98,"N/A",IF(OFFSET(N$55,'Intermediate Data'!$Y156,0)=-99,"N/A",OFFSET(N$55,'Intermediate Data'!$Y156,0))))</f>
        <v>N/A</v>
      </c>
      <c r="AM156" s="90" t="str">
        <f ca="1">IF($Y156="","",IF(OFFSET(O$55,'Intermediate Data'!$Y156,0)=-98,"N/A",IF(OFFSET(O$55,'Intermediate Data'!$Y156,0)=-99,"N/A",OFFSET(O$55,'Intermediate Data'!$Y156,0))))</f>
        <v>N/A</v>
      </c>
      <c r="AN156" s="90" t="str">
        <f ca="1">IF($Y156="","",IF(OFFSET(P$55,'Intermediate Data'!$Y156,0)=-98,"N/A",IF(OFFSET(P$55,'Intermediate Data'!$Y156,0)=-99,"N/A",OFFSET(P$55,'Intermediate Data'!$Y156,0))))</f>
        <v>N/A</v>
      </c>
      <c r="AO156" s="90" t="str">
        <f ca="1">IF($Y156="","",IF(OFFSET(Q$55,'Intermediate Data'!$Y156,0)=-98,"N/A",IF(OFFSET(Q$55,'Intermediate Data'!$Y156,0)=-99,"N/A",OFFSET(Q$55,'Intermediate Data'!$Y156,0))))</f>
        <v/>
      </c>
      <c r="AP156" s="697" t="str">
        <f ca="1">IF($Y156="","",IF(OFFSET(S$55,'Intermediate Data'!$Y156,0)=-98,"",IF(OFFSET(S$55,'Intermediate Data'!$Y156,0)=-99,"",OFFSET(S$55,'Intermediate Data'!$Y156,0))))</f>
        <v/>
      </c>
      <c r="AQ156" s="90" t="str">
        <f ca="1">IF($Y156="","",IF(OFFSET(T$55,'Intermediate Data'!$Y156,0)=-98,"Not published",IF(OFFSET(T$55,'Intermediate Data'!$Y156,0)=-99,"",OFFSET(T$55,'Intermediate Data'!$Y156,0))))</f>
        <v/>
      </c>
      <c r="AR156" s="90" t="str">
        <f ca="1">IF($Y156="","",IF(OFFSET(U$55,'Intermediate Data'!$Y156,0)=-98,"Unknown",IF(OFFSET(U$55,'Intermediate Data'!$Y156,0)=-99,"",OFFSET(U$55,'Intermediate Data'!$Y156,0))))</f>
        <v/>
      </c>
      <c r="AU156" s="112" t="str">
        <f ca="1">IF(AND(OFFSET(DATA!$F105,0,$AX$48)='Intermediate Data'!$AY$48,DATA!$E105="Tier 1"),IF(OR($AX$49=0,$AX$48=1),DATA!A105,IF(AND($AX$49=1,INDEX('Intermediate Data'!$AY$25:$AY$44,MATCH(DATA!$B105,'Intermediate Data'!$AX$25:$AX$44,0))=TRUE),DATA!A105,"")),"")</f>
        <v/>
      </c>
      <c r="AV156" s="112" t="str">
        <f ca="1">IF($AU156="","",DATA!B105)</f>
        <v/>
      </c>
      <c r="AW156" s="112" t="str">
        <f ca="1">IF(OR($AU156="",DATA!BI105=""),"",DATA!BI105)</f>
        <v/>
      </c>
      <c r="AX156" s="112" t="str">
        <f ca="1">IF(OR($AU156="",OFFSET(DATA!BK105,0,$AX$48)=""),"",OFFSET(DATA!BK105,0,$AX$48))</f>
        <v/>
      </c>
      <c r="AY156" s="112" t="str">
        <f ca="1">IF(OR($AU156="",OFFSET(DATA!BM105,0,$AX$48)=""),"",OFFSET(DATA!BM105,0,$AX$48))</f>
        <v/>
      </c>
      <c r="AZ156" s="112" t="str">
        <f ca="1">IF(OR($AU156="",OFFSET(DATA!BO105,0,'Intermediate Data'!$AX$48)=""),"",OFFSET(DATA!BO105,0,$AX$48))</f>
        <v/>
      </c>
      <c r="BA156" s="112" t="str">
        <f ca="1">IF(OR($AU156="",DATA!BQ105=""),"",DATA!BQ105)</f>
        <v/>
      </c>
      <c r="BB156" s="112" t="str">
        <f ca="1">IF($AU156="","",OFFSET(DATA!BS105,0,$AX$48))</f>
        <v/>
      </c>
      <c r="BC156" s="112" t="str">
        <f ca="1">IF($AU156="","",OFFSET(DATA!BU105,0,$AX$48))</f>
        <v/>
      </c>
      <c r="BD156" s="112" t="str">
        <f ca="1">IF($AU156="","",OFFSET(DATA!BW105,0,$AX$48))</f>
        <v/>
      </c>
      <c r="BE156" s="112" t="str">
        <f ca="1">IF($AU156="","",OFFSET(DATA!BY105,0,$AX$48))</f>
        <v/>
      </c>
      <c r="BF156" s="112" t="str">
        <f ca="1">IF($AU156="","",OFFSET(DATA!CA105,0,$AX$48))</f>
        <v/>
      </c>
      <c r="BG156" s="112" t="str">
        <f ca="1">IF($AU156="","",DATA!CC105)</f>
        <v/>
      </c>
      <c r="BH156" s="112" t="str">
        <f ca="1">IF($AU156="","",OFFSET(DATA!CE105,0,$AX$48))</f>
        <v/>
      </c>
      <c r="BI156" s="112" t="str">
        <f ca="1">IF($AU156="","",OFFSET(DATA!CG105,0,$AX$48))</f>
        <v/>
      </c>
      <c r="BJ156" s="112" t="str">
        <f ca="1">IF($AU156="","",OFFSET(DATA!CI105,0,$AX$48))</f>
        <v/>
      </c>
      <c r="BK156" s="112" t="str">
        <f ca="1">IF($AU156="","",OFFSET(DATA!CK105,0,$AX$48))</f>
        <v/>
      </c>
      <c r="BL156" s="112" t="str">
        <f ca="1">IF($AU156="","",OFFSET(DATA!CM105,0,$AX$48))</f>
        <v/>
      </c>
      <c r="BM156" s="112" t="str">
        <f ca="1">IF($AU156="","",DATA!BH105)</f>
        <v/>
      </c>
      <c r="BN156" s="112" t="str">
        <f ca="1">IF($AU156="","",DATA!DS105)</f>
        <v/>
      </c>
      <c r="BO156" s="112" t="str">
        <f ca="1">IF($AU156="","",DATA!DU105)</f>
        <v/>
      </c>
      <c r="BP156" s="112" t="str">
        <f ca="1">IF($AU156="","",DATA!DV105)</f>
        <v/>
      </c>
      <c r="BQ156" s="112" t="str">
        <f ca="1">IF($AU156="","",DATA!DX105)</f>
        <v/>
      </c>
      <c r="BR156" s="112" t="str">
        <f ca="1">IF($AU156="","",DATA!DZ105)</f>
        <v/>
      </c>
      <c r="BS156" s="171" t="str">
        <f ca="1">IF($AU156="","",DATA!EA105)</f>
        <v/>
      </c>
      <c r="BT156" s="171" t="str">
        <f ca="1">IF($AU156="","",DATA!EC105)</f>
        <v/>
      </c>
      <c r="BU156" s="171" t="str">
        <f ca="1">IF($AU156="","",DATA!EF105)</f>
        <v/>
      </c>
      <c r="BV156" s="113" t="str">
        <f t="shared" ca="1" si="24"/>
        <v/>
      </c>
      <c r="BW156" s="680" t="str">
        <f ca="1">IF(AU156="","",OFFSET(DATA!DC105,0,'Intermediate Data'!$AX$48))</f>
        <v/>
      </c>
      <c r="BX156" s="681" t="str">
        <f ca="1">IF($AU156="","",DATA!DG105)</f>
        <v/>
      </c>
      <c r="BY156" s="680" t="str">
        <f ca="1">IF($AU156="","",OFFSET(DATA!DE105,0,'Intermediate Data'!$AX$48))</f>
        <v/>
      </c>
      <c r="BZ156" s="681" t="str">
        <f ca="1">IF($AU156="","",DATA!DH105)</f>
        <v/>
      </c>
      <c r="CA156" s="90" t="str">
        <f t="shared" ca="1" si="25"/>
        <v/>
      </c>
      <c r="CB156" s="99" t="str">
        <f t="shared" ca="1" si="26"/>
        <v/>
      </c>
      <c r="CC156" s="90" t="str">
        <f t="shared" ca="1" si="27"/>
        <v/>
      </c>
      <c r="CD156" s="90" t="str">
        <f t="shared" ca="1" si="28"/>
        <v/>
      </c>
      <c r="CF156" s="90" t="str">
        <f ca="1">IF($CD156="","",IF(OFFSET(AV$55,'Intermediate Data'!$CD156,0)=-98,"Unknown",IF(OFFSET(AV$55,'Intermediate Data'!$CD156,0)=-99,"N/A",OFFSET(AV$55,'Intermediate Data'!$CD156,0))))</f>
        <v/>
      </c>
      <c r="CG156" s="90" t="str">
        <f ca="1">IF($CD156="","",IF(OFFSET(AW$55,'Intermediate Data'!$CD156,0)=-98,"",IF(OFFSET(AW$55,'Intermediate Data'!$CD156,0)=-99,"N/A",OFFSET(AW$55,'Intermediate Data'!$CD156,0))))</f>
        <v/>
      </c>
      <c r="CH156" s="90" t="str">
        <f ca="1">IF($CD156="","",IF(OFFSET(AX$55,'Intermediate Data'!$CD156,0)=-98,"Unknown",IF(OFFSET(AX$55,'Intermediate Data'!$CD156,0)=-99,"N/A",OFFSET(AX$55,'Intermediate Data'!$CD156,0))))</f>
        <v/>
      </c>
      <c r="CI156" s="125" t="str">
        <f ca="1">IF($CD156="","",IF(OFFSET(AY$55,'Intermediate Data'!$CD156,0)=-98,"Unknown",IF(OFFSET(AY$55,'Intermediate Data'!$CD156,0)=-99,"No spec",OFFSET(AY$55,'Intermediate Data'!$CD156,0))))</f>
        <v/>
      </c>
      <c r="CJ156" s="125" t="str">
        <f ca="1">IF($CD156="","",IF(OFFSET(AZ$55,'Intermediate Data'!$CD156,0)=-98,"Unknown",IF(OFFSET(AZ$55,'Intermediate Data'!$CD156,0)=-99,"N/A",OFFSET(AZ$55,'Intermediate Data'!$CD156,0))))</f>
        <v/>
      </c>
      <c r="CK156" s="90" t="str">
        <f ca="1">IF($CD156="","",IF(OFFSET(BA$55,'Intermediate Data'!$CD156,0)=-98,"Unknown",IF(OFFSET(BA$55,'Intermediate Data'!$CD156,0)=-99,"N/A",OFFSET(BA$55,'Intermediate Data'!$CD156,0))))</f>
        <v/>
      </c>
      <c r="CL156" s="90" t="str">
        <f ca="1">IF($CD156="","",IF(OFFSET(BB$55,'Intermediate Data'!$CD156,$AX$50)=-98,"Unknown",IF(OFFSET(BB$55,'Intermediate Data'!$CD156,$AX$50)="N/A","",OFFSET(BB$55,'Intermediate Data'!$CD156,$AX$50))))</f>
        <v/>
      </c>
      <c r="CM156" s="90" t="str">
        <f ca="1">IF($CD156="","",IF(OFFSET(BG$55,'Intermediate Data'!$CD156,0)="ET","ET",""))</f>
        <v/>
      </c>
      <c r="CN156" s="90" t="str">
        <f ca="1">IF($CD156="","",IF(OFFSET(BH$55,'Intermediate Data'!$CD156,$AX$50)=-98,"Unknown",IF(OFFSET(BH$55,'Intermediate Data'!$CD156,$AX$50)="N/A","",OFFSET(BH$55,'Intermediate Data'!$CD156,$AX$50))))</f>
        <v/>
      </c>
      <c r="CO156" s="90" t="str">
        <f ca="1">IF($CD156="","",IF(OFFSET(BM$55,'Intermediate Data'!$CD156,0)=-98,"Not published",IF(OFFSET(BM$55,'Intermediate Data'!$CD156,0)=-99,"No spec",OFFSET(BM$55,'Intermediate Data'!$CD156,0))))</f>
        <v/>
      </c>
      <c r="CP156" s="114" t="str">
        <f ca="1">IF($CD156="","",IF(OFFSET(BN$55,'Intermediate Data'!$CD156,0)=-98,"Unknown",IF(OFFSET(BN$55,'Intermediate Data'!$CD156,0)=-99,"N/A",OFFSET(BN$55,'Intermediate Data'!$CD156,0))))</f>
        <v/>
      </c>
      <c r="CQ156" s="114" t="str">
        <f ca="1">IF($CD156="","",IF(OFFSET(BO$55,'Intermediate Data'!$CD156,0)=-98,"Unknown",IF(OFFSET(BO$55,'Intermediate Data'!$CD156,0)=-99,"N/A",OFFSET(BO$55,'Intermediate Data'!$CD156,0))))</f>
        <v/>
      </c>
      <c r="CR156" s="114" t="str">
        <f ca="1">IF($CD156="","",IF(OFFSET(BP$55,'Intermediate Data'!$CD156,0)=-98,"Unknown",IF(OFFSET(BP$55,'Intermediate Data'!$CD156,0)=-99,"N/A",OFFSET(BP$55,'Intermediate Data'!$CD156,0))))</f>
        <v/>
      </c>
      <c r="CS156" s="114" t="str">
        <f ca="1">IF($CD156="","",IF(OFFSET(BQ$55,'Intermediate Data'!$CD156,0)=-98,"Unknown",IF(OFFSET(BQ$55,'Intermediate Data'!$CD156,0)=-99,"N/A",OFFSET(BQ$55,'Intermediate Data'!$CD156,0))))</f>
        <v/>
      </c>
      <c r="CT156" s="114" t="str">
        <f ca="1">IF($CD156="","",IF(OFFSET(BR$55,'Intermediate Data'!$CD156,0)=-98,"Unknown",IF(OFFSET(BR$55,'Intermediate Data'!$CD156,0)=-99,"N/A",OFFSET(BR$55,'Intermediate Data'!$CD156,0))))</f>
        <v/>
      </c>
      <c r="CU156" s="114" t="str">
        <f ca="1">IF($CD156="","",IF(OFFSET(BS$55,'Intermediate Data'!$CD156,0)=-98,"Unknown",IF(OFFSET(BS$55,'Intermediate Data'!$CD156,0)=-99,"N/A",OFFSET(BS$55,'Intermediate Data'!$CD156,0))))</f>
        <v/>
      </c>
      <c r="CV156" s="114" t="str">
        <f ca="1">IF($CD156="","",IF(OFFSET(BT$55,'Intermediate Data'!$CD156,0)=-98,"Unknown",IF(OFFSET(BT$55,'Intermediate Data'!$CD156,0)=-99,"N/A",OFFSET(BT$55,'Intermediate Data'!$CD156,0))))</f>
        <v/>
      </c>
      <c r="CW156" s="114" t="str">
        <f ca="1">IF($CD156="","",IF(OFFSET(BU$55,'Intermediate Data'!$CD156,0)=-98,"Unknown",IF(OFFSET(BU$55,'Intermediate Data'!$CD156,0)=-99,"N/A",OFFSET(BU$55,'Intermediate Data'!$CD156,0))))</f>
        <v/>
      </c>
      <c r="CX156" s="114" t="str">
        <f ca="1">IF($CD156="","",IF(OFFSET(BV$55,'Intermediate Data'!$CD156,0)=-98,"Unknown",IF(OFFSET(BV$55,'Intermediate Data'!$CD156,0)=-99,"N/A",OFFSET(BV$55,'Intermediate Data'!$CD156,0))))</f>
        <v/>
      </c>
      <c r="CY156" s="682" t="str">
        <f ca="1">IF($CD156="","",IF(OFFSET(BW$55,'Intermediate Data'!$CD156,0)=-98,"Unknown",IF(OFFSET(BW$55,'Intermediate Data'!$CD156,0)="N/A","",OFFSET(BW$55,'Intermediate Data'!$CD156,0))))</f>
        <v/>
      </c>
      <c r="CZ156" s="682" t="str">
        <f ca="1">IF($CD156="","",IF(OFFSET(BX$55,'Intermediate Data'!$CD156,0)=-98,"Unknown",IF(OFFSET(BX$55,'Intermediate Data'!$CD156,0)="N/A","",OFFSET(BX$55,'Intermediate Data'!$CD156,0))))</f>
        <v/>
      </c>
      <c r="DA156" s="682" t="str">
        <f ca="1">IF($CD156="","",IF(OFFSET(BY$55,'Intermediate Data'!$CD156,0)=-98,"Unknown",IF(OFFSET(BY$55,'Intermediate Data'!$CD156,0)="N/A","",OFFSET(BY$55,'Intermediate Data'!$CD156,0))))</f>
        <v/>
      </c>
      <c r="DB156" s="682" t="str">
        <f ca="1">IF($CD156="","",IF(OFFSET(BZ$55,'Intermediate Data'!$CD156,0)=-98,"Unknown",IF(OFFSET(BZ$55,'Intermediate Data'!$CD156,0)="N/A","",OFFSET(BZ$55,'Intermediate Data'!$CD156,0))))</f>
        <v/>
      </c>
    </row>
    <row r="157" spans="1:106" x14ac:dyDescent="0.2">
      <c r="A157" s="90">
        <f ca="1">IF(OFFSET(DATA!F106,0,$D$48)='Intermediate Data'!$E$48,IF(OR($E$49=$C$27,$E$48=$B$4),DATA!A106,IF($G$49=DATA!D106,DATA!A106,"")),"")</f>
        <v>102</v>
      </c>
      <c r="B157" s="90">
        <f ca="1">IF($A157="","",DATA!EH106)</f>
        <v>120</v>
      </c>
      <c r="C157" s="90" t="str">
        <f ca="1">IF($A157="","",DATA!B106)</f>
        <v>Clock</v>
      </c>
      <c r="D157" s="90">
        <f ca="1">IF($A157="","",OFFSET(DATA!$H106,0,($D$50*5)))</f>
        <v>-99</v>
      </c>
      <c r="E157" s="90">
        <f ca="1">IF($A157="","",OFFSET(DATA!$H106,0,($D$50*5)+1))</f>
        <v>-99</v>
      </c>
      <c r="F157" s="90">
        <f ca="1">IF($A157="","",OFFSET(DATA!$H106,0,($D$50*5)+2))</f>
        <v>-99</v>
      </c>
      <c r="G157" s="90">
        <f ca="1">IF($A157="","",OFFSET(DATA!$H106,0,($D$50*5)+3))</f>
        <v>-99</v>
      </c>
      <c r="H157" s="90">
        <f ca="1">IF($A157="","",OFFSET(DATA!$H106,0,($D$50*5)+4))</f>
        <v>-99</v>
      </c>
      <c r="I157" s="90">
        <f t="shared" ca="1" si="17"/>
        <v>-99</v>
      </c>
      <c r="J157" s="90" t="str">
        <f t="shared" ca="1" si="18"/>
        <v/>
      </c>
      <c r="K157" s="90">
        <f ca="1">IF($A157="","",OFFSET(DATA!$AG106,0,($D$50*5)))</f>
        <v>-99</v>
      </c>
      <c r="L157" s="90">
        <f ca="1">IF($A157="","",OFFSET(DATA!$AG106,0,($D$50*5)+1))</f>
        <v>-99</v>
      </c>
      <c r="M157" s="90">
        <f ca="1">IF($A157="","",OFFSET(DATA!$AG106,0,($D$50*5)+2))</f>
        <v>-99</v>
      </c>
      <c r="N157" s="90">
        <f ca="1">IF($A157="","",OFFSET(DATA!$AG106,0,($D$50*5)+3))</f>
        <v>-99</v>
      </c>
      <c r="O157" s="90">
        <f ca="1">IF($A157="","",OFFSET(DATA!$AG106,0,($D$50*5)+4))</f>
        <v>-99</v>
      </c>
      <c r="P157" s="90">
        <f t="shared" ca="1" si="19"/>
        <v>-99</v>
      </c>
      <c r="Q157" s="90" t="str">
        <f t="shared" ca="1" si="20"/>
        <v/>
      </c>
      <c r="R157" s="699">
        <f ca="1">IF($A157="","",IF(DATA!BF106="",-99,DATA!BF106))</f>
        <v>-99</v>
      </c>
      <c r="S157" s="90">
        <f ca="1">IF($A157="","",IF(DATA!BG106="",-99,DATA!BF106-DATA!BG106))</f>
        <v>-99</v>
      </c>
      <c r="T157" s="90">
        <f ca="1">IF($A157="","",DATA!BH106)</f>
        <v>-99</v>
      </c>
      <c r="U157" s="90">
        <f ca="1">IF($A157="","",OFFSET(DATA!BM106,0,$D$48))</f>
        <v>-99</v>
      </c>
      <c r="V157" s="90">
        <f t="shared" ca="1" si="29"/>
        <v>120</v>
      </c>
      <c r="W157" s="99">
        <f t="shared" ca="1" si="21"/>
        <v>119.99988120157001</v>
      </c>
      <c r="X157" s="112">
        <f t="shared" ca="1" si="22"/>
        <v>26.99988120099</v>
      </c>
      <c r="Y157" s="90">
        <f t="shared" ca="1" si="23"/>
        <v>44</v>
      </c>
      <c r="AA157" s="90" t="str">
        <f ca="1">IF($Y157="","",IF(OFFSET(C$55,'Intermediate Data'!$Y157,0)=-98,"Unknown",IF(OFFSET(C$55,'Intermediate Data'!$Y157,0)=-99,"N/A",OFFSET(C$55,'Intermediate Data'!$Y157,0))))</f>
        <v>Stand alone electric mixer</v>
      </c>
      <c r="AB157" s="90" t="str">
        <f ca="1">IF($Y157="","",IF(OFFSET(D$55,'Intermediate Data'!$Y157,0)=-98,"N/A",IF(OFFSET(D$55,'Intermediate Data'!$Y157,0)=-99,"N/A",OFFSET(D$55,'Intermediate Data'!$Y157,0))))</f>
        <v>N/A</v>
      </c>
      <c r="AC157" s="90" t="str">
        <f ca="1">IF($Y157="","",IF(OFFSET(E$55,'Intermediate Data'!$Y157,0)=-98,"N/A",IF(OFFSET(E$55,'Intermediate Data'!$Y157,0)=-99,"N/A",OFFSET(E$55,'Intermediate Data'!$Y157,0))))</f>
        <v>N/A</v>
      </c>
      <c r="AD157" s="90" t="str">
        <f ca="1">IF($Y157="","",IF(OFFSET(F$55,'Intermediate Data'!$Y157,0)=-98,"N/A",IF(OFFSET(F$55,'Intermediate Data'!$Y157,0)=-99,"N/A",OFFSET(F$55,'Intermediate Data'!$Y157,0))))</f>
        <v>N/A</v>
      </c>
      <c r="AE157" s="90" t="str">
        <f ca="1">IF($Y157="","",IF(OFFSET(G$55,'Intermediate Data'!$Y157,0)=-98,"N/A",IF(OFFSET(G$55,'Intermediate Data'!$Y157,0)=-99,"N/A",OFFSET(G$55,'Intermediate Data'!$Y157,0))))</f>
        <v>N/A</v>
      </c>
      <c r="AF157" s="90" t="str">
        <f ca="1">IF($Y157="","",IF(OFFSET(H$55,'Intermediate Data'!$Y157,0)=-98,"N/A",IF(OFFSET(H$55,'Intermediate Data'!$Y157,0)=-99,"N/A",OFFSET(H$55,'Intermediate Data'!$Y157,0))))</f>
        <v>N/A</v>
      </c>
      <c r="AG157" s="90" t="str">
        <f ca="1">IF($Y157="","",IF(OFFSET(I$55,'Intermediate Data'!$Y157,0)=-98,"N/A",IF(OFFSET(I$55,'Intermediate Data'!$Y157,0)=-99,"N/A",OFFSET(I$55,'Intermediate Data'!$Y157,0))))</f>
        <v>N/A</v>
      </c>
      <c r="AH157" s="90" t="str">
        <f ca="1">IF($Y157="","",IF(OFFSET(J$55,'Intermediate Data'!$Y157,0)=-98,"N/A",IF(OFFSET(J$55,'Intermediate Data'!$Y157,0)=-99,"N/A",OFFSET(J$55,'Intermediate Data'!$Y157,0))))</f>
        <v/>
      </c>
      <c r="AI157" s="90" t="str">
        <f ca="1">IF($Y157="","",IF(OFFSET(K$55,'Intermediate Data'!$Y157,0)=-98,"N/A",IF(OFFSET(K$55,'Intermediate Data'!$Y157,0)=-99,"N/A",OFFSET(K$55,'Intermediate Data'!$Y157,0))))</f>
        <v>N/A</v>
      </c>
      <c r="AJ157" s="90" t="str">
        <f ca="1">IF($Y157="","",IF(OFFSET(L$55,'Intermediate Data'!$Y157,0)=-98,"N/A",IF(OFFSET(L$55,'Intermediate Data'!$Y157,0)=-99,"N/A",OFFSET(L$55,'Intermediate Data'!$Y157,0))))</f>
        <v>N/A</v>
      </c>
      <c r="AK157" s="90" t="str">
        <f ca="1">IF($Y157="","",IF(OFFSET(M$55,'Intermediate Data'!$Y157,0)=-98,"N/A",IF(OFFSET(M$55,'Intermediate Data'!$Y157,0)=-99,"N/A",OFFSET(M$55,'Intermediate Data'!$Y157,0))))</f>
        <v>N/A</v>
      </c>
      <c r="AL157" s="90" t="str">
        <f ca="1">IF($Y157="","",IF(OFFSET(N$55,'Intermediate Data'!$Y157,0)=-98,"N/A",IF(OFFSET(N$55,'Intermediate Data'!$Y157,0)=-99,"N/A",OFFSET(N$55,'Intermediate Data'!$Y157,0))))</f>
        <v>N/A</v>
      </c>
      <c r="AM157" s="90" t="str">
        <f ca="1">IF($Y157="","",IF(OFFSET(O$55,'Intermediate Data'!$Y157,0)=-98,"N/A",IF(OFFSET(O$55,'Intermediate Data'!$Y157,0)=-99,"N/A",OFFSET(O$55,'Intermediate Data'!$Y157,0))))</f>
        <v>N/A</v>
      </c>
      <c r="AN157" s="90" t="str">
        <f ca="1">IF($Y157="","",IF(OFFSET(P$55,'Intermediate Data'!$Y157,0)=-98,"N/A",IF(OFFSET(P$55,'Intermediate Data'!$Y157,0)=-99,"N/A",OFFSET(P$55,'Intermediate Data'!$Y157,0))))</f>
        <v>N/A</v>
      </c>
      <c r="AO157" s="90" t="str">
        <f ca="1">IF($Y157="","",IF(OFFSET(Q$55,'Intermediate Data'!$Y157,0)=-98,"N/A",IF(OFFSET(Q$55,'Intermediate Data'!$Y157,0)=-99,"N/A",OFFSET(Q$55,'Intermediate Data'!$Y157,0))))</f>
        <v/>
      </c>
      <c r="AP157" s="697" t="str">
        <f ca="1">IF($Y157="","",IF(OFFSET(S$55,'Intermediate Data'!$Y157,0)=-98,"",IF(OFFSET(S$55,'Intermediate Data'!$Y157,0)=-99,"",OFFSET(S$55,'Intermediate Data'!$Y157,0))))</f>
        <v/>
      </c>
      <c r="AQ157" s="90" t="str">
        <f ca="1">IF($Y157="","",IF(OFFSET(T$55,'Intermediate Data'!$Y157,0)=-98,"Not published",IF(OFFSET(T$55,'Intermediate Data'!$Y157,0)=-99,"",OFFSET(T$55,'Intermediate Data'!$Y157,0))))</f>
        <v/>
      </c>
      <c r="AR157" s="90" t="str">
        <f ca="1">IF($Y157="","",IF(OFFSET(U$55,'Intermediate Data'!$Y157,0)=-98,"Unknown",IF(OFFSET(U$55,'Intermediate Data'!$Y157,0)=-99,"",OFFSET(U$55,'Intermediate Data'!$Y157,0))))</f>
        <v/>
      </c>
      <c r="AU157" s="112" t="str">
        <f ca="1">IF(AND(OFFSET(DATA!$F106,0,$AX$48)='Intermediate Data'!$AY$48,DATA!$E106="Tier 1"),IF(OR($AX$49=0,$AX$48=1),DATA!A106,IF(AND($AX$49=1,INDEX('Intermediate Data'!$AY$25:$AY$44,MATCH(DATA!$B106,'Intermediate Data'!$AX$25:$AX$44,0))=TRUE),DATA!A106,"")),"")</f>
        <v/>
      </c>
      <c r="AV157" s="112" t="str">
        <f ca="1">IF($AU157="","",DATA!B106)</f>
        <v/>
      </c>
      <c r="AW157" s="112" t="str">
        <f ca="1">IF(OR($AU157="",DATA!BI106=""),"",DATA!BI106)</f>
        <v/>
      </c>
      <c r="AX157" s="112" t="str">
        <f ca="1">IF(OR($AU157="",OFFSET(DATA!BK106,0,$AX$48)=""),"",OFFSET(DATA!BK106,0,$AX$48))</f>
        <v/>
      </c>
      <c r="AY157" s="112" t="str">
        <f ca="1">IF(OR($AU157="",OFFSET(DATA!BM106,0,$AX$48)=""),"",OFFSET(DATA!BM106,0,$AX$48))</f>
        <v/>
      </c>
      <c r="AZ157" s="112" t="str">
        <f ca="1">IF(OR($AU157="",OFFSET(DATA!BO106,0,'Intermediate Data'!$AX$48)=""),"",OFFSET(DATA!BO106,0,$AX$48))</f>
        <v/>
      </c>
      <c r="BA157" s="112" t="str">
        <f ca="1">IF(OR($AU157="",DATA!BQ106=""),"",DATA!BQ106)</f>
        <v/>
      </c>
      <c r="BB157" s="112" t="str">
        <f ca="1">IF($AU157="","",OFFSET(DATA!BS106,0,$AX$48))</f>
        <v/>
      </c>
      <c r="BC157" s="112" t="str">
        <f ca="1">IF($AU157="","",OFFSET(DATA!BU106,0,$AX$48))</f>
        <v/>
      </c>
      <c r="BD157" s="112" t="str">
        <f ca="1">IF($AU157="","",OFFSET(DATA!BW106,0,$AX$48))</f>
        <v/>
      </c>
      <c r="BE157" s="112" t="str">
        <f ca="1">IF($AU157="","",OFFSET(DATA!BY106,0,$AX$48))</f>
        <v/>
      </c>
      <c r="BF157" s="112" t="str">
        <f ca="1">IF($AU157="","",OFFSET(DATA!CA106,0,$AX$48))</f>
        <v/>
      </c>
      <c r="BG157" s="112" t="str">
        <f ca="1">IF($AU157="","",DATA!CC106)</f>
        <v/>
      </c>
      <c r="BH157" s="112" t="str">
        <f ca="1">IF($AU157="","",OFFSET(DATA!CE106,0,$AX$48))</f>
        <v/>
      </c>
      <c r="BI157" s="112" t="str">
        <f ca="1">IF($AU157="","",OFFSET(DATA!CG106,0,$AX$48))</f>
        <v/>
      </c>
      <c r="BJ157" s="112" t="str">
        <f ca="1">IF($AU157="","",OFFSET(DATA!CI106,0,$AX$48))</f>
        <v/>
      </c>
      <c r="BK157" s="112" t="str">
        <f ca="1">IF($AU157="","",OFFSET(DATA!CK106,0,$AX$48))</f>
        <v/>
      </c>
      <c r="BL157" s="112" t="str">
        <f ca="1">IF($AU157="","",OFFSET(DATA!CM106,0,$AX$48))</f>
        <v/>
      </c>
      <c r="BM157" s="112" t="str">
        <f ca="1">IF($AU157="","",DATA!BH106)</f>
        <v/>
      </c>
      <c r="BN157" s="112" t="str">
        <f ca="1">IF($AU157="","",DATA!DS106)</f>
        <v/>
      </c>
      <c r="BO157" s="112" t="str">
        <f ca="1">IF($AU157="","",DATA!DU106)</f>
        <v/>
      </c>
      <c r="BP157" s="112" t="str">
        <f ca="1">IF($AU157="","",DATA!DV106)</f>
        <v/>
      </c>
      <c r="BQ157" s="112" t="str">
        <f ca="1">IF($AU157="","",DATA!DX106)</f>
        <v/>
      </c>
      <c r="BR157" s="112" t="str">
        <f ca="1">IF($AU157="","",DATA!DZ106)</f>
        <v/>
      </c>
      <c r="BS157" s="171" t="str">
        <f ca="1">IF($AU157="","",DATA!EA106)</f>
        <v/>
      </c>
      <c r="BT157" s="171" t="str">
        <f ca="1">IF($AU157="","",DATA!EC106)</f>
        <v/>
      </c>
      <c r="BU157" s="171" t="str">
        <f ca="1">IF($AU157="","",DATA!EF106)</f>
        <v/>
      </c>
      <c r="BV157" s="113" t="str">
        <f t="shared" ca="1" si="24"/>
        <v/>
      </c>
      <c r="BW157" s="680" t="str">
        <f ca="1">IF(AU157="","",OFFSET(DATA!DC106,0,'Intermediate Data'!$AX$48))</f>
        <v/>
      </c>
      <c r="BX157" s="681" t="str">
        <f ca="1">IF($AU157="","",DATA!DG106)</f>
        <v/>
      </c>
      <c r="BY157" s="680" t="str">
        <f ca="1">IF($AU157="","",OFFSET(DATA!DE106,0,'Intermediate Data'!$AX$48))</f>
        <v/>
      </c>
      <c r="BZ157" s="681" t="str">
        <f ca="1">IF($AU157="","",DATA!DH106)</f>
        <v/>
      </c>
      <c r="CA157" s="90" t="str">
        <f t="shared" ca="1" si="25"/>
        <v/>
      </c>
      <c r="CB157" s="99" t="str">
        <f t="shared" ca="1" si="26"/>
        <v/>
      </c>
      <c r="CC157" s="90" t="str">
        <f t="shared" ca="1" si="27"/>
        <v/>
      </c>
      <c r="CD157" s="90" t="str">
        <f t="shared" ca="1" si="28"/>
        <v/>
      </c>
      <c r="CF157" s="90" t="str">
        <f ca="1">IF($CD157="","",IF(OFFSET(AV$55,'Intermediate Data'!$CD157,0)=-98,"Unknown",IF(OFFSET(AV$55,'Intermediate Data'!$CD157,0)=-99,"N/A",OFFSET(AV$55,'Intermediate Data'!$CD157,0))))</f>
        <v/>
      </c>
      <c r="CG157" s="90" t="str">
        <f ca="1">IF($CD157="","",IF(OFFSET(AW$55,'Intermediate Data'!$CD157,0)=-98,"",IF(OFFSET(AW$55,'Intermediate Data'!$CD157,0)=-99,"N/A",OFFSET(AW$55,'Intermediate Data'!$CD157,0))))</f>
        <v/>
      </c>
      <c r="CH157" s="90" t="str">
        <f ca="1">IF($CD157="","",IF(OFFSET(AX$55,'Intermediate Data'!$CD157,0)=-98,"Unknown",IF(OFFSET(AX$55,'Intermediate Data'!$CD157,0)=-99,"N/A",OFFSET(AX$55,'Intermediate Data'!$CD157,0))))</f>
        <v/>
      </c>
      <c r="CI157" s="125" t="str">
        <f ca="1">IF($CD157="","",IF(OFFSET(AY$55,'Intermediate Data'!$CD157,0)=-98,"Unknown",IF(OFFSET(AY$55,'Intermediate Data'!$CD157,0)=-99,"No spec",OFFSET(AY$55,'Intermediate Data'!$CD157,0))))</f>
        <v/>
      </c>
      <c r="CJ157" s="125" t="str">
        <f ca="1">IF($CD157="","",IF(OFFSET(AZ$55,'Intermediate Data'!$CD157,0)=-98,"Unknown",IF(OFFSET(AZ$55,'Intermediate Data'!$CD157,0)=-99,"N/A",OFFSET(AZ$55,'Intermediate Data'!$CD157,0))))</f>
        <v/>
      </c>
      <c r="CK157" s="90" t="str">
        <f ca="1">IF($CD157="","",IF(OFFSET(BA$55,'Intermediate Data'!$CD157,0)=-98,"Unknown",IF(OFFSET(BA$55,'Intermediate Data'!$CD157,0)=-99,"N/A",OFFSET(BA$55,'Intermediate Data'!$CD157,0))))</f>
        <v/>
      </c>
      <c r="CL157" s="90" t="str">
        <f ca="1">IF($CD157="","",IF(OFFSET(BB$55,'Intermediate Data'!$CD157,$AX$50)=-98,"Unknown",IF(OFFSET(BB$55,'Intermediate Data'!$CD157,$AX$50)="N/A","",OFFSET(BB$55,'Intermediate Data'!$CD157,$AX$50))))</f>
        <v/>
      </c>
      <c r="CM157" s="90" t="str">
        <f ca="1">IF($CD157="","",IF(OFFSET(BG$55,'Intermediate Data'!$CD157,0)="ET","ET",""))</f>
        <v/>
      </c>
      <c r="CN157" s="90" t="str">
        <f ca="1">IF($CD157="","",IF(OFFSET(BH$55,'Intermediate Data'!$CD157,$AX$50)=-98,"Unknown",IF(OFFSET(BH$55,'Intermediate Data'!$CD157,$AX$50)="N/A","",OFFSET(BH$55,'Intermediate Data'!$CD157,$AX$50))))</f>
        <v/>
      </c>
      <c r="CO157" s="90" t="str">
        <f ca="1">IF($CD157="","",IF(OFFSET(BM$55,'Intermediate Data'!$CD157,0)=-98,"Not published",IF(OFFSET(BM$55,'Intermediate Data'!$CD157,0)=-99,"No spec",OFFSET(BM$55,'Intermediate Data'!$CD157,0))))</f>
        <v/>
      </c>
      <c r="CP157" s="114" t="str">
        <f ca="1">IF($CD157="","",IF(OFFSET(BN$55,'Intermediate Data'!$CD157,0)=-98,"Unknown",IF(OFFSET(BN$55,'Intermediate Data'!$CD157,0)=-99,"N/A",OFFSET(BN$55,'Intermediate Data'!$CD157,0))))</f>
        <v/>
      </c>
      <c r="CQ157" s="114" t="str">
        <f ca="1">IF($CD157="","",IF(OFFSET(BO$55,'Intermediate Data'!$CD157,0)=-98,"Unknown",IF(OFFSET(BO$55,'Intermediate Data'!$CD157,0)=-99,"N/A",OFFSET(BO$55,'Intermediate Data'!$CD157,0))))</f>
        <v/>
      </c>
      <c r="CR157" s="114" t="str">
        <f ca="1">IF($CD157="","",IF(OFFSET(BP$55,'Intermediate Data'!$CD157,0)=-98,"Unknown",IF(OFFSET(BP$55,'Intermediate Data'!$CD157,0)=-99,"N/A",OFFSET(BP$55,'Intermediate Data'!$CD157,0))))</f>
        <v/>
      </c>
      <c r="CS157" s="114" t="str">
        <f ca="1">IF($CD157="","",IF(OFFSET(BQ$55,'Intermediate Data'!$CD157,0)=-98,"Unknown",IF(OFFSET(BQ$55,'Intermediate Data'!$CD157,0)=-99,"N/A",OFFSET(BQ$55,'Intermediate Data'!$CD157,0))))</f>
        <v/>
      </c>
      <c r="CT157" s="114" t="str">
        <f ca="1">IF($CD157="","",IF(OFFSET(BR$55,'Intermediate Data'!$CD157,0)=-98,"Unknown",IF(OFFSET(BR$55,'Intermediate Data'!$CD157,0)=-99,"N/A",OFFSET(BR$55,'Intermediate Data'!$CD157,0))))</f>
        <v/>
      </c>
      <c r="CU157" s="114" t="str">
        <f ca="1">IF($CD157="","",IF(OFFSET(BS$55,'Intermediate Data'!$CD157,0)=-98,"Unknown",IF(OFFSET(BS$55,'Intermediate Data'!$CD157,0)=-99,"N/A",OFFSET(BS$55,'Intermediate Data'!$CD157,0))))</f>
        <v/>
      </c>
      <c r="CV157" s="114" t="str">
        <f ca="1">IF($CD157="","",IF(OFFSET(BT$55,'Intermediate Data'!$CD157,0)=-98,"Unknown",IF(OFFSET(BT$55,'Intermediate Data'!$CD157,0)=-99,"N/A",OFFSET(BT$55,'Intermediate Data'!$CD157,0))))</f>
        <v/>
      </c>
      <c r="CW157" s="114" t="str">
        <f ca="1">IF($CD157="","",IF(OFFSET(BU$55,'Intermediate Data'!$CD157,0)=-98,"Unknown",IF(OFFSET(BU$55,'Intermediate Data'!$CD157,0)=-99,"N/A",OFFSET(BU$55,'Intermediate Data'!$CD157,0))))</f>
        <v/>
      </c>
      <c r="CX157" s="114" t="str">
        <f ca="1">IF($CD157="","",IF(OFFSET(BV$55,'Intermediate Data'!$CD157,0)=-98,"Unknown",IF(OFFSET(BV$55,'Intermediate Data'!$CD157,0)=-99,"N/A",OFFSET(BV$55,'Intermediate Data'!$CD157,0))))</f>
        <v/>
      </c>
      <c r="CY157" s="682" t="str">
        <f ca="1">IF($CD157="","",IF(OFFSET(BW$55,'Intermediate Data'!$CD157,0)=-98,"Unknown",IF(OFFSET(BW$55,'Intermediate Data'!$CD157,0)="N/A","",OFFSET(BW$55,'Intermediate Data'!$CD157,0))))</f>
        <v/>
      </c>
      <c r="CZ157" s="682" t="str">
        <f ca="1">IF($CD157="","",IF(OFFSET(BX$55,'Intermediate Data'!$CD157,0)=-98,"Unknown",IF(OFFSET(BX$55,'Intermediate Data'!$CD157,0)="N/A","",OFFSET(BX$55,'Intermediate Data'!$CD157,0))))</f>
        <v/>
      </c>
      <c r="DA157" s="682" t="str">
        <f ca="1">IF($CD157="","",IF(OFFSET(BY$55,'Intermediate Data'!$CD157,0)=-98,"Unknown",IF(OFFSET(BY$55,'Intermediate Data'!$CD157,0)="N/A","",OFFSET(BY$55,'Intermediate Data'!$CD157,0))))</f>
        <v/>
      </c>
      <c r="DB157" s="682" t="str">
        <f ca="1">IF($CD157="","",IF(OFFSET(BZ$55,'Intermediate Data'!$CD157,0)=-98,"Unknown",IF(OFFSET(BZ$55,'Intermediate Data'!$CD157,0)="N/A","",OFFSET(BZ$55,'Intermediate Data'!$CD157,0))))</f>
        <v/>
      </c>
    </row>
    <row r="158" spans="1:106" x14ac:dyDescent="0.2">
      <c r="A158" s="90" t="str">
        <f ca="1">IF(OFFSET(DATA!F107,0,$D$48)='Intermediate Data'!$E$48,IF(OR($E$49=$C$27,$E$48=$B$4),DATA!A107,IF($G$49=DATA!D107,DATA!A107,"")),"")</f>
        <v/>
      </c>
      <c r="B158" s="90" t="str">
        <f ca="1">IF($A158="","",DATA!EH107)</f>
        <v/>
      </c>
      <c r="C158" s="90" t="str">
        <f ca="1">IF($A158="","",DATA!B107)</f>
        <v/>
      </c>
      <c r="D158" s="90" t="str">
        <f ca="1">IF($A158="","",OFFSET(DATA!$H107,0,($D$50*5)))</f>
        <v/>
      </c>
      <c r="E158" s="90" t="str">
        <f ca="1">IF($A158="","",OFFSET(DATA!$H107,0,($D$50*5)+1))</f>
        <v/>
      </c>
      <c r="F158" s="90" t="str">
        <f ca="1">IF($A158="","",OFFSET(DATA!$H107,0,($D$50*5)+2))</f>
        <v/>
      </c>
      <c r="G158" s="90" t="str">
        <f ca="1">IF($A158="","",OFFSET(DATA!$H107,0,($D$50*5)+3))</f>
        <v/>
      </c>
      <c r="H158" s="90" t="str">
        <f ca="1">IF($A158="","",OFFSET(DATA!$H107,0,($D$50*5)+4))</f>
        <v/>
      </c>
      <c r="I158" s="90" t="str">
        <f t="shared" ca="1" si="17"/>
        <v/>
      </c>
      <c r="J158" s="90" t="str">
        <f t="shared" ca="1" si="18"/>
        <v/>
      </c>
      <c r="K158" s="90" t="str">
        <f ca="1">IF($A158="","",OFFSET(DATA!$AG107,0,($D$50*5)))</f>
        <v/>
      </c>
      <c r="L158" s="90" t="str">
        <f ca="1">IF($A158="","",OFFSET(DATA!$AG107,0,($D$50*5)+1))</f>
        <v/>
      </c>
      <c r="M158" s="90" t="str">
        <f ca="1">IF($A158="","",OFFSET(DATA!$AG107,0,($D$50*5)+2))</f>
        <v/>
      </c>
      <c r="N158" s="90" t="str">
        <f ca="1">IF($A158="","",OFFSET(DATA!$AG107,0,($D$50*5)+3))</f>
        <v/>
      </c>
      <c r="O158" s="90" t="str">
        <f ca="1">IF($A158="","",OFFSET(DATA!$AG107,0,($D$50*5)+4))</f>
        <v/>
      </c>
      <c r="P158" s="90" t="str">
        <f t="shared" ca="1" si="19"/>
        <v/>
      </c>
      <c r="Q158" s="90" t="str">
        <f t="shared" ca="1" si="20"/>
        <v/>
      </c>
      <c r="R158" s="699" t="str">
        <f ca="1">IF($A158="","",IF(DATA!BF107="",-99,DATA!BF107))</f>
        <v/>
      </c>
      <c r="S158" s="90" t="str">
        <f ca="1">IF($A158="","",IF(DATA!BG107="",-99,DATA!BF107-DATA!BG107))</f>
        <v/>
      </c>
      <c r="T158" s="90" t="str">
        <f ca="1">IF($A158="","",DATA!BH107)</f>
        <v/>
      </c>
      <c r="U158" s="90" t="str">
        <f ca="1">IF($A158="","",OFFSET(DATA!BM107,0,$D$48))</f>
        <v/>
      </c>
      <c r="V158" s="90" t="str">
        <f t="shared" ca="1" si="29"/>
        <v/>
      </c>
      <c r="W158" s="99" t="str">
        <f t="shared" ca="1" si="21"/>
        <v/>
      </c>
      <c r="X158" s="112">
        <f t="shared" ca="1" si="22"/>
        <v>26.000003207856452</v>
      </c>
      <c r="Y158" s="90">
        <f t="shared" ca="1" si="23"/>
        <v>4</v>
      </c>
      <c r="AA158" s="90" t="str">
        <f ca="1">IF($Y158="","",IF(OFFSET(C$55,'Intermediate Data'!$Y158,0)=-98,"Unknown",IF(OFFSET(C$55,'Intermediate Data'!$Y158,0)=-99,"N/A",OFFSET(C$55,'Intermediate Data'!$Y158,0))))</f>
        <v>Stand-alone freezer</v>
      </c>
      <c r="AB158" s="90">
        <f ca="1">IF($Y158="","",IF(OFFSET(D$55,'Intermediate Data'!$Y158,0)=-98,"N/A",IF(OFFSET(D$55,'Intermediate Data'!$Y158,0)=-99,"N/A",OFFSET(D$55,'Intermediate Data'!$Y158,0))))</f>
        <v>0.161</v>
      </c>
      <c r="AC158" s="90">
        <f ca="1">IF($Y158="","",IF(OFFSET(E$55,'Intermediate Data'!$Y158,0)=-98,"N/A",IF(OFFSET(E$55,'Intermediate Data'!$Y158,0)=-99,"N/A",OFFSET(E$55,'Intermediate Data'!$Y158,0))))</f>
        <v>0.18872987922376952</v>
      </c>
      <c r="AD158" s="90">
        <f ca="1">IF($Y158="","",IF(OFFSET(F$55,'Intermediate Data'!$Y158,0)=-98,"N/A",IF(OFFSET(F$55,'Intermediate Data'!$Y158,0)=-99,"N/A",OFFSET(F$55,'Intermediate Data'!$Y158,0))))</f>
        <v>0.193</v>
      </c>
      <c r="AE158" s="90">
        <f ca="1">IF($Y158="","",IF(OFFSET(G$55,'Intermediate Data'!$Y158,0)=-98,"N/A",IF(OFFSET(G$55,'Intermediate Data'!$Y158,0)=-99,"N/A",OFFSET(G$55,'Intermediate Data'!$Y158,0))))</f>
        <v>0.18694317807906549</v>
      </c>
      <c r="AF158" s="90">
        <f ca="1">IF($Y158="","",IF(OFFSET(H$55,'Intermediate Data'!$Y158,0)=-98,"N/A",IF(OFFSET(H$55,'Intermediate Data'!$Y158,0)=-99,"N/A",OFFSET(H$55,'Intermediate Data'!$Y158,0))))</f>
        <v>0.15100000000000002</v>
      </c>
      <c r="AG158" s="90">
        <f ca="1">IF($Y158="","",IF(OFFSET(I$55,'Intermediate Data'!$Y158,0)=-98,"N/A",IF(OFFSET(I$55,'Intermediate Data'!$Y158,0)=-99,"N/A",OFFSET(I$55,'Intermediate Data'!$Y158,0))))</f>
        <v>0.15100000000000002</v>
      </c>
      <c r="AH158" s="90" t="str">
        <f ca="1">IF($Y158="","",IF(OFFSET(J$55,'Intermediate Data'!$Y158,0)=-98,"N/A",IF(OFFSET(J$55,'Intermediate Data'!$Y158,0)=-99,"N/A",OFFSET(J$55,'Intermediate Data'!$Y158,0))))</f>
        <v>CLASS</v>
      </c>
      <c r="AI158" s="90">
        <f ca="1">IF($Y158="","",IF(OFFSET(K$55,'Intermediate Data'!$Y158,0)=-98,"N/A",IF(OFFSET(K$55,'Intermediate Data'!$Y158,0)=-99,"N/A",OFFSET(K$55,'Intermediate Data'!$Y158,0))))</f>
        <v>0.16900000000000001</v>
      </c>
      <c r="AJ158" s="90">
        <f ca="1">IF($Y158="","",IF(OFFSET(L$55,'Intermediate Data'!$Y158,0)=-98,"N/A",IF(OFFSET(L$55,'Intermediate Data'!$Y158,0)=-99,"N/A",OFFSET(L$55,'Intermediate Data'!$Y158,0))))</f>
        <v>0.1969225414581483</v>
      </c>
      <c r="AK158" s="90">
        <f ca="1">IF($Y158="","",IF(OFFSET(M$55,'Intermediate Data'!$Y158,0)=-98,"N/A",IF(OFFSET(M$55,'Intermediate Data'!$Y158,0)=-99,"N/A",OFFSET(M$55,'Intermediate Data'!$Y158,0))))</f>
        <v>0.19800000000000001</v>
      </c>
      <c r="AL158" s="90">
        <f ca="1">IF($Y158="","",IF(OFFSET(N$55,'Intermediate Data'!$Y158,0)=-98,"N/A",IF(OFFSET(N$55,'Intermediate Data'!$Y158,0)=-99,"N/A",OFFSET(N$55,'Intermediate Data'!$Y158,0))))</f>
        <v>0.19606892223426714</v>
      </c>
      <c r="AM158" s="90">
        <f ca="1">IF($Y158="","",IF(OFFSET(O$55,'Intermediate Data'!$Y158,0)=-98,"N/A",IF(OFFSET(O$55,'Intermediate Data'!$Y158,0)=-99,"N/A",OFFSET(O$55,'Intermediate Data'!$Y158,0))))</f>
        <v>0.152</v>
      </c>
      <c r="AN158" s="90">
        <f ca="1">IF($Y158="","",IF(OFFSET(P$55,'Intermediate Data'!$Y158,0)=-98,"N/A",IF(OFFSET(P$55,'Intermediate Data'!$Y158,0)=-99,"N/A",OFFSET(P$55,'Intermediate Data'!$Y158,0))))</f>
        <v>0.152</v>
      </c>
      <c r="AO158" s="90" t="str">
        <f ca="1">IF($Y158="","",IF(OFFSET(Q$55,'Intermediate Data'!$Y158,0)=-98,"N/A",IF(OFFSET(Q$55,'Intermediate Data'!$Y158,0)=-99,"N/A",OFFSET(Q$55,'Intermediate Data'!$Y158,0))))</f>
        <v>CLASS</v>
      </c>
      <c r="AP158" s="697">
        <f ca="1">IF($Y158="","",IF(OFFSET(S$55,'Intermediate Data'!$Y158,0)=-98,"",IF(OFFSET(S$55,'Intermediate Data'!$Y158,0)=-99,"",OFFSET(S$55,'Intermediate Data'!$Y158,0))))</f>
        <v>7.1000000000000035E-2</v>
      </c>
      <c r="AQ158" s="90">
        <f ca="1">IF($Y158="","",IF(OFFSET(T$55,'Intermediate Data'!$Y158,0)=-98,"Not published",IF(OFFSET(T$55,'Intermediate Data'!$Y158,0)=-99,"",OFFSET(T$55,'Intermediate Data'!$Y158,0))))</f>
        <v>0.28999999999999998</v>
      </c>
      <c r="AR158" s="90">
        <f ca="1">IF($Y158="","",IF(OFFSET(U$55,'Intermediate Data'!$Y158,0)=-98,"Unknown",IF(OFFSET(U$55,'Intermediate Data'!$Y158,0)=-99,"",OFFSET(U$55,'Intermediate Data'!$Y158,0))))</f>
        <v>30</v>
      </c>
      <c r="AU158" s="112" t="str">
        <f ca="1">IF(AND(OFFSET(DATA!$F107,0,$AX$48)='Intermediate Data'!$AY$48,DATA!$E107="Tier 1"),IF(OR($AX$49=0,$AX$48=1),DATA!A107,IF(AND($AX$49=1,INDEX('Intermediate Data'!$AY$25:$AY$44,MATCH(DATA!$B107,'Intermediate Data'!$AX$25:$AX$44,0))=TRUE),DATA!A107,"")),"")</f>
        <v/>
      </c>
      <c r="AV158" s="112" t="str">
        <f ca="1">IF($AU158="","",DATA!B107)</f>
        <v/>
      </c>
      <c r="AW158" s="112" t="str">
        <f ca="1">IF(OR($AU158="",DATA!BI107=""),"",DATA!BI107)</f>
        <v/>
      </c>
      <c r="AX158" s="112" t="str">
        <f ca="1">IF(OR($AU158="",OFFSET(DATA!BK107,0,$AX$48)=""),"",OFFSET(DATA!BK107,0,$AX$48))</f>
        <v/>
      </c>
      <c r="AY158" s="112" t="str">
        <f ca="1">IF(OR($AU158="",OFFSET(DATA!BM107,0,$AX$48)=""),"",OFFSET(DATA!BM107,0,$AX$48))</f>
        <v/>
      </c>
      <c r="AZ158" s="112" t="str">
        <f ca="1">IF(OR($AU158="",OFFSET(DATA!BO107,0,'Intermediate Data'!$AX$48)=""),"",OFFSET(DATA!BO107,0,$AX$48))</f>
        <v/>
      </c>
      <c r="BA158" s="112" t="str">
        <f ca="1">IF(OR($AU158="",DATA!BQ107=""),"",DATA!BQ107)</f>
        <v/>
      </c>
      <c r="BB158" s="112" t="str">
        <f ca="1">IF($AU158="","",OFFSET(DATA!BS107,0,$AX$48))</f>
        <v/>
      </c>
      <c r="BC158" s="112" t="str">
        <f ca="1">IF($AU158="","",OFFSET(DATA!BU107,0,$AX$48))</f>
        <v/>
      </c>
      <c r="BD158" s="112" t="str">
        <f ca="1">IF($AU158="","",OFFSET(DATA!BW107,0,$AX$48))</f>
        <v/>
      </c>
      <c r="BE158" s="112" t="str">
        <f ca="1">IF($AU158="","",OFFSET(DATA!BY107,0,$AX$48))</f>
        <v/>
      </c>
      <c r="BF158" s="112" t="str">
        <f ca="1">IF($AU158="","",OFFSET(DATA!CA107,0,$AX$48))</f>
        <v/>
      </c>
      <c r="BG158" s="112" t="str">
        <f ca="1">IF($AU158="","",DATA!CC107)</f>
        <v/>
      </c>
      <c r="BH158" s="112" t="str">
        <f ca="1">IF($AU158="","",OFFSET(DATA!CE107,0,$AX$48))</f>
        <v/>
      </c>
      <c r="BI158" s="112" t="str">
        <f ca="1">IF($AU158="","",OFFSET(DATA!CG107,0,$AX$48))</f>
        <v/>
      </c>
      <c r="BJ158" s="112" t="str">
        <f ca="1">IF($AU158="","",OFFSET(DATA!CI107,0,$AX$48))</f>
        <v/>
      </c>
      <c r="BK158" s="112" t="str">
        <f ca="1">IF($AU158="","",OFFSET(DATA!CK107,0,$AX$48))</f>
        <v/>
      </c>
      <c r="BL158" s="112" t="str">
        <f ca="1">IF($AU158="","",OFFSET(DATA!CM107,0,$AX$48))</f>
        <v/>
      </c>
      <c r="BM158" s="112" t="str">
        <f ca="1">IF($AU158="","",DATA!BH107)</f>
        <v/>
      </c>
      <c r="BN158" s="112" t="str">
        <f ca="1">IF($AU158="","",DATA!DS107)</f>
        <v/>
      </c>
      <c r="BO158" s="112" t="str">
        <f ca="1">IF($AU158="","",DATA!DU107)</f>
        <v/>
      </c>
      <c r="BP158" s="112" t="str">
        <f ca="1">IF($AU158="","",DATA!DV107)</f>
        <v/>
      </c>
      <c r="BQ158" s="112" t="str">
        <f ca="1">IF($AU158="","",DATA!DX107)</f>
        <v/>
      </c>
      <c r="BR158" s="112" t="str">
        <f ca="1">IF($AU158="","",DATA!DZ107)</f>
        <v/>
      </c>
      <c r="BS158" s="171" t="str">
        <f ca="1">IF($AU158="","",DATA!EA107)</f>
        <v/>
      </c>
      <c r="BT158" s="171" t="str">
        <f ca="1">IF($AU158="","",DATA!EC107)</f>
        <v/>
      </c>
      <c r="BU158" s="171" t="str">
        <f ca="1">IF($AU158="","",DATA!EF107)</f>
        <v/>
      </c>
      <c r="BV158" s="113" t="str">
        <f t="shared" ca="1" si="24"/>
        <v/>
      </c>
      <c r="BW158" s="680" t="str">
        <f ca="1">IF(AU158="","",OFFSET(DATA!DC107,0,'Intermediate Data'!$AX$48))</f>
        <v/>
      </c>
      <c r="BX158" s="681" t="str">
        <f ca="1">IF($AU158="","",DATA!DG107)</f>
        <v/>
      </c>
      <c r="BY158" s="680" t="str">
        <f ca="1">IF($AU158="","",OFFSET(DATA!DE107,0,'Intermediate Data'!$AX$48))</f>
        <v/>
      </c>
      <c r="BZ158" s="681" t="str">
        <f ca="1">IF($AU158="","",DATA!DH107)</f>
        <v/>
      </c>
      <c r="CA158" s="90" t="str">
        <f t="shared" ca="1" si="25"/>
        <v/>
      </c>
      <c r="CB158" s="99" t="str">
        <f t="shared" ca="1" si="26"/>
        <v/>
      </c>
      <c r="CC158" s="90" t="str">
        <f t="shared" ca="1" si="27"/>
        <v/>
      </c>
      <c r="CD158" s="90" t="str">
        <f t="shared" ca="1" si="28"/>
        <v/>
      </c>
      <c r="CF158" s="90" t="str">
        <f ca="1">IF($CD158="","",IF(OFFSET(AV$55,'Intermediate Data'!$CD158,0)=-98,"Unknown",IF(OFFSET(AV$55,'Intermediate Data'!$CD158,0)=-99,"N/A",OFFSET(AV$55,'Intermediate Data'!$CD158,0))))</f>
        <v/>
      </c>
      <c r="CG158" s="90" t="str">
        <f ca="1">IF($CD158="","",IF(OFFSET(AW$55,'Intermediate Data'!$CD158,0)=-98,"",IF(OFFSET(AW$55,'Intermediate Data'!$CD158,0)=-99,"N/A",OFFSET(AW$55,'Intermediate Data'!$CD158,0))))</f>
        <v/>
      </c>
      <c r="CH158" s="90" t="str">
        <f ca="1">IF($CD158="","",IF(OFFSET(AX$55,'Intermediate Data'!$CD158,0)=-98,"Unknown",IF(OFFSET(AX$55,'Intermediate Data'!$CD158,0)=-99,"N/A",OFFSET(AX$55,'Intermediate Data'!$CD158,0))))</f>
        <v/>
      </c>
      <c r="CI158" s="125" t="str">
        <f ca="1">IF($CD158="","",IF(OFFSET(AY$55,'Intermediate Data'!$CD158,0)=-98,"Unknown",IF(OFFSET(AY$55,'Intermediate Data'!$CD158,0)=-99,"No spec",OFFSET(AY$55,'Intermediate Data'!$CD158,0))))</f>
        <v/>
      </c>
      <c r="CJ158" s="125" t="str">
        <f ca="1">IF($CD158="","",IF(OFFSET(AZ$55,'Intermediate Data'!$CD158,0)=-98,"Unknown",IF(OFFSET(AZ$55,'Intermediate Data'!$CD158,0)=-99,"N/A",OFFSET(AZ$55,'Intermediate Data'!$CD158,0))))</f>
        <v/>
      </c>
      <c r="CK158" s="90" t="str">
        <f ca="1">IF($CD158="","",IF(OFFSET(BA$55,'Intermediate Data'!$CD158,0)=-98,"Unknown",IF(OFFSET(BA$55,'Intermediate Data'!$CD158,0)=-99,"N/A",OFFSET(BA$55,'Intermediate Data'!$CD158,0))))</f>
        <v/>
      </c>
      <c r="CL158" s="90" t="str">
        <f ca="1">IF($CD158="","",IF(OFFSET(BB$55,'Intermediate Data'!$CD158,$AX$50)=-98,"Unknown",IF(OFFSET(BB$55,'Intermediate Data'!$CD158,$AX$50)="N/A","",OFFSET(BB$55,'Intermediate Data'!$CD158,$AX$50))))</f>
        <v/>
      </c>
      <c r="CM158" s="90" t="str">
        <f ca="1">IF($CD158="","",IF(OFFSET(BG$55,'Intermediate Data'!$CD158,0)="ET","ET",""))</f>
        <v/>
      </c>
      <c r="CN158" s="90" t="str">
        <f ca="1">IF($CD158="","",IF(OFFSET(BH$55,'Intermediate Data'!$CD158,$AX$50)=-98,"Unknown",IF(OFFSET(BH$55,'Intermediate Data'!$CD158,$AX$50)="N/A","",OFFSET(BH$55,'Intermediate Data'!$CD158,$AX$50))))</f>
        <v/>
      </c>
      <c r="CO158" s="90" t="str">
        <f ca="1">IF($CD158="","",IF(OFFSET(BM$55,'Intermediate Data'!$CD158,0)=-98,"Not published",IF(OFFSET(BM$55,'Intermediate Data'!$CD158,0)=-99,"No spec",OFFSET(BM$55,'Intermediate Data'!$CD158,0))))</f>
        <v/>
      </c>
      <c r="CP158" s="114" t="str">
        <f ca="1">IF($CD158="","",IF(OFFSET(BN$55,'Intermediate Data'!$CD158,0)=-98,"Unknown",IF(OFFSET(BN$55,'Intermediate Data'!$CD158,0)=-99,"N/A",OFFSET(BN$55,'Intermediate Data'!$CD158,0))))</f>
        <v/>
      </c>
      <c r="CQ158" s="114" t="str">
        <f ca="1">IF($CD158="","",IF(OFFSET(BO$55,'Intermediate Data'!$CD158,0)=-98,"Unknown",IF(OFFSET(BO$55,'Intermediate Data'!$CD158,0)=-99,"N/A",OFFSET(BO$55,'Intermediate Data'!$CD158,0))))</f>
        <v/>
      </c>
      <c r="CR158" s="114" t="str">
        <f ca="1">IF($CD158="","",IF(OFFSET(BP$55,'Intermediate Data'!$CD158,0)=-98,"Unknown",IF(OFFSET(BP$55,'Intermediate Data'!$CD158,0)=-99,"N/A",OFFSET(BP$55,'Intermediate Data'!$CD158,0))))</f>
        <v/>
      </c>
      <c r="CS158" s="114" t="str">
        <f ca="1">IF($CD158="","",IF(OFFSET(BQ$55,'Intermediate Data'!$CD158,0)=-98,"Unknown",IF(OFFSET(BQ$55,'Intermediate Data'!$CD158,0)=-99,"N/A",OFFSET(BQ$55,'Intermediate Data'!$CD158,0))))</f>
        <v/>
      </c>
      <c r="CT158" s="114" t="str">
        <f ca="1">IF($CD158="","",IF(OFFSET(BR$55,'Intermediate Data'!$CD158,0)=-98,"Unknown",IF(OFFSET(BR$55,'Intermediate Data'!$CD158,0)=-99,"N/A",OFFSET(BR$55,'Intermediate Data'!$CD158,0))))</f>
        <v/>
      </c>
      <c r="CU158" s="114" t="str">
        <f ca="1">IF($CD158="","",IF(OFFSET(BS$55,'Intermediate Data'!$CD158,0)=-98,"Unknown",IF(OFFSET(BS$55,'Intermediate Data'!$CD158,0)=-99,"N/A",OFFSET(BS$55,'Intermediate Data'!$CD158,0))))</f>
        <v/>
      </c>
      <c r="CV158" s="114" t="str">
        <f ca="1">IF($CD158="","",IF(OFFSET(BT$55,'Intermediate Data'!$CD158,0)=-98,"Unknown",IF(OFFSET(BT$55,'Intermediate Data'!$CD158,0)=-99,"N/A",OFFSET(BT$55,'Intermediate Data'!$CD158,0))))</f>
        <v/>
      </c>
      <c r="CW158" s="114" t="str">
        <f ca="1">IF($CD158="","",IF(OFFSET(BU$55,'Intermediate Data'!$CD158,0)=-98,"Unknown",IF(OFFSET(BU$55,'Intermediate Data'!$CD158,0)=-99,"N/A",OFFSET(BU$55,'Intermediate Data'!$CD158,0))))</f>
        <v/>
      </c>
      <c r="CX158" s="114" t="str">
        <f ca="1">IF($CD158="","",IF(OFFSET(BV$55,'Intermediate Data'!$CD158,0)=-98,"Unknown",IF(OFFSET(BV$55,'Intermediate Data'!$CD158,0)=-99,"N/A",OFFSET(BV$55,'Intermediate Data'!$CD158,0))))</f>
        <v/>
      </c>
      <c r="CY158" s="682" t="str">
        <f ca="1">IF($CD158="","",IF(OFFSET(BW$55,'Intermediate Data'!$CD158,0)=-98,"Unknown",IF(OFFSET(BW$55,'Intermediate Data'!$CD158,0)="N/A","",OFFSET(BW$55,'Intermediate Data'!$CD158,0))))</f>
        <v/>
      </c>
      <c r="CZ158" s="682" t="str">
        <f ca="1">IF($CD158="","",IF(OFFSET(BX$55,'Intermediate Data'!$CD158,0)=-98,"Unknown",IF(OFFSET(BX$55,'Intermediate Data'!$CD158,0)="N/A","",OFFSET(BX$55,'Intermediate Data'!$CD158,0))))</f>
        <v/>
      </c>
      <c r="DA158" s="682" t="str">
        <f ca="1">IF($CD158="","",IF(OFFSET(BY$55,'Intermediate Data'!$CD158,0)=-98,"Unknown",IF(OFFSET(BY$55,'Intermediate Data'!$CD158,0)="N/A","",OFFSET(BY$55,'Intermediate Data'!$CD158,0))))</f>
        <v/>
      </c>
      <c r="DB158" s="682" t="str">
        <f ca="1">IF($CD158="","",IF(OFFSET(BZ$55,'Intermediate Data'!$CD158,0)=-98,"Unknown",IF(OFFSET(BZ$55,'Intermediate Data'!$CD158,0)="N/A","",OFFSET(BZ$55,'Intermediate Data'!$CD158,0))))</f>
        <v/>
      </c>
    </row>
    <row r="159" spans="1:106" x14ac:dyDescent="0.2">
      <c r="A159" s="90">
        <f ca="1">IF(OFFSET(DATA!F108,0,$D$48)='Intermediate Data'!$E$48,IF(OR($E$49=$C$27,$E$48=$B$4),DATA!A108,IF($G$49=DATA!D108,DATA!A108,"")),"")</f>
        <v>104</v>
      </c>
      <c r="B159" s="90">
        <f ca="1">IF($A159="","",DATA!EH108)</f>
        <v>106</v>
      </c>
      <c r="C159" s="90" t="str">
        <f ca="1">IF($A159="","",DATA!B108)</f>
        <v>Digital photo frame</v>
      </c>
      <c r="D159" s="90">
        <f ca="1">IF($A159="","",OFFSET(DATA!$H108,0,($D$50*5)))</f>
        <v>-99</v>
      </c>
      <c r="E159" s="90">
        <f ca="1">IF($A159="","",OFFSET(DATA!$H108,0,($D$50*5)+1))</f>
        <v>-99</v>
      </c>
      <c r="F159" s="90">
        <f ca="1">IF($A159="","",OFFSET(DATA!$H108,0,($D$50*5)+2))</f>
        <v>-99</v>
      </c>
      <c r="G159" s="90">
        <f ca="1">IF($A159="","",OFFSET(DATA!$H108,0,($D$50*5)+3))</f>
        <v>-99</v>
      </c>
      <c r="H159" s="90">
        <f ca="1">IF($A159="","",OFFSET(DATA!$H108,0,($D$50*5)+4))</f>
        <v>-99</v>
      </c>
      <c r="I159" s="90">
        <f t="shared" ca="1" si="17"/>
        <v>-99</v>
      </c>
      <c r="J159" s="90" t="str">
        <f t="shared" ca="1" si="18"/>
        <v/>
      </c>
      <c r="K159" s="90">
        <f ca="1">IF($A159="","",OFFSET(DATA!$AG108,0,($D$50*5)))</f>
        <v>-99</v>
      </c>
      <c r="L159" s="90">
        <f ca="1">IF($A159="","",OFFSET(DATA!$AG108,0,($D$50*5)+1))</f>
        <v>-99</v>
      </c>
      <c r="M159" s="90">
        <f ca="1">IF($A159="","",OFFSET(DATA!$AG108,0,($D$50*5)+2))</f>
        <v>-99</v>
      </c>
      <c r="N159" s="90">
        <f ca="1">IF($A159="","",OFFSET(DATA!$AG108,0,($D$50*5)+3))</f>
        <v>-99</v>
      </c>
      <c r="O159" s="90">
        <f ca="1">IF($A159="","",OFFSET(DATA!$AG108,0,($D$50*5)+4))</f>
        <v>-99</v>
      </c>
      <c r="P159" s="90">
        <f t="shared" ca="1" si="19"/>
        <v>-99</v>
      </c>
      <c r="Q159" s="90" t="str">
        <f t="shared" ca="1" si="20"/>
        <v/>
      </c>
      <c r="R159" s="699">
        <f ca="1">IF($A159="","",IF(DATA!BF108="",-99,DATA!BF108))</f>
        <v>-99</v>
      </c>
      <c r="S159" s="90">
        <f ca="1">IF($A159="","",IF(DATA!BG108="",-99,DATA!BF108-DATA!BG108))</f>
        <v>-99</v>
      </c>
      <c r="T159" s="90">
        <f ca="1">IF($A159="","",DATA!BH108)</f>
        <v>0</v>
      </c>
      <c r="U159" s="90">
        <f ca="1">IF($A159="","",OFFSET(DATA!BM108,0,$D$48))</f>
        <v>13</v>
      </c>
      <c r="V159" s="90">
        <f t="shared" ca="1" si="29"/>
        <v>106</v>
      </c>
      <c r="W159" s="99">
        <f t="shared" ca="1" si="21"/>
        <v>105.99990230159</v>
      </c>
      <c r="X159" s="112">
        <f t="shared" ca="1" si="22"/>
        <v>24.999910911667293</v>
      </c>
      <c r="Y159" s="90">
        <f t="shared" ca="1" si="23"/>
        <v>134</v>
      </c>
      <c r="AA159" s="90" t="str">
        <f ca="1">IF($Y159="","",IF(OFFSET(C$55,'Intermediate Data'!$Y159,0)=-98,"Unknown",IF(OFFSET(C$55,'Intermediate Data'!$Y159,0)=-99,"N/A",OFFSET(C$55,'Intermediate Data'!$Y159,0))))</f>
        <v>Sump pump</v>
      </c>
      <c r="AB159" s="90" t="str">
        <f ca="1">IF($Y159="","",IF(OFFSET(D$55,'Intermediate Data'!$Y159,0)=-98,"N/A",IF(OFFSET(D$55,'Intermediate Data'!$Y159,0)=-99,"N/A",OFFSET(D$55,'Intermediate Data'!$Y159,0))))</f>
        <v>N/A</v>
      </c>
      <c r="AC159" s="90">
        <f ca="1">IF($Y159="","",IF(OFFSET(E$55,'Intermediate Data'!$Y159,0)=-98,"N/A",IF(OFFSET(E$55,'Intermediate Data'!$Y159,0)=-99,"N/A",OFFSET(E$55,'Intermediate Data'!$Y159,0))))</f>
        <v>2.7347908079528544E-2</v>
      </c>
      <c r="AD159" s="90" t="str">
        <f ca="1">IF($Y159="","",IF(OFFSET(F$55,'Intermediate Data'!$Y159,0)=-98,"N/A",IF(OFFSET(F$55,'Intermediate Data'!$Y159,0)=-99,"N/A",OFFSET(F$55,'Intermediate Data'!$Y159,0))))</f>
        <v>N/A</v>
      </c>
      <c r="AE159" s="90">
        <f ca="1">IF($Y159="","",IF(OFFSET(G$55,'Intermediate Data'!$Y159,0)=-98,"N/A",IF(OFFSET(G$55,'Intermediate Data'!$Y159,0)=-99,"N/A",OFFSET(G$55,'Intermediate Data'!$Y159,0))))</f>
        <v>3.5212495005260962E-2</v>
      </c>
      <c r="AF159" s="90" t="str">
        <f ca="1">IF($Y159="","",IF(OFFSET(H$55,'Intermediate Data'!$Y159,0)=-98,"N/A",IF(OFFSET(H$55,'Intermediate Data'!$Y159,0)=-99,"N/A",OFFSET(H$55,'Intermediate Data'!$Y159,0))))</f>
        <v>N/A</v>
      </c>
      <c r="AG159" s="90">
        <f ca="1">IF($Y159="","",IF(OFFSET(I$55,'Intermediate Data'!$Y159,0)=-98,"N/A",IF(OFFSET(I$55,'Intermediate Data'!$Y159,0)=-99,"N/A",OFFSET(I$55,'Intermediate Data'!$Y159,0))))</f>
        <v>3.5212495005260962E-2</v>
      </c>
      <c r="AH159" s="90" t="str">
        <f ca="1">IF($Y159="","",IF(OFFSET(J$55,'Intermediate Data'!$Y159,0)=-98,"N/A",IF(OFFSET(J$55,'Intermediate Data'!$Y159,0)=-99,"N/A",OFFSET(J$55,'Intermediate Data'!$Y159,0))))</f>
        <v>RASS</v>
      </c>
      <c r="AI159" s="90" t="str">
        <f ca="1">IF($Y159="","",IF(OFFSET(K$55,'Intermediate Data'!$Y159,0)=-98,"N/A",IF(OFFSET(K$55,'Intermediate Data'!$Y159,0)=-99,"N/A",OFFSET(K$55,'Intermediate Data'!$Y159,0))))</f>
        <v>N/A</v>
      </c>
      <c r="AJ159" s="90" t="str">
        <f ca="1">IF($Y159="","",IF(OFFSET(L$55,'Intermediate Data'!$Y159,0)=-98,"N/A",IF(OFFSET(L$55,'Intermediate Data'!$Y159,0)=-99,"N/A",OFFSET(L$55,'Intermediate Data'!$Y159,0))))</f>
        <v>N/A</v>
      </c>
      <c r="AK159" s="90" t="str">
        <f ca="1">IF($Y159="","",IF(OFFSET(M$55,'Intermediate Data'!$Y159,0)=-98,"N/A",IF(OFFSET(M$55,'Intermediate Data'!$Y159,0)=-99,"N/A",OFFSET(M$55,'Intermediate Data'!$Y159,0))))</f>
        <v>N/A</v>
      </c>
      <c r="AL159" s="90" t="str">
        <f ca="1">IF($Y159="","",IF(OFFSET(N$55,'Intermediate Data'!$Y159,0)=-98,"N/A",IF(OFFSET(N$55,'Intermediate Data'!$Y159,0)=-99,"N/A",OFFSET(N$55,'Intermediate Data'!$Y159,0))))</f>
        <v>N/A</v>
      </c>
      <c r="AM159" s="90" t="str">
        <f ca="1">IF($Y159="","",IF(OFFSET(O$55,'Intermediate Data'!$Y159,0)=-98,"N/A",IF(OFFSET(O$55,'Intermediate Data'!$Y159,0)=-99,"N/A",OFFSET(O$55,'Intermediate Data'!$Y159,0))))</f>
        <v>N/A</v>
      </c>
      <c r="AN159" s="90" t="str">
        <f ca="1">IF($Y159="","",IF(OFFSET(P$55,'Intermediate Data'!$Y159,0)=-98,"N/A",IF(OFFSET(P$55,'Intermediate Data'!$Y159,0)=-99,"N/A",OFFSET(P$55,'Intermediate Data'!$Y159,0))))</f>
        <v>N/A</v>
      </c>
      <c r="AO159" s="90" t="str">
        <f ca="1">IF($Y159="","",IF(OFFSET(Q$55,'Intermediate Data'!$Y159,0)=-98,"N/A",IF(OFFSET(Q$55,'Intermediate Data'!$Y159,0)=-99,"N/A",OFFSET(Q$55,'Intermediate Data'!$Y159,0))))</f>
        <v/>
      </c>
      <c r="AP159" s="697" t="str">
        <f ca="1">IF($Y159="","",IF(OFFSET(S$55,'Intermediate Data'!$Y159,0)=-98,"",IF(OFFSET(S$55,'Intermediate Data'!$Y159,0)=-99,"",OFFSET(S$55,'Intermediate Data'!$Y159,0))))</f>
        <v/>
      </c>
      <c r="AQ159" s="90" t="str">
        <f ca="1">IF($Y159="","",IF(OFFSET(T$55,'Intermediate Data'!$Y159,0)=-98,"Not published",IF(OFFSET(T$55,'Intermediate Data'!$Y159,0)=-99,"",OFFSET(T$55,'Intermediate Data'!$Y159,0))))</f>
        <v/>
      </c>
      <c r="AR159" s="90" t="str">
        <f ca="1">IF($Y159="","",IF(OFFSET(U$55,'Intermediate Data'!$Y159,0)=-98,"Unknown",IF(OFFSET(U$55,'Intermediate Data'!$Y159,0)=-99,"",OFFSET(U$55,'Intermediate Data'!$Y159,0))))</f>
        <v/>
      </c>
      <c r="AU159" s="112" t="str">
        <f ca="1">IF(AND(OFFSET(DATA!$F108,0,$AX$48)='Intermediate Data'!$AY$48,DATA!$E108="Tier 1"),IF(OR($AX$49=0,$AX$48=1),DATA!A108,IF(AND($AX$49=1,INDEX('Intermediate Data'!$AY$25:$AY$44,MATCH(DATA!$B108,'Intermediate Data'!$AX$25:$AX$44,0))=TRUE),DATA!A108,"")),"")</f>
        <v/>
      </c>
      <c r="AV159" s="112" t="str">
        <f ca="1">IF($AU159="","",DATA!B108)</f>
        <v/>
      </c>
      <c r="AW159" s="112" t="str">
        <f ca="1">IF(OR($AU159="",DATA!BI108=""),"",DATA!BI108)</f>
        <v/>
      </c>
      <c r="AX159" s="112" t="str">
        <f ca="1">IF(OR($AU159="",OFFSET(DATA!BK108,0,$AX$48)=""),"",OFFSET(DATA!BK108,0,$AX$48))</f>
        <v/>
      </c>
      <c r="AY159" s="112" t="str">
        <f ca="1">IF(OR($AU159="",OFFSET(DATA!BM108,0,$AX$48)=""),"",OFFSET(DATA!BM108,0,$AX$48))</f>
        <v/>
      </c>
      <c r="AZ159" s="112" t="str">
        <f ca="1">IF(OR($AU159="",OFFSET(DATA!BO108,0,'Intermediate Data'!$AX$48)=""),"",OFFSET(DATA!BO108,0,$AX$48))</f>
        <v/>
      </c>
      <c r="BA159" s="112" t="str">
        <f ca="1">IF(OR($AU159="",DATA!BQ108=""),"",DATA!BQ108)</f>
        <v/>
      </c>
      <c r="BB159" s="112" t="str">
        <f ca="1">IF($AU159="","",OFFSET(DATA!BS108,0,$AX$48))</f>
        <v/>
      </c>
      <c r="BC159" s="112" t="str">
        <f ca="1">IF($AU159="","",OFFSET(DATA!BU108,0,$AX$48))</f>
        <v/>
      </c>
      <c r="BD159" s="112" t="str">
        <f ca="1">IF($AU159="","",OFFSET(DATA!BW108,0,$AX$48))</f>
        <v/>
      </c>
      <c r="BE159" s="112" t="str">
        <f ca="1">IF($AU159="","",OFFSET(DATA!BY108,0,$AX$48))</f>
        <v/>
      </c>
      <c r="BF159" s="112" t="str">
        <f ca="1">IF($AU159="","",OFFSET(DATA!CA108,0,$AX$48))</f>
        <v/>
      </c>
      <c r="BG159" s="112" t="str">
        <f ca="1">IF($AU159="","",DATA!CC108)</f>
        <v/>
      </c>
      <c r="BH159" s="112" t="str">
        <f ca="1">IF($AU159="","",OFFSET(DATA!CE108,0,$AX$48))</f>
        <v/>
      </c>
      <c r="BI159" s="112" t="str">
        <f ca="1">IF($AU159="","",OFFSET(DATA!CG108,0,$AX$48))</f>
        <v/>
      </c>
      <c r="BJ159" s="112" t="str">
        <f ca="1">IF($AU159="","",OFFSET(DATA!CI108,0,$AX$48))</f>
        <v/>
      </c>
      <c r="BK159" s="112" t="str">
        <f ca="1">IF($AU159="","",OFFSET(DATA!CK108,0,$AX$48))</f>
        <v/>
      </c>
      <c r="BL159" s="112" t="str">
        <f ca="1">IF($AU159="","",OFFSET(DATA!CM108,0,$AX$48))</f>
        <v/>
      </c>
      <c r="BM159" s="112" t="str">
        <f ca="1">IF($AU159="","",DATA!BH108)</f>
        <v/>
      </c>
      <c r="BN159" s="112" t="str">
        <f ca="1">IF($AU159="","",DATA!DS108)</f>
        <v/>
      </c>
      <c r="BO159" s="112" t="str">
        <f ca="1">IF($AU159="","",DATA!DU108)</f>
        <v/>
      </c>
      <c r="BP159" s="112" t="str">
        <f ca="1">IF($AU159="","",DATA!DV108)</f>
        <v/>
      </c>
      <c r="BQ159" s="112" t="str">
        <f ca="1">IF($AU159="","",DATA!DX108)</f>
        <v/>
      </c>
      <c r="BR159" s="112" t="str">
        <f ca="1">IF($AU159="","",DATA!DZ108)</f>
        <v/>
      </c>
      <c r="BS159" s="171" t="str">
        <f ca="1">IF($AU159="","",DATA!EA108)</f>
        <v/>
      </c>
      <c r="BT159" s="171" t="str">
        <f ca="1">IF($AU159="","",DATA!EC108)</f>
        <v/>
      </c>
      <c r="BU159" s="171" t="str">
        <f ca="1">IF($AU159="","",DATA!EF108)</f>
        <v/>
      </c>
      <c r="BV159" s="113" t="str">
        <f t="shared" ca="1" si="24"/>
        <v/>
      </c>
      <c r="BW159" s="680" t="str">
        <f ca="1">IF(AU159="","",OFFSET(DATA!DC108,0,'Intermediate Data'!$AX$48))</f>
        <v/>
      </c>
      <c r="BX159" s="681" t="str">
        <f ca="1">IF($AU159="","",DATA!DG108)</f>
        <v/>
      </c>
      <c r="BY159" s="680" t="str">
        <f ca="1">IF($AU159="","",OFFSET(DATA!DE108,0,'Intermediate Data'!$AX$48))</f>
        <v/>
      </c>
      <c r="BZ159" s="681" t="str">
        <f ca="1">IF($AU159="","",DATA!DH108)</f>
        <v/>
      </c>
      <c r="CA159" s="90" t="str">
        <f t="shared" ca="1" si="25"/>
        <v/>
      </c>
      <c r="CB159" s="99" t="str">
        <f t="shared" ca="1" si="26"/>
        <v/>
      </c>
      <c r="CC159" s="90" t="str">
        <f t="shared" ca="1" si="27"/>
        <v/>
      </c>
      <c r="CD159" s="90" t="str">
        <f t="shared" ca="1" si="28"/>
        <v/>
      </c>
      <c r="CF159" s="90" t="str">
        <f ca="1">IF($CD159="","",IF(OFFSET(AV$55,'Intermediate Data'!$CD159,0)=-98,"Unknown",IF(OFFSET(AV$55,'Intermediate Data'!$CD159,0)=-99,"N/A",OFFSET(AV$55,'Intermediate Data'!$CD159,0))))</f>
        <v/>
      </c>
      <c r="CG159" s="90" t="str">
        <f ca="1">IF($CD159="","",IF(OFFSET(AW$55,'Intermediate Data'!$CD159,0)=-98,"",IF(OFFSET(AW$55,'Intermediate Data'!$CD159,0)=-99,"N/A",OFFSET(AW$55,'Intermediate Data'!$CD159,0))))</f>
        <v/>
      </c>
      <c r="CH159" s="90" t="str">
        <f ca="1">IF($CD159="","",IF(OFFSET(AX$55,'Intermediate Data'!$CD159,0)=-98,"Unknown",IF(OFFSET(AX$55,'Intermediate Data'!$CD159,0)=-99,"N/A",OFFSET(AX$55,'Intermediate Data'!$CD159,0))))</f>
        <v/>
      </c>
      <c r="CI159" s="125" t="str">
        <f ca="1">IF($CD159="","",IF(OFFSET(AY$55,'Intermediate Data'!$CD159,0)=-98,"Unknown",IF(OFFSET(AY$55,'Intermediate Data'!$CD159,0)=-99,"No spec",OFFSET(AY$55,'Intermediate Data'!$CD159,0))))</f>
        <v/>
      </c>
      <c r="CJ159" s="125" t="str">
        <f ca="1">IF($CD159="","",IF(OFFSET(AZ$55,'Intermediate Data'!$CD159,0)=-98,"Unknown",IF(OFFSET(AZ$55,'Intermediate Data'!$CD159,0)=-99,"N/A",OFFSET(AZ$55,'Intermediate Data'!$CD159,0))))</f>
        <v/>
      </c>
      <c r="CK159" s="90" t="str">
        <f ca="1">IF($CD159="","",IF(OFFSET(BA$55,'Intermediate Data'!$CD159,0)=-98,"Unknown",IF(OFFSET(BA$55,'Intermediate Data'!$CD159,0)=-99,"N/A",OFFSET(BA$55,'Intermediate Data'!$CD159,0))))</f>
        <v/>
      </c>
      <c r="CL159" s="90" t="str">
        <f ca="1">IF($CD159="","",IF(OFFSET(BB$55,'Intermediate Data'!$CD159,$AX$50)=-98,"Unknown",IF(OFFSET(BB$55,'Intermediate Data'!$CD159,$AX$50)="N/A","",OFFSET(BB$55,'Intermediate Data'!$CD159,$AX$50))))</f>
        <v/>
      </c>
      <c r="CM159" s="90" t="str">
        <f ca="1">IF($CD159="","",IF(OFFSET(BG$55,'Intermediate Data'!$CD159,0)="ET","ET",""))</f>
        <v/>
      </c>
      <c r="CN159" s="90" t="str">
        <f ca="1">IF($CD159="","",IF(OFFSET(BH$55,'Intermediate Data'!$CD159,$AX$50)=-98,"Unknown",IF(OFFSET(BH$55,'Intermediate Data'!$CD159,$AX$50)="N/A","",OFFSET(BH$55,'Intermediate Data'!$CD159,$AX$50))))</f>
        <v/>
      </c>
      <c r="CO159" s="90" t="str">
        <f ca="1">IF($CD159="","",IF(OFFSET(BM$55,'Intermediate Data'!$CD159,0)=-98,"Not published",IF(OFFSET(BM$55,'Intermediate Data'!$CD159,0)=-99,"No spec",OFFSET(BM$55,'Intermediate Data'!$CD159,0))))</f>
        <v/>
      </c>
      <c r="CP159" s="114" t="str">
        <f ca="1">IF($CD159="","",IF(OFFSET(BN$55,'Intermediate Data'!$CD159,0)=-98,"Unknown",IF(OFFSET(BN$55,'Intermediate Data'!$CD159,0)=-99,"N/A",OFFSET(BN$55,'Intermediate Data'!$CD159,0))))</f>
        <v/>
      </c>
      <c r="CQ159" s="114" t="str">
        <f ca="1">IF($CD159="","",IF(OFFSET(BO$55,'Intermediate Data'!$CD159,0)=-98,"Unknown",IF(OFFSET(BO$55,'Intermediate Data'!$CD159,0)=-99,"N/A",OFFSET(BO$55,'Intermediate Data'!$CD159,0))))</f>
        <v/>
      </c>
      <c r="CR159" s="114" t="str">
        <f ca="1">IF($CD159="","",IF(OFFSET(BP$55,'Intermediate Data'!$CD159,0)=-98,"Unknown",IF(OFFSET(BP$55,'Intermediate Data'!$CD159,0)=-99,"N/A",OFFSET(BP$55,'Intermediate Data'!$CD159,0))))</f>
        <v/>
      </c>
      <c r="CS159" s="114" t="str">
        <f ca="1">IF($CD159="","",IF(OFFSET(BQ$55,'Intermediate Data'!$CD159,0)=-98,"Unknown",IF(OFFSET(BQ$55,'Intermediate Data'!$CD159,0)=-99,"N/A",OFFSET(BQ$55,'Intermediate Data'!$CD159,0))))</f>
        <v/>
      </c>
      <c r="CT159" s="114" t="str">
        <f ca="1">IF($CD159="","",IF(OFFSET(BR$55,'Intermediate Data'!$CD159,0)=-98,"Unknown",IF(OFFSET(BR$55,'Intermediate Data'!$CD159,0)=-99,"N/A",OFFSET(BR$55,'Intermediate Data'!$CD159,0))))</f>
        <v/>
      </c>
      <c r="CU159" s="114" t="str">
        <f ca="1">IF($CD159="","",IF(OFFSET(BS$55,'Intermediate Data'!$CD159,0)=-98,"Unknown",IF(OFFSET(BS$55,'Intermediate Data'!$CD159,0)=-99,"N/A",OFFSET(BS$55,'Intermediate Data'!$CD159,0))))</f>
        <v/>
      </c>
      <c r="CV159" s="114" t="str">
        <f ca="1">IF($CD159="","",IF(OFFSET(BT$55,'Intermediate Data'!$CD159,0)=-98,"Unknown",IF(OFFSET(BT$55,'Intermediate Data'!$CD159,0)=-99,"N/A",OFFSET(BT$55,'Intermediate Data'!$CD159,0))))</f>
        <v/>
      </c>
      <c r="CW159" s="114" t="str">
        <f ca="1">IF($CD159="","",IF(OFFSET(BU$55,'Intermediate Data'!$CD159,0)=-98,"Unknown",IF(OFFSET(BU$55,'Intermediate Data'!$CD159,0)=-99,"N/A",OFFSET(BU$55,'Intermediate Data'!$CD159,0))))</f>
        <v/>
      </c>
      <c r="CX159" s="114" t="str">
        <f ca="1">IF($CD159="","",IF(OFFSET(BV$55,'Intermediate Data'!$CD159,0)=-98,"Unknown",IF(OFFSET(BV$55,'Intermediate Data'!$CD159,0)=-99,"N/A",OFFSET(BV$55,'Intermediate Data'!$CD159,0))))</f>
        <v/>
      </c>
      <c r="CY159" s="682" t="str">
        <f ca="1">IF($CD159="","",IF(OFFSET(BW$55,'Intermediate Data'!$CD159,0)=-98,"Unknown",IF(OFFSET(BW$55,'Intermediate Data'!$CD159,0)="N/A","",OFFSET(BW$55,'Intermediate Data'!$CD159,0))))</f>
        <v/>
      </c>
      <c r="CZ159" s="682" t="str">
        <f ca="1">IF($CD159="","",IF(OFFSET(BX$55,'Intermediate Data'!$CD159,0)=-98,"Unknown",IF(OFFSET(BX$55,'Intermediate Data'!$CD159,0)="N/A","",OFFSET(BX$55,'Intermediate Data'!$CD159,0))))</f>
        <v/>
      </c>
      <c r="DA159" s="682" t="str">
        <f ca="1">IF($CD159="","",IF(OFFSET(BY$55,'Intermediate Data'!$CD159,0)=-98,"Unknown",IF(OFFSET(BY$55,'Intermediate Data'!$CD159,0)="N/A","",OFFSET(BY$55,'Intermediate Data'!$CD159,0))))</f>
        <v/>
      </c>
      <c r="DB159" s="682" t="str">
        <f ca="1">IF($CD159="","",IF(OFFSET(BZ$55,'Intermediate Data'!$CD159,0)=-98,"Unknown",IF(OFFSET(BZ$55,'Intermediate Data'!$CD159,0)="N/A","",OFFSET(BZ$55,'Intermediate Data'!$CD159,0))))</f>
        <v/>
      </c>
    </row>
    <row r="160" spans="1:106" x14ac:dyDescent="0.2">
      <c r="A160" s="90">
        <f ca="1">IF(OFFSET(DATA!F109,0,$D$48)='Intermediate Data'!$E$48,IF(OR($E$49=$C$27,$E$48=$B$4),DATA!A109,IF($G$49=DATA!D109,DATA!A109,"")),"")</f>
        <v>105</v>
      </c>
      <c r="B160" s="90">
        <f ca="1">IF($A160="","",DATA!EH109)</f>
        <v>102</v>
      </c>
      <c r="C160" s="90" t="str">
        <f ca="1">IF($A160="","",DATA!B109)</f>
        <v>Electric blanket</v>
      </c>
      <c r="D160" s="90">
        <f ca="1">IF($A160="","",OFFSET(DATA!$H109,0,($D$50*5)))</f>
        <v>-99</v>
      </c>
      <c r="E160" s="90">
        <f ca="1">IF($A160="","",OFFSET(DATA!$H109,0,($D$50*5)+1))</f>
        <v>0.14215189523905944</v>
      </c>
      <c r="F160" s="90">
        <f ca="1">IF($A160="","",OFFSET(DATA!$H109,0,($D$50*5)+2))</f>
        <v>-99</v>
      </c>
      <c r="G160" s="90">
        <f ca="1">IF($A160="","",OFFSET(DATA!$H109,0,($D$50*5)+3))</f>
        <v>0.11783335477774069</v>
      </c>
      <c r="H160" s="90">
        <f ca="1">IF($A160="","",OFFSET(DATA!$H109,0,($D$50*5)+4))</f>
        <v>-99</v>
      </c>
      <c r="I160" s="90">
        <f t="shared" ca="1" si="17"/>
        <v>0.11783335477774069</v>
      </c>
      <c r="J160" s="90" t="str">
        <f t="shared" ca="1" si="18"/>
        <v>RASS</v>
      </c>
      <c r="K160" s="90">
        <f ca="1">IF($A160="","",OFFSET(DATA!$AG109,0,($D$50*5)))</f>
        <v>-99</v>
      </c>
      <c r="L160" s="90">
        <f ca="1">IF($A160="","",OFFSET(DATA!$AG109,0,($D$50*5)+1))</f>
        <v>0.17665676781019246</v>
      </c>
      <c r="M160" s="90">
        <f ca="1">IF($A160="","",OFFSET(DATA!$AG109,0,($D$50*5)+2))</f>
        <v>-99</v>
      </c>
      <c r="N160" s="90">
        <f ca="1">IF($A160="","",OFFSET(DATA!$AG109,0,($D$50*5)+3))</f>
        <v>0.13691565333293473</v>
      </c>
      <c r="O160" s="90">
        <f ca="1">IF($A160="","",OFFSET(DATA!$AG109,0,($D$50*5)+4))</f>
        <v>-99</v>
      </c>
      <c r="P160" s="90">
        <f t="shared" ca="1" si="19"/>
        <v>0.13691565333293473</v>
      </c>
      <c r="Q160" s="90" t="str">
        <f t="shared" ca="1" si="20"/>
        <v>RASS</v>
      </c>
      <c r="R160" s="699">
        <f ca="1">IF($A160="","",IF(DATA!BF109="",-99,DATA!BF109))</f>
        <v>-99</v>
      </c>
      <c r="S160" s="90">
        <f ca="1">IF($A160="","",IF(DATA!BG109="",-99,DATA!BF109-DATA!BG109))</f>
        <v>-99</v>
      </c>
      <c r="T160" s="90">
        <f ca="1">IF($A160="","",DATA!BH109)</f>
        <v>-99</v>
      </c>
      <c r="U160" s="90">
        <f ca="1">IF($A160="","",OFFSET(DATA!BM109,0,$D$48))</f>
        <v>-99</v>
      </c>
      <c r="V160" s="90">
        <f t="shared" ca="1" si="29"/>
        <v>102</v>
      </c>
      <c r="W160" s="99">
        <f t="shared" ca="1" si="21"/>
        <v>101.9999307707391</v>
      </c>
      <c r="X160" s="112">
        <f t="shared" ca="1" si="22"/>
        <v>23.99988120143</v>
      </c>
      <c r="Y160" s="90">
        <f t="shared" ca="1" si="23"/>
        <v>88</v>
      </c>
      <c r="AA160" s="90" t="str">
        <f ca="1">IF($Y160="","",IF(OFFSET(C$55,'Intermediate Data'!$Y160,0)=-98,"Unknown",IF(OFFSET(C$55,'Intermediate Data'!$Y160,0)=-99,"N/A",OFFSET(C$55,'Intermediate Data'!$Y160,0))))</f>
        <v>Task lamps</v>
      </c>
      <c r="AB160" s="90" t="str">
        <f ca="1">IF($Y160="","",IF(OFFSET(D$55,'Intermediate Data'!$Y160,0)=-98,"N/A",IF(OFFSET(D$55,'Intermediate Data'!$Y160,0)=-99,"N/A",OFFSET(D$55,'Intermediate Data'!$Y160,0))))</f>
        <v>N/A</v>
      </c>
      <c r="AC160" s="90" t="str">
        <f ca="1">IF($Y160="","",IF(OFFSET(E$55,'Intermediate Data'!$Y160,0)=-98,"N/A",IF(OFFSET(E$55,'Intermediate Data'!$Y160,0)=-99,"N/A",OFFSET(E$55,'Intermediate Data'!$Y160,0))))</f>
        <v>N/A</v>
      </c>
      <c r="AD160" s="90" t="str">
        <f ca="1">IF($Y160="","",IF(OFFSET(F$55,'Intermediate Data'!$Y160,0)=-98,"N/A",IF(OFFSET(F$55,'Intermediate Data'!$Y160,0)=-99,"N/A",OFFSET(F$55,'Intermediate Data'!$Y160,0))))</f>
        <v>N/A</v>
      </c>
      <c r="AE160" s="90" t="str">
        <f ca="1">IF($Y160="","",IF(OFFSET(G$55,'Intermediate Data'!$Y160,0)=-98,"N/A",IF(OFFSET(G$55,'Intermediate Data'!$Y160,0)=-99,"N/A",OFFSET(G$55,'Intermediate Data'!$Y160,0))))</f>
        <v>N/A</v>
      </c>
      <c r="AF160" s="90" t="str">
        <f ca="1">IF($Y160="","",IF(OFFSET(H$55,'Intermediate Data'!$Y160,0)=-98,"N/A",IF(OFFSET(H$55,'Intermediate Data'!$Y160,0)=-99,"N/A",OFFSET(H$55,'Intermediate Data'!$Y160,0))))</f>
        <v>N/A</v>
      </c>
      <c r="AG160" s="90" t="str">
        <f ca="1">IF($Y160="","",IF(OFFSET(I$55,'Intermediate Data'!$Y160,0)=-98,"N/A",IF(OFFSET(I$55,'Intermediate Data'!$Y160,0)=-99,"N/A",OFFSET(I$55,'Intermediate Data'!$Y160,0))))</f>
        <v>N/A</v>
      </c>
      <c r="AH160" s="90" t="str">
        <f ca="1">IF($Y160="","",IF(OFFSET(J$55,'Intermediate Data'!$Y160,0)=-98,"N/A",IF(OFFSET(J$55,'Intermediate Data'!$Y160,0)=-99,"N/A",OFFSET(J$55,'Intermediate Data'!$Y160,0))))</f>
        <v/>
      </c>
      <c r="AI160" s="90" t="str">
        <f ca="1">IF($Y160="","",IF(OFFSET(K$55,'Intermediate Data'!$Y160,0)=-98,"N/A",IF(OFFSET(K$55,'Intermediate Data'!$Y160,0)=-99,"N/A",OFFSET(K$55,'Intermediate Data'!$Y160,0))))</f>
        <v>N/A</v>
      </c>
      <c r="AJ160" s="90" t="str">
        <f ca="1">IF($Y160="","",IF(OFFSET(L$55,'Intermediate Data'!$Y160,0)=-98,"N/A",IF(OFFSET(L$55,'Intermediate Data'!$Y160,0)=-99,"N/A",OFFSET(L$55,'Intermediate Data'!$Y160,0))))</f>
        <v>N/A</v>
      </c>
      <c r="AK160" s="90" t="str">
        <f ca="1">IF($Y160="","",IF(OFFSET(M$55,'Intermediate Data'!$Y160,0)=-98,"N/A",IF(OFFSET(M$55,'Intermediate Data'!$Y160,0)=-99,"N/A",OFFSET(M$55,'Intermediate Data'!$Y160,0))))</f>
        <v>N/A</v>
      </c>
      <c r="AL160" s="90" t="str">
        <f ca="1">IF($Y160="","",IF(OFFSET(N$55,'Intermediate Data'!$Y160,0)=-98,"N/A",IF(OFFSET(N$55,'Intermediate Data'!$Y160,0)=-99,"N/A",OFFSET(N$55,'Intermediate Data'!$Y160,0))))</f>
        <v>N/A</v>
      </c>
      <c r="AM160" s="90" t="str">
        <f ca="1">IF($Y160="","",IF(OFFSET(O$55,'Intermediate Data'!$Y160,0)=-98,"N/A",IF(OFFSET(O$55,'Intermediate Data'!$Y160,0)=-99,"N/A",OFFSET(O$55,'Intermediate Data'!$Y160,0))))</f>
        <v>N/A</v>
      </c>
      <c r="AN160" s="90" t="str">
        <f ca="1">IF($Y160="","",IF(OFFSET(P$55,'Intermediate Data'!$Y160,0)=-98,"N/A",IF(OFFSET(P$55,'Intermediate Data'!$Y160,0)=-99,"N/A",OFFSET(P$55,'Intermediate Data'!$Y160,0))))</f>
        <v>N/A</v>
      </c>
      <c r="AO160" s="90" t="str">
        <f ca="1">IF($Y160="","",IF(OFFSET(Q$55,'Intermediate Data'!$Y160,0)=-98,"N/A",IF(OFFSET(Q$55,'Intermediate Data'!$Y160,0)=-99,"N/A",OFFSET(Q$55,'Intermediate Data'!$Y160,0))))</f>
        <v/>
      </c>
      <c r="AP160" s="697" t="str">
        <f ca="1">IF($Y160="","",IF(OFFSET(S$55,'Intermediate Data'!$Y160,0)=-98,"",IF(OFFSET(S$55,'Intermediate Data'!$Y160,0)=-99,"",OFFSET(S$55,'Intermediate Data'!$Y160,0))))</f>
        <v/>
      </c>
      <c r="AQ160" s="90" t="str">
        <f ca="1">IF($Y160="","",IF(OFFSET(T$55,'Intermediate Data'!$Y160,0)=-98,"Not published",IF(OFFSET(T$55,'Intermediate Data'!$Y160,0)=-99,"",OFFSET(T$55,'Intermediate Data'!$Y160,0))))</f>
        <v/>
      </c>
      <c r="AR160" s="90" t="str">
        <f ca="1">IF($Y160="","",IF(OFFSET(U$55,'Intermediate Data'!$Y160,0)=-98,"Unknown",IF(OFFSET(U$55,'Intermediate Data'!$Y160,0)=-99,"",OFFSET(U$55,'Intermediate Data'!$Y160,0))))</f>
        <v/>
      </c>
      <c r="AU160" s="112" t="str">
        <f ca="1">IF(AND(OFFSET(DATA!$F109,0,$AX$48)='Intermediate Data'!$AY$48,DATA!$E109="Tier 1"),IF(OR($AX$49=0,$AX$48=1),DATA!A109,IF(AND($AX$49=1,INDEX('Intermediate Data'!$AY$25:$AY$44,MATCH(DATA!$B109,'Intermediate Data'!$AX$25:$AX$44,0))=TRUE),DATA!A109,"")),"")</f>
        <v/>
      </c>
      <c r="AV160" s="112" t="str">
        <f ca="1">IF($AU160="","",DATA!B109)</f>
        <v/>
      </c>
      <c r="AW160" s="112" t="str">
        <f ca="1">IF(OR($AU160="",DATA!BI109=""),"",DATA!BI109)</f>
        <v/>
      </c>
      <c r="AX160" s="112" t="str">
        <f ca="1">IF(OR($AU160="",OFFSET(DATA!BK109,0,$AX$48)=""),"",OFFSET(DATA!BK109,0,$AX$48))</f>
        <v/>
      </c>
      <c r="AY160" s="112" t="str">
        <f ca="1">IF(OR($AU160="",OFFSET(DATA!BM109,0,$AX$48)=""),"",OFFSET(DATA!BM109,0,$AX$48))</f>
        <v/>
      </c>
      <c r="AZ160" s="112" t="str">
        <f ca="1">IF(OR($AU160="",OFFSET(DATA!BO109,0,'Intermediate Data'!$AX$48)=""),"",OFFSET(DATA!BO109,0,$AX$48))</f>
        <v/>
      </c>
      <c r="BA160" s="112" t="str">
        <f ca="1">IF(OR($AU160="",DATA!BQ109=""),"",DATA!BQ109)</f>
        <v/>
      </c>
      <c r="BB160" s="112" t="str">
        <f ca="1">IF($AU160="","",OFFSET(DATA!BS109,0,$AX$48))</f>
        <v/>
      </c>
      <c r="BC160" s="112" t="str">
        <f ca="1">IF($AU160="","",OFFSET(DATA!BU109,0,$AX$48))</f>
        <v/>
      </c>
      <c r="BD160" s="112" t="str">
        <f ca="1">IF($AU160="","",OFFSET(DATA!BW109,0,$AX$48))</f>
        <v/>
      </c>
      <c r="BE160" s="112" t="str">
        <f ca="1">IF($AU160="","",OFFSET(DATA!BY109,0,$AX$48))</f>
        <v/>
      </c>
      <c r="BF160" s="112" t="str">
        <f ca="1">IF($AU160="","",OFFSET(DATA!CA109,0,$AX$48))</f>
        <v/>
      </c>
      <c r="BG160" s="112" t="str">
        <f ca="1">IF($AU160="","",DATA!CC109)</f>
        <v/>
      </c>
      <c r="BH160" s="112" t="str">
        <f ca="1">IF($AU160="","",OFFSET(DATA!CE109,0,$AX$48))</f>
        <v/>
      </c>
      <c r="BI160" s="112" t="str">
        <f ca="1">IF($AU160="","",OFFSET(DATA!CG109,0,$AX$48))</f>
        <v/>
      </c>
      <c r="BJ160" s="112" t="str">
        <f ca="1">IF($AU160="","",OFFSET(DATA!CI109,0,$AX$48))</f>
        <v/>
      </c>
      <c r="BK160" s="112" t="str">
        <f ca="1">IF($AU160="","",OFFSET(DATA!CK109,0,$AX$48))</f>
        <v/>
      </c>
      <c r="BL160" s="112" t="str">
        <f ca="1">IF($AU160="","",OFFSET(DATA!CM109,0,$AX$48))</f>
        <v/>
      </c>
      <c r="BM160" s="112" t="str">
        <f ca="1">IF($AU160="","",DATA!BH109)</f>
        <v/>
      </c>
      <c r="BN160" s="112" t="str">
        <f ca="1">IF($AU160="","",DATA!DS109)</f>
        <v/>
      </c>
      <c r="BO160" s="112" t="str">
        <f ca="1">IF($AU160="","",DATA!DU109)</f>
        <v/>
      </c>
      <c r="BP160" s="112" t="str">
        <f ca="1">IF($AU160="","",DATA!DV109)</f>
        <v/>
      </c>
      <c r="BQ160" s="112" t="str">
        <f ca="1">IF($AU160="","",DATA!DX109)</f>
        <v/>
      </c>
      <c r="BR160" s="112" t="str">
        <f ca="1">IF($AU160="","",DATA!DZ109)</f>
        <v/>
      </c>
      <c r="BS160" s="171" t="str">
        <f ca="1">IF($AU160="","",DATA!EA109)</f>
        <v/>
      </c>
      <c r="BT160" s="171" t="str">
        <f ca="1">IF($AU160="","",DATA!EC109)</f>
        <v/>
      </c>
      <c r="BU160" s="171" t="str">
        <f ca="1">IF($AU160="","",DATA!EF109)</f>
        <v/>
      </c>
      <c r="BV160" s="113" t="str">
        <f t="shared" ca="1" si="24"/>
        <v/>
      </c>
      <c r="BW160" s="680" t="str">
        <f ca="1">IF(AU160="","",OFFSET(DATA!DC109,0,'Intermediate Data'!$AX$48))</f>
        <v/>
      </c>
      <c r="BX160" s="681" t="str">
        <f ca="1">IF($AU160="","",DATA!DG109)</f>
        <v/>
      </c>
      <c r="BY160" s="680" t="str">
        <f ca="1">IF($AU160="","",OFFSET(DATA!DE109,0,'Intermediate Data'!$AX$48))</f>
        <v/>
      </c>
      <c r="BZ160" s="681" t="str">
        <f ca="1">IF($AU160="","",DATA!DH109)</f>
        <v/>
      </c>
      <c r="CA160" s="90" t="str">
        <f t="shared" ca="1" si="25"/>
        <v/>
      </c>
      <c r="CB160" s="99" t="str">
        <f t="shared" ca="1" si="26"/>
        <v/>
      </c>
      <c r="CC160" s="90" t="str">
        <f t="shared" ca="1" si="27"/>
        <v/>
      </c>
      <c r="CD160" s="90" t="str">
        <f t="shared" ca="1" si="28"/>
        <v/>
      </c>
      <c r="CF160" s="90" t="str">
        <f ca="1">IF($CD160="","",IF(OFFSET(AV$55,'Intermediate Data'!$CD160,0)=-98,"Unknown",IF(OFFSET(AV$55,'Intermediate Data'!$CD160,0)=-99,"N/A",OFFSET(AV$55,'Intermediate Data'!$CD160,0))))</f>
        <v/>
      </c>
      <c r="CG160" s="90" t="str">
        <f ca="1">IF($CD160="","",IF(OFFSET(AW$55,'Intermediate Data'!$CD160,0)=-98,"",IF(OFFSET(AW$55,'Intermediate Data'!$CD160,0)=-99,"N/A",OFFSET(AW$55,'Intermediate Data'!$CD160,0))))</f>
        <v/>
      </c>
      <c r="CH160" s="90" t="str">
        <f ca="1">IF($CD160="","",IF(OFFSET(AX$55,'Intermediate Data'!$CD160,0)=-98,"Unknown",IF(OFFSET(AX$55,'Intermediate Data'!$CD160,0)=-99,"N/A",OFFSET(AX$55,'Intermediate Data'!$CD160,0))))</f>
        <v/>
      </c>
      <c r="CI160" s="125" t="str">
        <f ca="1">IF($CD160="","",IF(OFFSET(AY$55,'Intermediate Data'!$CD160,0)=-98,"Unknown",IF(OFFSET(AY$55,'Intermediate Data'!$CD160,0)=-99,"No spec",OFFSET(AY$55,'Intermediate Data'!$CD160,0))))</f>
        <v/>
      </c>
      <c r="CJ160" s="125" t="str">
        <f ca="1">IF($CD160="","",IF(OFFSET(AZ$55,'Intermediate Data'!$CD160,0)=-98,"Unknown",IF(OFFSET(AZ$55,'Intermediate Data'!$CD160,0)=-99,"N/A",OFFSET(AZ$55,'Intermediate Data'!$CD160,0))))</f>
        <v/>
      </c>
      <c r="CK160" s="90" t="str">
        <f ca="1">IF($CD160="","",IF(OFFSET(BA$55,'Intermediate Data'!$CD160,0)=-98,"Unknown",IF(OFFSET(BA$55,'Intermediate Data'!$CD160,0)=-99,"N/A",OFFSET(BA$55,'Intermediate Data'!$CD160,0))))</f>
        <v/>
      </c>
      <c r="CL160" s="90" t="str">
        <f ca="1">IF($CD160="","",IF(OFFSET(BB$55,'Intermediate Data'!$CD160,$AX$50)=-98,"Unknown",IF(OFFSET(BB$55,'Intermediate Data'!$CD160,$AX$50)="N/A","",OFFSET(BB$55,'Intermediate Data'!$CD160,$AX$50))))</f>
        <v/>
      </c>
      <c r="CM160" s="90" t="str">
        <f ca="1">IF($CD160="","",IF(OFFSET(BG$55,'Intermediate Data'!$CD160,0)="ET","ET",""))</f>
        <v/>
      </c>
      <c r="CN160" s="90" t="str">
        <f ca="1">IF($CD160="","",IF(OFFSET(BH$55,'Intermediate Data'!$CD160,$AX$50)=-98,"Unknown",IF(OFFSET(BH$55,'Intermediate Data'!$CD160,$AX$50)="N/A","",OFFSET(BH$55,'Intermediate Data'!$CD160,$AX$50))))</f>
        <v/>
      </c>
      <c r="CO160" s="90" t="str">
        <f ca="1">IF($CD160="","",IF(OFFSET(BM$55,'Intermediate Data'!$CD160,0)=-98,"Not published",IF(OFFSET(BM$55,'Intermediate Data'!$CD160,0)=-99,"No spec",OFFSET(BM$55,'Intermediate Data'!$CD160,0))))</f>
        <v/>
      </c>
      <c r="CP160" s="114" t="str">
        <f ca="1">IF($CD160="","",IF(OFFSET(BN$55,'Intermediate Data'!$CD160,0)=-98,"Unknown",IF(OFFSET(BN$55,'Intermediate Data'!$CD160,0)=-99,"N/A",OFFSET(BN$55,'Intermediate Data'!$CD160,0))))</f>
        <v/>
      </c>
      <c r="CQ160" s="114" t="str">
        <f ca="1">IF($CD160="","",IF(OFFSET(BO$55,'Intermediate Data'!$CD160,0)=-98,"Unknown",IF(OFFSET(BO$55,'Intermediate Data'!$CD160,0)=-99,"N/A",OFFSET(BO$55,'Intermediate Data'!$CD160,0))))</f>
        <v/>
      </c>
      <c r="CR160" s="114" t="str">
        <f ca="1">IF($CD160="","",IF(OFFSET(BP$55,'Intermediate Data'!$CD160,0)=-98,"Unknown",IF(OFFSET(BP$55,'Intermediate Data'!$CD160,0)=-99,"N/A",OFFSET(BP$55,'Intermediate Data'!$CD160,0))))</f>
        <v/>
      </c>
      <c r="CS160" s="114" t="str">
        <f ca="1">IF($CD160="","",IF(OFFSET(BQ$55,'Intermediate Data'!$CD160,0)=-98,"Unknown",IF(OFFSET(BQ$55,'Intermediate Data'!$CD160,0)=-99,"N/A",OFFSET(BQ$55,'Intermediate Data'!$CD160,0))))</f>
        <v/>
      </c>
      <c r="CT160" s="114" t="str">
        <f ca="1">IF($CD160="","",IF(OFFSET(BR$55,'Intermediate Data'!$CD160,0)=-98,"Unknown",IF(OFFSET(BR$55,'Intermediate Data'!$CD160,0)=-99,"N/A",OFFSET(BR$55,'Intermediate Data'!$CD160,0))))</f>
        <v/>
      </c>
      <c r="CU160" s="114" t="str">
        <f ca="1">IF($CD160="","",IF(OFFSET(BS$55,'Intermediate Data'!$CD160,0)=-98,"Unknown",IF(OFFSET(BS$55,'Intermediate Data'!$CD160,0)=-99,"N/A",OFFSET(BS$55,'Intermediate Data'!$CD160,0))))</f>
        <v/>
      </c>
      <c r="CV160" s="114" t="str">
        <f ca="1">IF($CD160="","",IF(OFFSET(BT$55,'Intermediate Data'!$CD160,0)=-98,"Unknown",IF(OFFSET(BT$55,'Intermediate Data'!$CD160,0)=-99,"N/A",OFFSET(BT$55,'Intermediate Data'!$CD160,0))))</f>
        <v/>
      </c>
      <c r="CW160" s="114" t="str">
        <f ca="1">IF($CD160="","",IF(OFFSET(BU$55,'Intermediate Data'!$CD160,0)=-98,"Unknown",IF(OFFSET(BU$55,'Intermediate Data'!$CD160,0)=-99,"N/A",OFFSET(BU$55,'Intermediate Data'!$CD160,0))))</f>
        <v/>
      </c>
      <c r="CX160" s="114" t="str">
        <f ca="1">IF($CD160="","",IF(OFFSET(BV$55,'Intermediate Data'!$CD160,0)=-98,"Unknown",IF(OFFSET(BV$55,'Intermediate Data'!$CD160,0)=-99,"N/A",OFFSET(BV$55,'Intermediate Data'!$CD160,0))))</f>
        <v/>
      </c>
      <c r="CY160" s="682" t="str">
        <f ca="1">IF($CD160="","",IF(OFFSET(BW$55,'Intermediate Data'!$CD160,0)=-98,"Unknown",IF(OFFSET(BW$55,'Intermediate Data'!$CD160,0)="N/A","",OFFSET(BW$55,'Intermediate Data'!$CD160,0))))</f>
        <v/>
      </c>
      <c r="CZ160" s="682" t="str">
        <f ca="1">IF($CD160="","",IF(OFFSET(BX$55,'Intermediate Data'!$CD160,0)=-98,"Unknown",IF(OFFSET(BX$55,'Intermediate Data'!$CD160,0)="N/A","",OFFSET(BX$55,'Intermediate Data'!$CD160,0))))</f>
        <v/>
      </c>
      <c r="DA160" s="682" t="str">
        <f ca="1">IF($CD160="","",IF(OFFSET(BY$55,'Intermediate Data'!$CD160,0)=-98,"Unknown",IF(OFFSET(BY$55,'Intermediate Data'!$CD160,0)="N/A","",OFFSET(BY$55,'Intermediate Data'!$CD160,0))))</f>
        <v/>
      </c>
      <c r="DB160" s="682" t="str">
        <f ca="1">IF($CD160="","",IF(OFFSET(BZ$55,'Intermediate Data'!$CD160,0)=-98,"Unknown",IF(OFFSET(BZ$55,'Intermediate Data'!$CD160,0)="N/A","",OFFSET(BZ$55,'Intermediate Data'!$CD160,0))))</f>
        <v/>
      </c>
    </row>
    <row r="161" spans="1:106" x14ac:dyDescent="0.2">
      <c r="A161" s="90">
        <f ca="1">IF(OFFSET(DATA!F110,0,$D$48)='Intermediate Data'!$E$48,IF(OR($E$49=$C$27,$E$48=$B$4),DATA!A110,IF($G$49=DATA!D110,DATA!A110,"")),"")</f>
        <v>106</v>
      </c>
      <c r="B161" s="90">
        <f ca="1">IF($A161="","",DATA!EH110)</f>
        <v>100</v>
      </c>
      <c r="C161" s="90" t="str">
        <f ca="1">IF($A161="","",DATA!B110)</f>
        <v>Electric car</v>
      </c>
      <c r="D161" s="90">
        <f ca="1">IF($A161="","",OFFSET(DATA!$H110,0,($D$50*5)))</f>
        <v>-99</v>
      </c>
      <c r="E161" s="90">
        <f ca="1">IF($A161="","",OFFSET(DATA!$H110,0,($D$50*5)+1))</f>
        <v>-99</v>
      </c>
      <c r="F161" s="90">
        <f ca="1">IF($A161="","",OFFSET(DATA!$H110,0,($D$50*5)+2))</f>
        <v>-99</v>
      </c>
      <c r="G161" s="90">
        <f ca="1">IF($A161="","",OFFSET(DATA!$H110,0,($D$50*5)+3))</f>
        <v>-99</v>
      </c>
      <c r="H161" s="90">
        <f ca="1">IF($A161="","",OFFSET(DATA!$H110,0,($D$50*5)+4))</f>
        <v>-99</v>
      </c>
      <c r="I161" s="90">
        <f t="shared" ca="1" si="17"/>
        <v>-99</v>
      </c>
      <c r="J161" s="90" t="str">
        <f t="shared" ca="1" si="18"/>
        <v/>
      </c>
      <c r="K161" s="90">
        <f ca="1">IF($A161="","",OFFSET(DATA!$AG110,0,($D$50*5)))</f>
        <v>-99</v>
      </c>
      <c r="L161" s="90">
        <f ca="1">IF($A161="","",OFFSET(DATA!$AG110,0,($D$50*5)+1))</f>
        <v>-99</v>
      </c>
      <c r="M161" s="90">
        <f ca="1">IF($A161="","",OFFSET(DATA!$AG110,0,($D$50*5)+2))</f>
        <v>-99</v>
      </c>
      <c r="N161" s="90">
        <f ca="1">IF($A161="","",OFFSET(DATA!$AG110,0,($D$50*5)+3))</f>
        <v>-99</v>
      </c>
      <c r="O161" s="90">
        <f ca="1">IF($A161="","",OFFSET(DATA!$AG110,0,($D$50*5)+4))</f>
        <v>-99</v>
      </c>
      <c r="P161" s="90">
        <f t="shared" ca="1" si="19"/>
        <v>-99</v>
      </c>
      <c r="Q161" s="90" t="str">
        <f t="shared" ca="1" si="20"/>
        <v/>
      </c>
      <c r="R161" s="699">
        <f ca="1">IF($A161="","",IF(DATA!BF110="",-99,DATA!BF110))</f>
        <v>-99</v>
      </c>
      <c r="S161" s="90">
        <f ca="1">IF($A161="","",IF(DATA!BG110="",-99,DATA!BF110-DATA!BG110))</f>
        <v>-99</v>
      </c>
      <c r="T161" s="90">
        <f ca="1">IF($A161="","",DATA!BH110)</f>
        <v>-99</v>
      </c>
      <c r="U161" s="90">
        <f ca="1">IF($A161="","",OFFSET(DATA!BM110,0,$D$48))</f>
        <v>-99</v>
      </c>
      <c r="V161" s="90">
        <f t="shared" ca="1" si="29"/>
        <v>100</v>
      </c>
      <c r="W161" s="99">
        <f t="shared" ca="1" si="21"/>
        <v>99.999881201610009</v>
      </c>
      <c r="X161" s="112">
        <f t="shared" ca="1" si="22"/>
        <v>22.999901572519999</v>
      </c>
      <c r="Y161" s="90">
        <f t="shared" ca="1" si="23"/>
        <v>97</v>
      </c>
      <c r="AA161" s="90" t="str">
        <f ca="1">IF($Y161="","",IF(OFFSET(C$55,'Intermediate Data'!$Y161,0)=-98,"Unknown",IF(OFFSET(C$55,'Intermediate Data'!$Y161,0)=-99,"N/A",OFFSET(C$55,'Intermediate Data'!$Y161,0))))</f>
        <v>Telephone</v>
      </c>
      <c r="AB161" s="90" t="str">
        <f ca="1">IF($Y161="","",IF(OFFSET(D$55,'Intermediate Data'!$Y161,0)=-98,"N/A",IF(OFFSET(D$55,'Intermediate Data'!$Y161,0)=-99,"N/A",OFFSET(D$55,'Intermediate Data'!$Y161,0))))</f>
        <v>N/A</v>
      </c>
      <c r="AC161" s="90" t="str">
        <f ca="1">IF($Y161="","",IF(OFFSET(E$55,'Intermediate Data'!$Y161,0)=-98,"N/A",IF(OFFSET(E$55,'Intermediate Data'!$Y161,0)=-99,"N/A",OFFSET(E$55,'Intermediate Data'!$Y161,0))))</f>
        <v>N/A</v>
      </c>
      <c r="AD161" s="90" t="str">
        <f ca="1">IF($Y161="","",IF(OFFSET(F$55,'Intermediate Data'!$Y161,0)=-98,"N/A",IF(OFFSET(F$55,'Intermediate Data'!$Y161,0)=-99,"N/A",OFFSET(F$55,'Intermediate Data'!$Y161,0))))</f>
        <v>N/A</v>
      </c>
      <c r="AE161" s="90" t="str">
        <f ca="1">IF($Y161="","",IF(OFFSET(G$55,'Intermediate Data'!$Y161,0)=-98,"N/A",IF(OFFSET(G$55,'Intermediate Data'!$Y161,0)=-99,"N/A",OFFSET(G$55,'Intermediate Data'!$Y161,0))))</f>
        <v>N/A</v>
      </c>
      <c r="AF161" s="90" t="str">
        <f ca="1">IF($Y161="","",IF(OFFSET(H$55,'Intermediate Data'!$Y161,0)=-98,"N/A",IF(OFFSET(H$55,'Intermediate Data'!$Y161,0)=-99,"N/A",OFFSET(H$55,'Intermediate Data'!$Y161,0))))</f>
        <v>N/A</v>
      </c>
      <c r="AG161" s="90" t="str">
        <f ca="1">IF($Y161="","",IF(OFFSET(I$55,'Intermediate Data'!$Y161,0)=-98,"N/A",IF(OFFSET(I$55,'Intermediate Data'!$Y161,0)=-99,"N/A",OFFSET(I$55,'Intermediate Data'!$Y161,0))))</f>
        <v>N/A</v>
      </c>
      <c r="AH161" s="90" t="str">
        <f ca="1">IF($Y161="","",IF(OFFSET(J$55,'Intermediate Data'!$Y161,0)=-98,"N/A",IF(OFFSET(J$55,'Intermediate Data'!$Y161,0)=-99,"N/A",OFFSET(J$55,'Intermediate Data'!$Y161,0))))</f>
        <v/>
      </c>
      <c r="AI161" s="90" t="str">
        <f ca="1">IF($Y161="","",IF(OFFSET(K$55,'Intermediate Data'!$Y161,0)=-98,"N/A",IF(OFFSET(K$55,'Intermediate Data'!$Y161,0)=-99,"N/A",OFFSET(K$55,'Intermediate Data'!$Y161,0))))</f>
        <v>N/A</v>
      </c>
      <c r="AJ161" s="90" t="str">
        <f ca="1">IF($Y161="","",IF(OFFSET(L$55,'Intermediate Data'!$Y161,0)=-98,"N/A",IF(OFFSET(L$55,'Intermediate Data'!$Y161,0)=-99,"N/A",OFFSET(L$55,'Intermediate Data'!$Y161,0))))</f>
        <v>N/A</v>
      </c>
      <c r="AK161" s="90" t="str">
        <f ca="1">IF($Y161="","",IF(OFFSET(M$55,'Intermediate Data'!$Y161,0)=-98,"N/A",IF(OFFSET(M$55,'Intermediate Data'!$Y161,0)=-99,"N/A",OFFSET(M$55,'Intermediate Data'!$Y161,0))))</f>
        <v>N/A</v>
      </c>
      <c r="AL161" s="90" t="str">
        <f ca="1">IF($Y161="","",IF(OFFSET(N$55,'Intermediate Data'!$Y161,0)=-98,"N/A",IF(OFFSET(N$55,'Intermediate Data'!$Y161,0)=-99,"N/A",OFFSET(N$55,'Intermediate Data'!$Y161,0))))</f>
        <v>N/A</v>
      </c>
      <c r="AM161" s="90" t="str">
        <f ca="1">IF($Y161="","",IF(OFFSET(O$55,'Intermediate Data'!$Y161,0)=-98,"N/A",IF(OFFSET(O$55,'Intermediate Data'!$Y161,0)=-99,"N/A",OFFSET(O$55,'Intermediate Data'!$Y161,0))))</f>
        <v>N/A</v>
      </c>
      <c r="AN161" s="90" t="str">
        <f ca="1">IF($Y161="","",IF(OFFSET(P$55,'Intermediate Data'!$Y161,0)=-98,"N/A",IF(OFFSET(P$55,'Intermediate Data'!$Y161,0)=-99,"N/A",OFFSET(P$55,'Intermediate Data'!$Y161,0))))</f>
        <v>N/A</v>
      </c>
      <c r="AO161" s="90" t="str">
        <f ca="1">IF($Y161="","",IF(OFFSET(Q$55,'Intermediate Data'!$Y161,0)=-98,"N/A",IF(OFFSET(Q$55,'Intermediate Data'!$Y161,0)=-99,"N/A",OFFSET(Q$55,'Intermediate Data'!$Y161,0))))</f>
        <v/>
      </c>
      <c r="AP161" s="697" t="str">
        <f ca="1">IF($Y161="","",IF(OFFSET(S$55,'Intermediate Data'!$Y161,0)=-98,"",IF(OFFSET(S$55,'Intermediate Data'!$Y161,0)=-99,"",OFFSET(S$55,'Intermediate Data'!$Y161,0))))</f>
        <v/>
      </c>
      <c r="AQ161" s="90">
        <f ca="1">IF($Y161="","",IF(OFFSET(T$55,'Intermediate Data'!$Y161,0)=-98,"Not published",IF(OFFSET(T$55,'Intermediate Data'!$Y161,0)=-99,"",OFFSET(T$55,'Intermediate Data'!$Y161,0))))</f>
        <v>0.71</v>
      </c>
      <c r="AR161" s="90">
        <f ca="1">IF($Y161="","",IF(OFFSET(U$55,'Intermediate Data'!$Y161,0)=-98,"Unknown",IF(OFFSET(U$55,'Intermediate Data'!$Y161,0)=-99,"",OFFSET(U$55,'Intermediate Data'!$Y161,0))))</f>
        <v>5</v>
      </c>
      <c r="AU161" s="112" t="str">
        <f ca="1">IF(AND(OFFSET(DATA!$F110,0,$AX$48)='Intermediate Data'!$AY$48,DATA!$E110="Tier 1"),IF(OR($AX$49=0,$AX$48=1),DATA!A110,IF(AND($AX$49=1,INDEX('Intermediate Data'!$AY$25:$AY$44,MATCH(DATA!$B110,'Intermediate Data'!$AX$25:$AX$44,0))=TRUE),DATA!A110,"")),"")</f>
        <v/>
      </c>
      <c r="AV161" s="112" t="str">
        <f ca="1">IF($AU161="","",DATA!B110)</f>
        <v/>
      </c>
      <c r="AW161" s="112" t="str">
        <f ca="1">IF(OR($AU161="",DATA!BI110=""),"",DATA!BI110)</f>
        <v/>
      </c>
      <c r="AX161" s="112" t="str">
        <f ca="1">IF(OR($AU161="",OFFSET(DATA!BK110,0,$AX$48)=""),"",OFFSET(DATA!BK110,0,$AX$48))</f>
        <v/>
      </c>
      <c r="AY161" s="112" t="str">
        <f ca="1">IF(OR($AU161="",OFFSET(DATA!BM110,0,$AX$48)=""),"",OFFSET(DATA!BM110,0,$AX$48))</f>
        <v/>
      </c>
      <c r="AZ161" s="112" t="str">
        <f ca="1">IF(OR($AU161="",OFFSET(DATA!BO110,0,'Intermediate Data'!$AX$48)=""),"",OFFSET(DATA!BO110,0,$AX$48))</f>
        <v/>
      </c>
      <c r="BA161" s="112" t="str">
        <f ca="1">IF(OR($AU161="",DATA!BQ110=""),"",DATA!BQ110)</f>
        <v/>
      </c>
      <c r="BB161" s="112" t="str">
        <f ca="1">IF($AU161="","",OFFSET(DATA!BS110,0,$AX$48))</f>
        <v/>
      </c>
      <c r="BC161" s="112" t="str">
        <f ca="1">IF($AU161="","",OFFSET(DATA!BU110,0,$AX$48))</f>
        <v/>
      </c>
      <c r="BD161" s="112" t="str">
        <f ca="1">IF($AU161="","",OFFSET(DATA!BW110,0,$AX$48))</f>
        <v/>
      </c>
      <c r="BE161" s="112" t="str">
        <f ca="1">IF($AU161="","",OFFSET(DATA!BY110,0,$AX$48))</f>
        <v/>
      </c>
      <c r="BF161" s="112" t="str">
        <f ca="1">IF($AU161="","",OFFSET(DATA!CA110,0,$AX$48))</f>
        <v/>
      </c>
      <c r="BG161" s="112" t="str">
        <f ca="1">IF($AU161="","",DATA!CC110)</f>
        <v/>
      </c>
      <c r="BH161" s="112" t="str">
        <f ca="1">IF($AU161="","",OFFSET(DATA!CE110,0,$AX$48))</f>
        <v/>
      </c>
      <c r="BI161" s="112" t="str">
        <f ca="1">IF($AU161="","",OFFSET(DATA!CG110,0,$AX$48))</f>
        <v/>
      </c>
      <c r="BJ161" s="112" t="str">
        <f ca="1">IF($AU161="","",OFFSET(DATA!CI110,0,$AX$48))</f>
        <v/>
      </c>
      <c r="BK161" s="112" t="str">
        <f ca="1">IF($AU161="","",OFFSET(DATA!CK110,0,$AX$48))</f>
        <v/>
      </c>
      <c r="BL161" s="112" t="str">
        <f ca="1">IF($AU161="","",OFFSET(DATA!CM110,0,$AX$48))</f>
        <v/>
      </c>
      <c r="BM161" s="112" t="str">
        <f ca="1">IF($AU161="","",DATA!BH110)</f>
        <v/>
      </c>
      <c r="BN161" s="112" t="str">
        <f ca="1">IF($AU161="","",DATA!DS110)</f>
        <v/>
      </c>
      <c r="BO161" s="112" t="str">
        <f ca="1">IF($AU161="","",DATA!DU110)</f>
        <v/>
      </c>
      <c r="BP161" s="112" t="str">
        <f ca="1">IF($AU161="","",DATA!DV110)</f>
        <v/>
      </c>
      <c r="BQ161" s="112" t="str">
        <f ca="1">IF($AU161="","",DATA!DX110)</f>
        <v/>
      </c>
      <c r="BR161" s="112" t="str">
        <f ca="1">IF($AU161="","",DATA!DZ110)</f>
        <v/>
      </c>
      <c r="BS161" s="171" t="str">
        <f ca="1">IF($AU161="","",DATA!EA110)</f>
        <v/>
      </c>
      <c r="BT161" s="171" t="str">
        <f ca="1">IF($AU161="","",DATA!EC110)</f>
        <v/>
      </c>
      <c r="BU161" s="171" t="str">
        <f ca="1">IF($AU161="","",DATA!EF110)</f>
        <v/>
      </c>
      <c r="BV161" s="113" t="str">
        <f t="shared" ca="1" si="24"/>
        <v/>
      </c>
      <c r="BW161" s="680" t="str">
        <f ca="1">IF(AU161="","",OFFSET(DATA!DC110,0,'Intermediate Data'!$AX$48))</f>
        <v/>
      </c>
      <c r="BX161" s="681" t="str">
        <f ca="1">IF($AU161="","",DATA!DG110)</f>
        <v/>
      </c>
      <c r="BY161" s="680" t="str">
        <f ca="1">IF($AU161="","",OFFSET(DATA!DE110,0,'Intermediate Data'!$AX$48))</f>
        <v/>
      </c>
      <c r="BZ161" s="681" t="str">
        <f ca="1">IF($AU161="","",DATA!DH110)</f>
        <v/>
      </c>
      <c r="CA161" s="90" t="str">
        <f t="shared" ca="1" si="25"/>
        <v/>
      </c>
      <c r="CB161" s="99" t="str">
        <f t="shared" ca="1" si="26"/>
        <v/>
      </c>
      <c r="CC161" s="90" t="str">
        <f t="shared" ca="1" si="27"/>
        <v/>
      </c>
      <c r="CD161" s="90" t="str">
        <f t="shared" ca="1" si="28"/>
        <v/>
      </c>
      <c r="CF161" s="90" t="str">
        <f ca="1">IF($CD161="","",IF(OFFSET(AV$55,'Intermediate Data'!$CD161,0)=-98,"Unknown",IF(OFFSET(AV$55,'Intermediate Data'!$CD161,0)=-99,"N/A",OFFSET(AV$55,'Intermediate Data'!$CD161,0))))</f>
        <v/>
      </c>
      <c r="CG161" s="90" t="str">
        <f ca="1">IF($CD161="","",IF(OFFSET(AW$55,'Intermediate Data'!$CD161,0)=-98,"",IF(OFFSET(AW$55,'Intermediate Data'!$CD161,0)=-99,"N/A",OFFSET(AW$55,'Intermediate Data'!$CD161,0))))</f>
        <v/>
      </c>
      <c r="CH161" s="90" t="str">
        <f ca="1">IF($CD161="","",IF(OFFSET(AX$55,'Intermediate Data'!$CD161,0)=-98,"Unknown",IF(OFFSET(AX$55,'Intermediate Data'!$CD161,0)=-99,"N/A",OFFSET(AX$55,'Intermediate Data'!$CD161,0))))</f>
        <v/>
      </c>
      <c r="CI161" s="125" t="str">
        <f ca="1">IF($CD161="","",IF(OFFSET(AY$55,'Intermediate Data'!$CD161,0)=-98,"Unknown",IF(OFFSET(AY$55,'Intermediate Data'!$CD161,0)=-99,"No spec",OFFSET(AY$55,'Intermediate Data'!$CD161,0))))</f>
        <v/>
      </c>
      <c r="CJ161" s="125" t="str">
        <f ca="1">IF($CD161="","",IF(OFFSET(AZ$55,'Intermediate Data'!$CD161,0)=-98,"Unknown",IF(OFFSET(AZ$55,'Intermediate Data'!$CD161,0)=-99,"N/A",OFFSET(AZ$55,'Intermediate Data'!$CD161,0))))</f>
        <v/>
      </c>
      <c r="CK161" s="90" t="str">
        <f ca="1">IF($CD161="","",IF(OFFSET(BA$55,'Intermediate Data'!$CD161,0)=-98,"Unknown",IF(OFFSET(BA$55,'Intermediate Data'!$CD161,0)=-99,"N/A",OFFSET(BA$55,'Intermediate Data'!$CD161,0))))</f>
        <v/>
      </c>
      <c r="CL161" s="90" t="str">
        <f ca="1">IF($CD161="","",IF(OFFSET(BB$55,'Intermediate Data'!$CD161,$AX$50)=-98,"Unknown",IF(OFFSET(BB$55,'Intermediate Data'!$CD161,$AX$50)="N/A","",OFFSET(BB$55,'Intermediate Data'!$CD161,$AX$50))))</f>
        <v/>
      </c>
      <c r="CM161" s="90" t="str">
        <f ca="1">IF($CD161="","",IF(OFFSET(BG$55,'Intermediate Data'!$CD161,0)="ET","ET",""))</f>
        <v/>
      </c>
      <c r="CN161" s="90" t="str">
        <f ca="1">IF($CD161="","",IF(OFFSET(BH$55,'Intermediate Data'!$CD161,$AX$50)=-98,"Unknown",IF(OFFSET(BH$55,'Intermediate Data'!$CD161,$AX$50)="N/A","",OFFSET(BH$55,'Intermediate Data'!$CD161,$AX$50))))</f>
        <v/>
      </c>
      <c r="CO161" s="90" t="str">
        <f ca="1">IF($CD161="","",IF(OFFSET(BM$55,'Intermediate Data'!$CD161,0)=-98,"Not published",IF(OFFSET(BM$55,'Intermediate Data'!$CD161,0)=-99,"No spec",OFFSET(BM$55,'Intermediate Data'!$CD161,0))))</f>
        <v/>
      </c>
      <c r="CP161" s="114" t="str">
        <f ca="1">IF($CD161="","",IF(OFFSET(BN$55,'Intermediate Data'!$CD161,0)=-98,"Unknown",IF(OFFSET(BN$55,'Intermediate Data'!$CD161,0)=-99,"N/A",OFFSET(BN$55,'Intermediate Data'!$CD161,0))))</f>
        <v/>
      </c>
      <c r="CQ161" s="114" t="str">
        <f ca="1">IF($CD161="","",IF(OFFSET(BO$55,'Intermediate Data'!$CD161,0)=-98,"Unknown",IF(OFFSET(BO$55,'Intermediate Data'!$CD161,0)=-99,"N/A",OFFSET(BO$55,'Intermediate Data'!$CD161,0))))</f>
        <v/>
      </c>
      <c r="CR161" s="114" t="str">
        <f ca="1">IF($CD161="","",IF(OFFSET(BP$55,'Intermediate Data'!$CD161,0)=-98,"Unknown",IF(OFFSET(BP$55,'Intermediate Data'!$CD161,0)=-99,"N/A",OFFSET(BP$55,'Intermediate Data'!$CD161,0))))</f>
        <v/>
      </c>
      <c r="CS161" s="114" t="str">
        <f ca="1">IF($CD161="","",IF(OFFSET(BQ$55,'Intermediate Data'!$CD161,0)=-98,"Unknown",IF(OFFSET(BQ$55,'Intermediate Data'!$CD161,0)=-99,"N/A",OFFSET(BQ$55,'Intermediate Data'!$CD161,0))))</f>
        <v/>
      </c>
      <c r="CT161" s="114" t="str">
        <f ca="1">IF($CD161="","",IF(OFFSET(BR$55,'Intermediate Data'!$CD161,0)=-98,"Unknown",IF(OFFSET(BR$55,'Intermediate Data'!$CD161,0)=-99,"N/A",OFFSET(BR$55,'Intermediate Data'!$CD161,0))))</f>
        <v/>
      </c>
      <c r="CU161" s="114" t="str">
        <f ca="1">IF($CD161="","",IF(OFFSET(BS$55,'Intermediate Data'!$CD161,0)=-98,"Unknown",IF(OFFSET(BS$55,'Intermediate Data'!$CD161,0)=-99,"N/A",OFFSET(BS$55,'Intermediate Data'!$CD161,0))))</f>
        <v/>
      </c>
      <c r="CV161" s="114" t="str">
        <f ca="1">IF($CD161="","",IF(OFFSET(BT$55,'Intermediate Data'!$CD161,0)=-98,"Unknown",IF(OFFSET(BT$55,'Intermediate Data'!$CD161,0)=-99,"N/A",OFFSET(BT$55,'Intermediate Data'!$CD161,0))))</f>
        <v/>
      </c>
      <c r="CW161" s="114" t="str">
        <f ca="1">IF($CD161="","",IF(OFFSET(BU$55,'Intermediate Data'!$CD161,0)=-98,"Unknown",IF(OFFSET(BU$55,'Intermediate Data'!$CD161,0)=-99,"N/A",OFFSET(BU$55,'Intermediate Data'!$CD161,0))))</f>
        <v/>
      </c>
      <c r="CX161" s="114" t="str">
        <f ca="1">IF($CD161="","",IF(OFFSET(BV$55,'Intermediate Data'!$CD161,0)=-98,"Unknown",IF(OFFSET(BV$55,'Intermediate Data'!$CD161,0)=-99,"N/A",OFFSET(BV$55,'Intermediate Data'!$CD161,0))))</f>
        <v/>
      </c>
      <c r="CY161" s="682" t="str">
        <f ca="1">IF($CD161="","",IF(OFFSET(BW$55,'Intermediate Data'!$CD161,0)=-98,"Unknown",IF(OFFSET(BW$55,'Intermediate Data'!$CD161,0)="N/A","",OFFSET(BW$55,'Intermediate Data'!$CD161,0))))</f>
        <v/>
      </c>
      <c r="CZ161" s="682" t="str">
        <f ca="1">IF($CD161="","",IF(OFFSET(BX$55,'Intermediate Data'!$CD161,0)=-98,"Unknown",IF(OFFSET(BX$55,'Intermediate Data'!$CD161,0)="N/A","",OFFSET(BX$55,'Intermediate Data'!$CD161,0))))</f>
        <v/>
      </c>
      <c r="DA161" s="682" t="str">
        <f ca="1">IF($CD161="","",IF(OFFSET(BY$55,'Intermediate Data'!$CD161,0)=-98,"Unknown",IF(OFFSET(BY$55,'Intermediate Data'!$CD161,0)="N/A","",OFFSET(BY$55,'Intermediate Data'!$CD161,0))))</f>
        <v/>
      </c>
      <c r="DB161" s="682" t="str">
        <f ca="1">IF($CD161="","",IF(OFFSET(BZ$55,'Intermediate Data'!$CD161,0)=-98,"Unknown",IF(OFFSET(BZ$55,'Intermediate Data'!$CD161,0)="N/A","",OFFSET(BZ$55,'Intermediate Data'!$CD161,0))))</f>
        <v/>
      </c>
    </row>
    <row r="162" spans="1:106" x14ac:dyDescent="0.2">
      <c r="A162" s="90" t="str">
        <f ca="1">IF(OFFSET(DATA!F111,0,$D$48)='Intermediate Data'!$E$48,IF(OR($E$49=$C$27,$E$48=$B$4),DATA!A111,IF($G$49=DATA!D111,DATA!A111,"")),"")</f>
        <v/>
      </c>
      <c r="B162" s="90" t="str">
        <f ca="1">IF($A162="","",DATA!EH111)</f>
        <v/>
      </c>
      <c r="C162" s="90" t="str">
        <f ca="1">IF($A162="","",DATA!B111)</f>
        <v/>
      </c>
      <c r="D162" s="90" t="str">
        <f ca="1">IF($A162="","",OFFSET(DATA!$H111,0,($D$50*5)))</f>
        <v/>
      </c>
      <c r="E162" s="90" t="str">
        <f ca="1">IF($A162="","",OFFSET(DATA!$H111,0,($D$50*5)+1))</f>
        <v/>
      </c>
      <c r="F162" s="90" t="str">
        <f ca="1">IF($A162="","",OFFSET(DATA!$H111,0,($D$50*5)+2))</f>
        <v/>
      </c>
      <c r="G162" s="90" t="str">
        <f ca="1">IF($A162="","",OFFSET(DATA!$H111,0,($D$50*5)+3))</f>
        <v/>
      </c>
      <c r="H162" s="90" t="str">
        <f ca="1">IF($A162="","",OFFSET(DATA!$H111,0,($D$50*5)+4))</f>
        <v/>
      </c>
      <c r="I162" s="90" t="str">
        <f t="shared" ca="1" si="17"/>
        <v/>
      </c>
      <c r="J162" s="90" t="str">
        <f t="shared" ca="1" si="18"/>
        <v/>
      </c>
      <c r="K162" s="90" t="str">
        <f ca="1">IF($A162="","",OFFSET(DATA!$AG111,0,($D$50*5)))</f>
        <v/>
      </c>
      <c r="L162" s="90" t="str">
        <f ca="1">IF($A162="","",OFFSET(DATA!$AG111,0,($D$50*5)+1))</f>
        <v/>
      </c>
      <c r="M162" s="90" t="str">
        <f ca="1">IF($A162="","",OFFSET(DATA!$AG111,0,($D$50*5)+2))</f>
        <v/>
      </c>
      <c r="N162" s="90" t="str">
        <f ca="1">IF($A162="","",OFFSET(DATA!$AG111,0,($D$50*5)+3))</f>
        <v/>
      </c>
      <c r="O162" s="90" t="str">
        <f ca="1">IF($A162="","",OFFSET(DATA!$AG111,0,($D$50*5)+4))</f>
        <v/>
      </c>
      <c r="P162" s="90" t="str">
        <f t="shared" ca="1" si="19"/>
        <v/>
      </c>
      <c r="Q162" s="90" t="str">
        <f t="shared" ca="1" si="20"/>
        <v/>
      </c>
      <c r="R162" s="699" t="str">
        <f ca="1">IF($A162="","",IF(DATA!BF111="",-99,DATA!BF111))</f>
        <v/>
      </c>
      <c r="S162" s="90" t="str">
        <f ca="1">IF($A162="","",IF(DATA!BG111="",-99,DATA!BF111-DATA!BG111))</f>
        <v/>
      </c>
      <c r="T162" s="90" t="str">
        <f ca="1">IF($A162="","",DATA!BH111)</f>
        <v/>
      </c>
      <c r="U162" s="90" t="str">
        <f ca="1">IF($A162="","",OFFSET(DATA!BM111,0,$D$48))</f>
        <v/>
      </c>
      <c r="V162" s="90" t="str">
        <f t="shared" ca="1" si="29"/>
        <v/>
      </c>
      <c r="W162" s="99" t="str">
        <f t="shared" ca="1" si="21"/>
        <v/>
      </c>
      <c r="X162" s="112">
        <f t="shared" ca="1" si="22"/>
        <v>21.999974951143749</v>
      </c>
      <c r="Y162" s="90">
        <f t="shared" ca="1" si="23"/>
        <v>14</v>
      </c>
      <c r="AA162" s="90" t="str">
        <f ca="1">IF($Y162="","",IF(OFFSET(C$55,'Intermediate Data'!$Y162,0)=-98,"Unknown",IF(OFFSET(C$55,'Intermediate Data'!$Y162,0)=-99,"N/A",OFFSET(C$55,'Intermediate Data'!$Y162,0))))</f>
        <v>Television</v>
      </c>
      <c r="AB162" s="90" t="str">
        <f ca="1">IF($Y162="","",IF(OFFSET(D$55,'Intermediate Data'!$Y162,0)=-98,"N/A",IF(OFFSET(D$55,'Intermediate Data'!$Y162,0)=-99,"N/A",OFFSET(D$55,'Intermediate Data'!$Y162,0))))</f>
        <v>N/A</v>
      </c>
      <c r="AC162" s="90">
        <f ca="1">IF($Y162="","",IF(OFFSET(E$55,'Intermediate Data'!$Y162,0)=-98,"N/A",IF(OFFSET(E$55,'Intermediate Data'!$Y162,0)=-99,"N/A",OFFSET(E$55,'Intermediate Data'!$Y162,0))))</f>
        <v>0.94825099025602044</v>
      </c>
      <c r="AD162" s="90" t="str">
        <f ca="1">IF($Y162="","",IF(OFFSET(F$55,'Intermediate Data'!$Y162,0)=-98,"N/A",IF(OFFSET(F$55,'Intermediate Data'!$Y162,0)=-99,"N/A",OFFSET(F$55,'Intermediate Data'!$Y162,0))))</f>
        <v>N/A</v>
      </c>
      <c r="AE162" s="90">
        <f ca="1">IF($Y162="","",IF(OFFSET(G$55,'Intermediate Data'!$Y162,0)=-98,"N/A",IF(OFFSET(G$55,'Intermediate Data'!$Y162,0)=-99,"N/A",OFFSET(G$55,'Intermediate Data'!$Y162,0))))</f>
        <v>0.96754869853464853</v>
      </c>
      <c r="AF162" s="90">
        <f ca="1">IF($Y162="","",IF(OFFSET(H$55,'Intermediate Data'!$Y162,0)=-98,"N/A",IF(OFFSET(H$55,'Intermediate Data'!$Y162,0)=-99,"N/A",OFFSET(H$55,'Intermediate Data'!$Y162,0))))</f>
        <v>0.98699999999999999</v>
      </c>
      <c r="AG162" s="90">
        <f ca="1">IF($Y162="","",IF(OFFSET(I$55,'Intermediate Data'!$Y162,0)=-98,"N/A",IF(OFFSET(I$55,'Intermediate Data'!$Y162,0)=-99,"N/A",OFFSET(I$55,'Intermediate Data'!$Y162,0))))</f>
        <v>0.98699999999999999</v>
      </c>
      <c r="AH162" s="90" t="str">
        <f ca="1">IF($Y162="","",IF(OFFSET(J$55,'Intermediate Data'!$Y162,0)=-98,"N/A",IF(OFFSET(J$55,'Intermediate Data'!$Y162,0)=-99,"N/A",OFFSET(J$55,'Intermediate Data'!$Y162,0))))</f>
        <v>CLASS</v>
      </c>
      <c r="AI162" s="90" t="str">
        <f ca="1">IF($Y162="","",IF(OFFSET(K$55,'Intermediate Data'!$Y162,0)=-98,"N/A",IF(OFFSET(K$55,'Intermediate Data'!$Y162,0)=-99,"N/A",OFFSET(K$55,'Intermediate Data'!$Y162,0))))</f>
        <v>N/A</v>
      </c>
      <c r="AJ162" s="90">
        <f ca="1">IF($Y162="","",IF(OFFSET(L$55,'Intermediate Data'!$Y162,0)=-98,"N/A",IF(OFFSET(L$55,'Intermediate Data'!$Y162,0)=-99,"N/A",OFFSET(L$55,'Intermediate Data'!$Y162,0))))</f>
        <v>1.9806353930334133</v>
      </c>
      <c r="AK162" s="90" t="str">
        <f ca="1">IF($Y162="","",IF(OFFSET(M$55,'Intermediate Data'!$Y162,0)=-98,"N/A",IF(OFFSET(M$55,'Intermediate Data'!$Y162,0)=-99,"N/A",OFFSET(M$55,'Intermediate Data'!$Y162,0))))</f>
        <v>N/A</v>
      </c>
      <c r="AL162" s="90">
        <f ca="1">IF($Y162="","",IF(OFFSET(N$55,'Intermediate Data'!$Y162,0)=-98,"N/A",IF(OFFSET(N$55,'Intermediate Data'!$Y162,0)=-99,"N/A",OFFSET(N$55,'Intermediate Data'!$Y162,0))))</f>
        <v>2.3271024065605226</v>
      </c>
      <c r="AM162" s="90">
        <f ca="1">IF($Y162="","",IF(OFFSET(O$55,'Intermediate Data'!$Y162,0)=-98,"N/A",IF(OFFSET(O$55,'Intermediate Data'!$Y162,0)=-99,"N/A",OFFSET(O$55,'Intermediate Data'!$Y162,0))))</f>
        <v>2.4670000000000001</v>
      </c>
      <c r="AN162" s="90">
        <f ca="1">IF($Y162="","",IF(OFFSET(P$55,'Intermediate Data'!$Y162,0)=-98,"N/A",IF(OFFSET(P$55,'Intermediate Data'!$Y162,0)=-99,"N/A",OFFSET(P$55,'Intermediate Data'!$Y162,0))))</f>
        <v>2.4670000000000001</v>
      </c>
      <c r="AO162" s="90" t="str">
        <f ca="1">IF($Y162="","",IF(OFFSET(Q$55,'Intermediate Data'!$Y162,0)=-98,"N/A",IF(OFFSET(Q$55,'Intermediate Data'!$Y162,0)=-99,"N/A",OFFSET(Q$55,'Intermediate Data'!$Y162,0))))</f>
        <v>CLASS</v>
      </c>
      <c r="AP162" s="697" t="str">
        <f ca="1">IF($Y162="","",IF(OFFSET(S$55,'Intermediate Data'!$Y162,0)=-98,"",IF(OFFSET(S$55,'Intermediate Data'!$Y162,0)=-99,"",OFFSET(S$55,'Intermediate Data'!$Y162,0))))</f>
        <v/>
      </c>
      <c r="AQ162" s="90">
        <f ca="1">IF($Y162="","",IF(OFFSET(T$55,'Intermediate Data'!$Y162,0)=-98,"Not published",IF(OFFSET(T$55,'Intermediate Data'!$Y162,0)=-99,"",OFFSET(T$55,'Intermediate Data'!$Y162,0))))</f>
        <v>0.84</v>
      </c>
      <c r="AR162" s="90">
        <f ca="1">IF($Y162="","",IF(OFFSET(U$55,'Intermediate Data'!$Y162,0)=-98,"Unknown",IF(OFFSET(U$55,'Intermediate Data'!$Y162,0)=-99,"",OFFSET(U$55,'Intermediate Data'!$Y162,0))))</f>
        <v>35</v>
      </c>
      <c r="AU162" s="112" t="str">
        <f ca="1">IF(AND(OFFSET(DATA!$F111,0,$AX$48)='Intermediate Data'!$AY$48,DATA!$E111="Tier 1"),IF(OR($AX$49=0,$AX$48=1),DATA!A111,IF(AND($AX$49=1,INDEX('Intermediate Data'!$AY$25:$AY$44,MATCH(DATA!$B111,'Intermediate Data'!$AX$25:$AX$44,0))=TRUE),DATA!A111,"")),"")</f>
        <v/>
      </c>
      <c r="AV162" s="112" t="str">
        <f ca="1">IF($AU162="","",DATA!B111)</f>
        <v/>
      </c>
      <c r="AW162" s="112" t="str">
        <f ca="1">IF(OR($AU162="",DATA!BI111=""),"",DATA!BI111)</f>
        <v/>
      </c>
      <c r="AX162" s="112" t="str">
        <f ca="1">IF(OR($AU162="",OFFSET(DATA!BK111,0,$AX$48)=""),"",OFFSET(DATA!BK111,0,$AX$48))</f>
        <v/>
      </c>
      <c r="AY162" s="112" t="str">
        <f ca="1">IF(OR($AU162="",OFFSET(DATA!BM111,0,$AX$48)=""),"",OFFSET(DATA!BM111,0,$AX$48))</f>
        <v/>
      </c>
      <c r="AZ162" s="112" t="str">
        <f ca="1">IF(OR($AU162="",OFFSET(DATA!BO111,0,'Intermediate Data'!$AX$48)=""),"",OFFSET(DATA!BO111,0,$AX$48))</f>
        <v/>
      </c>
      <c r="BA162" s="112" t="str">
        <f ca="1">IF(OR($AU162="",DATA!BQ111=""),"",DATA!BQ111)</f>
        <v/>
      </c>
      <c r="BB162" s="112" t="str">
        <f ca="1">IF($AU162="","",OFFSET(DATA!BS111,0,$AX$48))</f>
        <v/>
      </c>
      <c r="BC162" s="112" t="str">
        <f ca="1">IF($AU162="","",OFFSET(DATA!BU111,0,$AX$48))</f>
        <v/>
      </c>
      <c r="BD162" s="112" t="str">
        <f ca="1">IF($AU162="","",OFFSET(DATA!BW111,0,$AX$48))</f>
        <v/>
      </c>
      <c r="BE162" s="112" t="str">
        <f ca="1">IF($AU162="","",OFFSET(DATA!BY111,0,$AX$48))</f>
        <v/>
      </c>
      <c r="BF162" s="112" t="str">
        <f ca="1">IF($AU162="","",OFFSET(DATA!CA111,0,$AX$48))</f>
        <v/>
      </c>
      <c r="BG162" s="112" t="str">
        <f ca="1">IF($AU162="","",DATA!CC111)</f>
        <v/>
      </c>
      <c r="BH162" s="112" t="str">
        <f ca="1">IF($AU162="","",OFFSET(DATA!CE111,0,$AX$48))</f>
        <v/>
      </c>
      <c r="BI162" s="112" t="str">
        <f ca="1">IF($AU162="","",OFFSET(DATA!CG111,0,$AX$48))</f>
        <v/>
      </c>
      <c r="BJ162" s="112" t="str">
        <f ca="1">IF($AU162="","",OFFSET(DATA!CI111,0,$AX$48))</f>
        <v/>
      </c>
      <c r="BK162" s="112" t="str">
        <f ca="1">IF($AU162="","",OFFSET(DATA!CK111,0,$AX$48))</f>
        <v/>
      </c>
      <c r="BL162" s="112" t="str">
        <f ca="1">IF($AU162="","",OFFSET(DATA!CM111,0,$AX$48))</f>
        <v/>
      </c>
      <c r="BM162" s="112" t="str">
        <f ca="1">IF($AU162="","",DATA!BH111)</f>
        <v/>
      </c>
      <c r="BN162" s="112" t="str">
        <f ca="1">IF($AU162="","",DATA!DS111)</f>
        <v/>
      </c>
      <c r="BO162" s="112" t="str">
        <f ca="1">IF($AU162="","",DATA!DU111)</f>
        <v/>
      </c>
      <c r="BP162" s="112" t="str">
        <f ca="1">IF($AU162="","",DATA!DV111)</f>
        <v/>
      </c>
      <c r="BQ162" s="112" t="str">
        <f ca="1">IF($AU162="","",DATA!DX111)</f>
        <v/>
      </c>
      <c r="BR162" s="112" t="str">
        <f ca="1">IF($AU162="","",DATA!DZ111)</f>
        <v/>
      </c>
      <c r="BS162" s="171" t="str">
        <f ca="1">IF($AU162="","",DATA!EA111)</f>
        <v/>
      </c>
      <c r="BT162" s="171" t="str">
        <f ca="1">IF($AU162="","",DATA!EC111)</f>
        <v/>
      </c>
      <c r="BU162" s="171" t="str">
        <f ca="1">IF($AU162="","",DATA!EF111)</f>
        <v/>
      </c>
      <c r="BV162" s="113" t="str">
        <f t="shared" ca="1" si="24"/>
        <v/>
      </c>
      <c r="BW162" s="680" t="str">
        <f ca="1">IF(AU162="","",OFFSET(DATA!DC111,0,'Intermediate Data'!$AX$48))</f>
        <v/>
      </c>
      <c r="BX162" s="681" t="str">
        <f ca="1">IF($AU162="","",DATA!DG111)</f>
        <v/>
      </c>
      <c r="BY162" s="680" t="str">
        <f ca="1">IF($AU162="","",OFFSET(DATA!DE111,0,'Intermediate Data'!$AX$48))</f>
        <v/>
      </c>
      <c r="BZ162" s="681" t="str">
        <f ca="1">IF($AU162="","",DATA!DH111)</f>
        <v/>
      </c>
      <c r="CA162" s="90" t="str">
        <f t="shared" ca="1" si="25"/>
        <v/>
      </c>
      <c r="CB162" s="99" t="str">
        <f t="shared" ca="1" si="26"/>
        <v/>
      </c>
      <c r="CC162" s="90" t="str">
        <f t="shared" ca="1" si="27"/>
        <v/>
      </c>
      <c r="CD162" s="90" t="str">
        <f t="shared" ca="1" si="28"/>
        <v/>
      </c>
      <c r="CF162" s="90" t="str">
        <f ca="1">IF($CD162="","",IF(OFFSET(AV$55,'Intermediate Data'!$CD162,0)=-98,"Unknown",IF(OFFSET(AV$55,'Intermediate Data'!$CD162,0)=-99,"N/A",OFFSET(AV$55,'Intermediate Data'!$CD162,0))))</f>
        <v/>
      </c>
      <c r="CG162" s="90" t="str">
        <f ca="1">IF($CD162="","",IF(OFFSET(AW$55,'Intermediate Data'!$CD162,0)=-98,"",IF(OFFSET(AW$55,'Intermediate Data'!$CD162,0)=-99,"N/A",OFFSET(AW$55,'Intermediate Data'!$CD162,0))))</f>
        <v/>
      </c>
      <c r="CH162" s="90" t="str">
        <f ca="1">IF($CD162="","",IF(OFFSET(AX$55,'Intermediate Data'!$CD162,0)=-98,"Unknown",IF(OFFSET(AX$55,'Intermediate Data'!$CD162,0)=-99,"N/A",OFFSET(AX$55,'Intermediate Data'!$CD162,0))))</f>
        <v/>
      </c>
      <c r="CI162" s="125" t="str">
        <f ca="1">IF($CD162="","",IF(OFFSET(AY$55,'Intermediate Data'!$CD162,0)=-98,"Unknown",IF(OFFSET(AY$55,'Intermediate Data'!$CD162,0)=-99,"No spec",OFFSET(AY$55,'Intermediate Data'!$CD162,0))))</f>
        <v/>
      </c>
      <c r="CJ162" s="125" t="str">
        <f ca="1">IF($CD162="","",IF(OFFSET(AZ$55,'Intermediate Data'!$CD162,0)=-98,"Unknown",IF(OFFSET(AZ$55,'Intermediate Data'!$CD162,0)=-99,"N/A",OFFSET(AZ$55,'Intermediate Data'!$CD162,0))))</f>
        <v/>
      </c>
      <c r="CK162" s="90" t="str">
        <f ca="1">IF($CD162="","",IF(OFFSET(BA$55,'Intermediate Data'!$CD162,0)=-98,"Unknown",IF(OFFSET(BA$55,'Intermediate Data'!$CD162,0)=-99,"N/A",OFFSET(BA$55,'Intermediate Data'!$CD162,0))))</f>
        <v/>
      </c>
      <c r="CL162" s="90" t="str">
        <f ca="1">IF($CD162="","",IF(OFFSET(BB$55,'Intermediate Data'!$CD162,$AX$50)=-98,"Unknown",IF(OFFSET(BB$55,'Intermediate Data'!$CD162,$AX$50)="N/A","",OFFSET(BB$55,'Intermediate Data'!$CD162,$AX$50))))</f>
        <v/>
      </c>
      <c r="CM162" s="90" t="str">
        <f ca="1">IF($CD162="","",IF(OFFSET(BG$55,'Intermediate Data'!$CD162,0)="ET","ET",""))</f>
        <v/>
      </c>
      <c r="CN162" s="90" t="str">
        <f ca="1">IF($CD162="","",IF(OFFSET(BH$55,'Intermediate Data'!$CD162,$AX$50)=-98,"Unknown",IF(OFFSET(BH$55,'Intermediate Data'!$CD162,$AX$50)="N/A","",OFFSET(BH$55,'Intermediate Data'!$CD162,$AX$50))))</f>
        <v/>
      </c>
      <c r="CO162" s="90" t="str">
        <f ca="1">IF($CD162="","",IF(OFFSET(BM$55,'Intermediate Data'!$CD162,0)=-98,"Not published",IF(OFFSET(BM$55,'Intermediate Data'!$CD162,0)=-99,"No spec",OFFSET(BM$55,'Intermediate Data'!$CD162,0))))</f>
        <v/>
      </c>
      <c r="CP162" s="114" t="str">
        <f ca="1">IF($CD162="","",IF(OFFSET(BN$55,'Intermediate Data'!$CD162,0)=-98,"Unknown",IF(OFFSET(BN$55,'Intermediate Data'!$CD162,0)=-99,"N/A",OFFSET(BN$55,'Intermediate Data'!$CD162,0))))</f>
        <v/>
      </c>
      <c r="CQ162" s="114" t="str">
        <f ca="1">IF($CD162="","",IF(OFFSET(BO$55,'Intermediate Data'!$CD162,0)=-98,"Unknown",IF(OFFSET(BO$55,'Intermediate Data'!$CD162,0)=-99,"N/A",OFFSET(BO$55,'Intermediate Data'!$CD162,0))))</f>
        <v/>
      </c>
      <c r="CR162" s="114" t="str">
        <f ca="1">IF($CD162="","",IF(OFFSET(BP$55,'Intermediate Data'!$CD162,0)=-98,"Unknown",IF(OFFSET(BP$55,'Intermediate Data'!$CD162,0)=-99,"N/A",OFFSET(BP$55,'Intermediate Data'!$CD162,0))))</f>
        <v/>
      </c>
      <c r="CS162" s="114" t="str">
        <f ca="1">IF($CD162="","",IF(OFFSET(BQ$55,'Intermediate Data'!$CD162,0)=-98,"Unknown",IF(OFFSET(BQ$55,'Intermediate Data'!$CD162,0)=-99,"N/A",OFFSET(BQ$55,'Intermediate Data'!$CD162,0))))</f>
        <v/>
      </c>
      <c r="CT162" s="114" t="str">
        <f ca="1">IF($CD162="","",IF(OFFSET(BR$55,'Intermediate Data'!$CD162,0)=-98,"Unknown",IF(OFFSET(BR$55,'Intermediate Data'!$CD162,0)=-99,"N/A",OFFSET(BR$55,'Intermediate Data'!$CD162,0))))</f>
        <v/>
      </c>
      <c r="CU162" s="114" t="str">
        <f ca="1">IF($CD162="","",IF(OFFSET(BS$55,'Intermediate Data'!$CD162,0)=-98,"Unknown",IF(OFFSET(BS$55,'Intermediate Data'!$CD162,0)=-99,"N/A",OFFSET(BS$55,'Intermediate Data'!$CD162,0))))</f>
        <v/>
      </c>
      <c r="CV162" s="114" t="str">
        <f ca="1">IF($CD162="","",IF(OFFSET(BT$55,'Intermediate Data'!$CD162,0)=-98,"Unknown",IF(OFFSET(BT$55,'Intermediate Data'!$CD162,0)=-99,"N/A",OFFSET(BT$55,'Intermediate Data'!$CD162,0))))</f>
        <v/>
      </c>
      <c r="CW162" s="114" t="str">
        <f ca="1">IF($CD162="","",IF(OFFSET(BU$55,'Intermediate Data'!$CD162,0)=-98,"Unknown",IF(OFFSET(BU$55,'Intermediate Data'!$CD162,0)=-99,"N/A",OFFSET(BU$55,'Intermediate Data'!$CD162,0))))</f>
        <v/>
      </c>
      <c r="CX162" s="114" t="str">
        <f ca="1">IF($CD162="","",IF(OFFSET(BV$55,'Intermediate Data'!$CD162,0)=-98,"Unknown",IF(OFFSET(BV$55,'Intermediate Data'!$CD162,0)=-99,"N/A",OFFSET(BV$55,'Intermediate Data'!$CD162,0))))</f>
        <v/>
      </c>
      <c r="CY162" s="682" t="str">
        <f ca="1">IF($CD162="","",IF(OFFSET(BW$55,'Intermediate Data'!$CD162,0)=-98,"Unknown",IF(OFFSET(BW$55,'Intermediate Data'!$CD162,0)="N/A","",OFFSET(BW$55,'Intermediate Data'!$CD162,0))))</f>
        <v/>
      </c>
      <c r="CZ162" s="682" t="str">
        <f ca="1">IF($CD162="","",IF(OFFSET(BX$55,'Intermediate Data'!$CD162,0)=-98,"Unknown",IF(OFFSET(BX$55,'Intermediate Data'!$CD162,0)="N/A","",OFFSET(BX$55,'Intermediate Data'!$CD162,0))))</f>
        <v/>
      </c>
      <c r="DA162" s="682" t="str">
        <f ca="1">IF($CD162="","",IF(OFFSET(BY$55,'Intermediate Data'!$CD162,0)=-98,"Unknown",IF(OFFSET(BY$55,'Intermediate Data'!$CD162,0)="N/A","",OFFSET(BY$55,'Intermediate Data'!$CD162,0))))</f>
        <v/>
      </c>
      <c r="DB162" s="682" t="str">
        <f ca="1">IF($CD162="","",IF(OFFSET(BZ$55,'Intermediate Data'!$CD162,0)=-98,"Unknown",IF(OFFSET(BZ$55,'Intermediate Data'!$CD162,0)="N/A","",OFFSET(BZ$55,'Intermediate Data'!$CD162,0))))</f>
        <v/>
      </c>
    </row>
    <row r="163" spans="1:106" x14ac:dyDescent="0.2">
      <c r="A163" s="90">
        <f ca="1">IF(OFFSET(DATA!F112,0,$D$48)='Intermediate Data'!$E$48,IF(OR($E$49=$C$27,$E$48=$B$4),DATA!A112,IF($G$49=DATA!D112,DATA!A112,"")),"")</f>
        <v>108</v>
      </c>
      <c r="B163" s="90">
        <f ca="1">IF($A163="","",DATA!EH112)</f>
        <v>42</v>
      </c>
      <c r="C163" s="90" t="str">
        <f ca="1">IF($A163="","",DATA!B112)</f>
        <v>Renewable energy component</v>
      </c>
      <c r="D163" s="90">
        <f ca="1">IF($A163="","",OFFSET(DATA!$H112,0,($D$50*5)))</f>
        <v>-99</v>
      </c>
      <c r="E163" s="90">
        <f ca="1">IF($A163="","",OFFSET(DATA!$H112,0,($D$50*5)+1))</f>
        <v>-99</v>
      </c>
      <c r="F163" s="90">
        <f ca="1">IF($A163="","",OFFSET(DATA!$H112,0,($D$50*5)+2))</f>
        <v>-99</v>
      </c>
      <c r="G163" s="90">
        <f ca="1">IF($A163="","",OFFSET(DATA!$H112,0,($D$50*5)+3))</f>
        <v>-99</v>
      </c>
      <c r="H163" s="90">
        <f ca="1">IF($A163="","",OFFSET(DATA!$H112,0,($D$50*5)+4))</f>
        <v>-99</v>
      </c>
      <c r="I163" s="90">
        <f t="shared" ca="1" si="17"/>
        <v>-99</v>
      </c>
      <c r="J163" s="90" t="str">
        <f t="shared" ca="1" si="18"/>
        <v/>
      </c>
      <c r="K163" s="90">
        <f ca="1">IF($A163="","",OFFSET(DATA!$AG112,0,($D$50*5)))</f>
        <v>-99</v>
      </c>
      <c r="L163" s="90">
        <f ca="1">IF($A163="","",OFFSET(DATA!$AG112,0,($D$50*5)+1))</f>
        <v>-99</v>
      </c>
      <c r="M163" s="90">
        <f ca="1">IF($A163="","",OFFSET(DATA!$AG112,0,($D$50*5)+2))</f>
        <v>-99</v>
      </c>
      <c r="N163" s="90">
        <f ca="1">IF($A163="","",OFFSET(DATA!$AG112,0,($D$50*5)+3))</f>
        <v>-99</v>
      </c>
      <c r="O163" s="90">
        <f ca="1">IF($A163="","",OFFSET(DATA!$AG112,0,($D$50*5)+4))</f>
        <v>-99</v>
      </c>
      <c r="P163" s="90">
        <f t="shared" ca="1" si="19"/>
        <v>-99</v>
      </c>
      <c r="Q163" s="90" t="str">
        <f t="shared" ca="1" si="20"/>
        <v/>
      </c>
      <c r="R163" s="699">
        <f ca="1">IF($A163="","",IF(DATA!BF112="",-99,DATA!BF112))</f>
        <v>-99</v>
      </c>
      <c r="S163" s="90">
        <f ca="1">IF($A163="","",IF(DATA!BG112="",-99,DATA!BF112-DATA!BG112))</f>
        <v>-99</v>
      </c>
      <c r="T163" s="90">
        <f ca="1">IF($A163="","",DATA!BH112)</f>
        <v>-99</v>
      </c>
      <c r="U163" s="90">
        <f ca="1">IF($A163="","",OFFSET(DATA!BM112,0,$D$48))</f>
        <v>-99</v>
      </c>
      <c r="V163" s="90">
        <f t="shared" ca="1" si="29"/>
        <v>42</v>
      </c>
      <c r="W163" s="99">
        <f t="shared" ca="1" si="21"/>
        <v>41.999881201629996</v>
      </c>
      <c r="X163" s="112">
        <f t="shared" ca="1" si="22"/>
        <v>20.999930892688187</v>
      </c>
      <c r="Y163" s="90">
        <f t="shared" ca="1" si="23"/>
        <v>81</v>
      </c>
      <c r="AA163" s="90" t="str">
        <f ca="1">IF($Y163="","",IF(OFFSET(C$55,'Intermediate Data'!$Y163,0)=-98,"Unknown",IF(OFFSET(C$55,'Intermediate Data'!$Y163,0)=-99,"N/A",OFFSET(C$55,'Intermediate Data'!$Y163,0))))</f>
        <v>Thermostat - Smart</v>
      </c>
      <c r="AB163" s="90" t="str">
        <f ca="1">IF($Y163="","",IF(OFFSET(D$55,'Intermediate Data'!$Y163,0)=-98,"N/A",IF(OFFSET(D$55,'Intermediate Data'!$Y163,0)=-99,"N/A",OFFSET(D$55,'Intermediate Data'!$Y163,0))))</f>
        <v>N/A</v>
      </c>
      <c r="AC163" s="90">
        <f ca="1">IF($Y163="","",IF(OFFSET(E$55,'Intermediate Data'!$Y163,0)=-98,"N/A",IF(OFFSET(E$55,'Intermediate Data'!$Y163,0)=-99,"N/A",OFFSET(E$55,'Intermediate Data'!$Y163,0))))</f>
        <v>0.31399245879919252</v>
      </c>
      <c r="AD163" s="90">
        <f ca="1">IF($Y163="","",IF(OFFSET(F$55,'Intermediate Data'!$Y163,0)=-98,"N/A",IF(OFFSET(F$55,'Intermediate Data'!$Y163,0)=-99,"N/A",OFFSET(F$55,'Intermediate Data'!$Y163,0))))</f>
        <v>0.311</v>
      </c>
      <c r="AE163" s="90">
        <f ca="1">IF($Y163="","",IF(OFFSET(G$55,'Intermediate Data'!$Y163,0)=-98,"N/A",IF(OFFSET(G$55,'Intermediate Data'!$Y163,0)=-99,"N/A",OFFSET(G$55,'Intermediate Data'!$Y163,0))))</f>
        <v>0.45028942619851753</v>
      </c>
      <c r="AF163" s="90">
        <f ca="1">IF($Y163="","",IF(OFFSET(H$55,'Intermediate Data'!$Y163,0)=-98,"N/A",IF(OFFSET(H$55,'Intermediate Data'!$Y163,0)=-99,"N/A",OFFSET(H$55,'Intermediate Data'!$Y163,0))))</f>
        <v>0.41900000000000004</v>
      </c>
      <c r="AG163" s="90">
        <f ca="1">IF($Y163="","",IF(OFFSET(I$55,'Intermediate Data'!$Y163,0)=-98,"N/A",IF(OFFSET(I$55,'Intermediate Data'!$Y163,0)=-99,"N/A",OFFSET(I$55,'Intermediate Data'!$Y163,0))))</f>
        <v>0.41900000000000004</v>
      </c>
      <c r="AH163" s="90" t="str">
        <f ca="1">IF($Y163="","",IF(OFFSET(J$55,'Intermediate Data'!$Y163,0)=-98,"N/A",IF(OFFSET(J$55,'Intermediate Data'!$Y163,0)=-99,"N/A",OFFSET(J$55,'Intermediate Data'!$Y163,0))))</f>
        <v>CLASS</v>
      </c>
      <c r="AI163" s="90" t="str">
        <f ca="1">IF($Y163="","",IF(OFFSET(K$55,'Intermediate Data'!$Y163,0)=-98,"N/A",IF(OFFSET(K$55,'Intermediate Data'!$Y163,0)=-99,"N/A",OFFSET(K$55,'Intermediate Data'!$Y163,0))))</f>
        <v>N/A</v>
      </c>
      <c r="AJ163" s="90" t="str">
        <f ca="1">IF($Y163="","",IF(OFFSET(L$55,'Intermediate Data'!$Y163,0)=-98,"N/A",IF(OFFSET(L$55,'Intermediate Data'!$Y163,0)=-99,"N/A",OFFSET(L$55,'Intermediate Data'!$Y163,0))))</f>
        <v>N/A</v>
      </c>
      <c r="AK163" s="90" t="str">
        <f ca="1">IF($Y163="","",IF(OFFSET(M$55,'Intermediate Data'!$Y163,0)=-98,"N/A",IF(OFFSET(M$55,'Intermediate Data'!$Y163,0)=-99,"N/A",OFFSET(M$55,'Intermediate Data'!$Y163,0))))</f>
        <v>N/A</v>
      </c>
      <c r="AL163" s="90" t="str">
        <f ca="1">IF($Y163="","",IF(OFFSET(N$55,'Intermediate Data'!$Y163,0)=-98,"N/A",IF(OFFSET(N$55,'Intermediate Data'!$Y163,0)=-99,"N/A",OFFSET(N$55,'Intermediate Data'!$Y163,0))))</f>
        <v>N/A</v>
      </c>
      <c r="AM163" s="90" t="str">
        <f ca="1">IF($Y163="","",IF(OFFSET(O$55,'Intermediate Data'!$Y163,0)=-98,"N/A",IF(OFFSET(O$55,'Intermediate Data'!$Y163,0)=-99,"N/A",OFFSET(O$55,'Intermediate Data'!$Y163,0))))</f>
        <v>N/A</v>
      </c>
      <c r="AN163" s="90" t="str">
        <f ca="1">IF($Y163="","",IF(OFFSET(P$55,'Intermediate Data'!$Y163,0)=-98,"N/A",IF(OFFSET(P$55,'Intermediate Data'!$Y163,0)=-99,"N/A",OFFSET(P$55,'Intermediate Data'!$Y163,0))))</f>
        <v>N/A</v>
      </c>
      <c r="AO163" s="90" t="str">
        <f ca="1">IF($Y163="","",IF(OFFSET(Q$55,'Intermediate Data'!$Y163,0)=-98,"N/A",IF(OFFSET(Q$55,'Intermediate Data'!$Y163,0)=-99,"N/A",OFFSET(Q$55,'Intermediate Data'!$Y163,0))))</f>
        <v/>
      </c>
      <c r="AP163" s="697" t="str">
        <f ca="1">IF($Y163="","",IF(OFFSET(S$55,'Intermediate Data'!$Y163,0)=-98,"",IF(OFFSET(S$55,'Intermediate Data'!$Y163,0)=-99,"",OFFSET(S$55,'Intermediate Data'!$Y163,0))))</f>
        <v/>
      </c>
      <c r="AQ163" s="90" t="str">
        <f ca="1">IF($Y163="","",IF(OFFSET(T$55,'Intermediate Data'!$Y163,0)=-98,"Not published",IF(OFFSET(T$55,'Intermediate Data'!$Y163,0)=-99,"",OFFSET(T$55,'Intermediate Data'!$Y163,0))))</f>
        <v/>
      </c>
      <c r="AR163" s="90" t="str">
        <f ca="1">IF($Y163="","",IF(OFFSET(U$55,'Intermediate Data'!$Y163,0)=-98,"Unknown",IF(OFFSET(U$55,'Intermediate Data'!$Y163,0)=-99,"",OFFSET(U$55,'Intermediate Data'!$Y163,0))))</f>
        <v/>
      </c>
      <c r="AU163" s="112" t="str">
        <f ca="1">IF(AND(OFFSET(DATA!$F112,0,$AX$48)='Intermediate Data'!$AY$48,DATA!$E112="Tier 1"),IF(OR($AX$49=0,$AX$48=1),DATA!A112,IF(AND($AX$49=1,INDEX('Intermediate Data'!$AY$25:$AY$44,MATCH(DATA!$B112,'Intermediate Data'!$AX$25:$AX$44,0))=TRUE),DATA!A112,"")),"")</f>
        <v/>
      </c>
      <c r="AV163" s="112" t="str">
        <f ca="1">IF($AU163="","",DATA!B112)</f>
        <v/>
      </c>
      <c r="AW163" s="112" t="str">
        <f ca="1">IF(OR($AU163="",DATA!BI112=""),"",DATA!BI112)</f>
        <v/>
      </c>
      <c r="AX163" s="112" t="str">
        <f ca="1">IF(OR($AU163="",OFFSET(DATA!BK112,0,$AX$48)=""),"",OFFSET(DATA!BK112,0,$AX$48))</f>
        <v/>
      </c>
      <c r="AY163" s="112" t="str">
        <f ca="1">IF(OR($AU163="",OFFSET(DATA!BM112,0,$AX$48)=""),"",OFFSET(DATA!BM112,0,$AX$48))</f>
        <v/>
      </c>
      <c r="AZ163" s="112" t="str">
        <f ca="1">IF(OR($AU163="",OFFSET(DATA!BO112,0,'Intermediate Data'!$AX$48)=""),"",OFFSET(DATA!BO112,0,$AX$48))</f>
        <v/>
      </c>
      <c r="BA163" s="112" t="str">
        <f ca="1">IF(OR($AU163="",DATA!BQ112=""),"",DATA!BQ112)</f>
        <v/>
      </c>
      <c r="BB163" s="112" t="str">
        <f ca="1">IF($AU163="","",OFFSET(DATA!BS112,0,$AX$48))</f>
        <v/>
      </c>
      <c r="BC163" s="112" t="str">
        <f ca="1">IF($AU163="","",OFFSET(DATA!BU112,0,$AX$48))</f>
        <v/>
      </c>
      <c r="BD163" s="112" t="str">
        <f ca="1">IF($AU163="","",OFFSET(DATA!BW112,0,$AX$48))</f>
        <v/>
      </c>
      <c r="BE163" s="112" t="str">
        <f ca="1">IF($AU163="","",OFFSET(DATA!BY112,0,$AX$48))</f>
        <v/>
      </c>
      <c r="BF163" s="112" t="str">
        <f ca="1">IF($AU163="","",OFFSET(DATA!CA112,0,$AX$48))</f>
        <v/>
      </c>
      <c r="BG163" s="112" t="str">
        <f ca="1">IF($AU163="","",DATA!CC112)</f>
        <v/>
      </c>
      <c r="BH163" s="112" t="str">
        <f ca="1">IF($AU163="","",OFFSET(DATA!CE112,0,$AX$48))</f>
        <v/>
      </c>
      <c r="BI163" s="112" t="str">
        <f ca="1">IF($AU163="","",OFFSET(DATA!CG112,0,$AX$48))</f>
        <v/>
      </c>
      <c r="BJ163" s="112" t="str">
        <f ca="1">IF($AU163="","",OFFSET(DATA!CI112,0,$AX$48))</f>
        <v/>
      </c>
      <c r="BK163" s="112" t="str">
        <f ca="1">IF($AU163="","",OFFSET(DATA!CK112,0,$AX$48))</f>
        <v/>
      </c>
      <c r="BL163" s="112" t="str">
        <f ca="1">IF($AU163="","",OFFSET(DATA!CM112,0,$AX$48))</f>
        <v/>
      </c>
      <c r="BM163" s="112" t="str">
        <f ca="1">IF($AU163="","",DATA!BH112)</f>
        <v/>
      </c>
      <c r="BN163" s="112" t="str">
        <f ca="1">IF($AU163="","",DATA!DS112)</f>
        <v/>
      </c>
      <c r="BO163" s="112" t="str">
        <f ca="1">IF($AU163="","",DATA!DU112)</f>
        <v/>
      </c>
      <c r="BP163" s="112" t="str">
        <f ca="1">IF($AU163="","",DATA!DV112)</f>
        <v/>
      </c>
      <c r="BQ163" s="112" t="str">
        <f ca="1">IF($AU163="","",DATA!DX112)</f>
        <v/>
      </c>
      <c r="BR163" s="112" t="str">
        <f ca="1">IF($AU163="","",DATA!DZ112)</f>
        <v/>
      </c>
      <c r="BS163" s="171" t="str">
        <f ca="1">IF($AU163="","",DATA!EA112)</f>
        <v/>
      </c>
      <c r="BT163" s="171" t="str">
        <f ca="1">IF($AU163="","",DATA!EC112)</f>
        <v/>
      </c>
      <c r="BU163" s="171" t="str">
        <f ca="1">IF($AU163="","",DATA!EF112)</f>
        <v/>
      </c>
      <c r="BV163" s="113" t="str">
        <f t="shared" ca="1" si="24"/>
        <v/>
      </c>
      <c r="BW163" s="680" t="str">
        <f ca="1">IF(AU163="","",OFFSET(DATA!DC112,0,'Intermediate Data'!$AX$48))</f>
        <v/>
      </c>
      <c r="BX163" s="681" t="str">
        <f ca="1">IF($AU163="","",DATA!DG112)</f>
        <v/>
      </c>
      <c r="BY163" s="680" t="str">
        <f ca="1">IF($AU163="","",OFFSET(DATA!DE112,0,'Intermediate Data'!$AX$48))</f>
        <v/>
      </c>
      <c r="BZ163" s="681" t="str">
        <f ca="1">IF($AU163="","",DATA!DH112)</f>
        <v/>
      </c>
      <c r="CA163" s="90" t="str">
        <f t="shared" ca="1" si="25"/>
        <v/>
      </c>
      <c r="CB163" s="99" t="str">
        <f t="shared" ca="1" si="26"/>
        <v/>
      </c>
      <c r="CC163" s="90" t="str">
        <f t="shared" ca="1" si="27"/>
        <v/>
      </c>
      <c r="CD163" s="90" t="str">
        <f t="shared" ca="1" si="28"/>
        <v/>
      </c>
      <c r="CF163" s="90" t="str">
        <f ca="1">IF($CD163="","",IF(OFFSET(AV$55,'Intermediate Data'!$CD163,0)=-98,"Unknown",IF(OFFSET(AV$55,'Intermediate Data'!$CD163,0)=-99,"N/A",OFFSET(AV$55,'Intermediate Data'!$CD163,0))))</f>
        <v/>
      </c>
      <c r="CG163" s="90" t="str">
        <f ca="1">IF($CD163="","",IF(OFFSET(AW$55,'Intermediate Data'!$CD163,0)=-98,"",IF(OFFSET(AW$55,'Intermediate Data'!$CD163,0)=-99,"N/A",OFFSET(AW$55,'Intermediate Data'!$CD163,0))))</f>
        <v/>
      </c>
      <c r="CH163" s="90" t="str">
        <f ca="1">IF($CD163="","",IF(OFFSET(AX$55,'Intermediate Data'!$CD163,0)=-98,"Unknown",IF(OFFSET(AX$55,'Intermediate Data'!$CD163,0)=-99,"N/A",OFFSET(AX$55,'Intermediate Data'!$CD163,0))))</f>
        <v/>
      </c>
      <c r="CI163" s="125" t="str">
        <f ca="1">IF($CD163="","",IF(OFFSET(AY$55,'Intermediate Data'!$CD163,0)=-98,"Unknown",IF(OFFSET(AY$55,'Intermediate Data'!$CD163,0)=-99,"No spec",OFFSET(AY$55,'Intermediate Data'!$CD163,0))))</f>
        <v/>
      </c>
      <c r="CJ163" s="125" t="str">
        <f ca="1">IF($CD163="","",IF(OFFSET(AZ$55,'Intermediate Data'!$CD163,0)=-98,"Unknown",IF(OFFSET(AZ$55,'Intermediate Data'!$CD163,0)=-99,"N/A",OFFSET(AZ$55,'Intermediate Data'!$CD163,0))))</f>
        <v/>
      </c>
      <c r="CK163" s="90" t="str">
        <f ca="1">IF($CD163="","",IF(OFFSET(BA$55,'Intermediate Data'!$CD163,0)=-98,"Unknown",IF(OFFSET(BA$55,'Intermediate Data'!$CD163,0)=-99,"N/A",OFFSET(BA$55,'Intermediate Data'!$CD163,0))))</f>
        <v/>
      </c>
      <c r="CL163" s="90" t="str">
        <f ca="1">IF($CD163="","",IF(OFFSET(BB$55,'Intermediate Data'!$CD163,$AX$50)=-98,"Unknown",IF(OFFSET(BB$55,'Intermediate Data'!$CD163,$AX$50)="N/A","",OFFSET(BB$55,'Intermediate Data'!$CD163,$AX$50))))</f>
        <v/>
      </c>
      <c r="CM163" s="90" t="str">
        <f ca="1">IF($CD163="","",IF(OFFSET(BG$55,'Intermediate Data'!$CD163,0)="ET","ET",""))</f>
        <v/>
      </c>
      <c r="CN163" s="90" t="str">
        <f ca="1">IF($CD163="","",IF(OFFSET(BH$55,'Intermediate Data'!$CD163,$AX$50)=-98,"Unknown",IF(OFFSET(BH$55,'Intermediate Data'!$CD163,$AX$50)="N/A","",OFFSET(BH$55,'Intermediate Data'!$CD163,$AX$50))))</f>
        <v/>
      </c>
      <c r="CO163" s="90" t="str">
        <f ca="1">IF($CD163="","",IF(OFFSET(BM$55,'Intermediate Data'!$CD163,0)=-98,"Not published",IF(OFFSET(BM$55,'Intermediate Data'!$CD163,0)=-99,"No spec",OFFSET(BM$55,'Intermediate Data'!$CD163,0))))</f>
        <v/>
      </c>
      <c r="CP163" s="114" t="str">
        <f ca="1">IF($CD163="","",IF(OFFSET(BN$55,'Intermediate Data'!$CD163,0)=-98,"Unknown",IF(OFFSET(BN$55,'Intermediate Data'!$CD163,0)=-99,"N/A",OFFSET(BN$55,'Intermediate Data'!$CD163,0))))</f>
        <v/>
      </c>
      <c r="CQ163" s="114" t="str">
        <f ca="1">IF($CD163="","",IF(OFFSET(BO$55,'Intermediate Data'!$CD163,0)=-98,"Unknown",IF(OFFSET(BO$55,'Intermediate Data'!$CD163,0)=-99,"N/A",OFFSET(BO$55,'Intermediate Data'!$CD163,0))))</f>
        <v/>
      </c>
      <c r="CR163" s="114" t="str">
        <f ca="1">IF($CD163="","",IF(OFFSET(BP$55,'Intermediate Data'!$CD163,0)=-98,"Unknown",IF(OFFSET(BP$55,'Intermediate Data'!$CD163,0)=-99,"N/A",OFFSET(BP$55,'Intermediate Data'!$CD163,0))))</f>
        <v/>
      </c>
      <c r="CS163" s="114" t="str">
        <f ca="1">IF($CD163="","",IF(OFFSET(BQ$55,'Intermediate Data'!$CD163,0)=-98,"Unknown",IF(OFFSET(BQ$55,'Intermediate Data'!$CD163,0)=-99,"N/A",OFFSET(BQ$55,'Intermediate Data'!$CD163,0))))</f>
        <v/>
      </c>
      <c r="CT163" s="114" t="str">
        <f ca="1">IF($CD163="","",IF(OFFSET(BR$55,'Intermediate Data'!$CD163,0)=-98,"Unknown",IF(OFFSET(BR$55,'Intermediate Data'!$CD163,0)=-99,"N/A",OFFSET(BR$55,'Intermediate Data'!$CD163,0))))</f>
        <v/>
      </c>
      <c r="CU163" s="114" t="str">
        <f ca="1">IF($CD163="","",IF(OFFSET(BS$55,'Intermediate Data'!$CD163,0)=-98,"Unknown",IF(OFFSET(BS$55,'Intermediate Data'!$CD163,0)=-99,"N/A",OFFSET(BS$55,'Intermediate Data'!$CD163,0))))</f>
        <v/>
      </c>
      <c r="CV163" s="114" t="str">
        <f ca="1">IF($CD163="","",IF(OFFSET(BT$55,'Intermediate Data'!$CD163,0)=-98,"Unknown",IF(OFFSET(BT$55,'Intermediate Data'!$CD163,0)=-99,"N/A",OFFSET(BT$55,'Intermediate Data'!$CD163,0))))</f>
        <v/>
      </c>
      <c r="CW163" s="114" t="str">
        <f ca="1">IF($CD163="","",IF(OFFSET(BU$55,'Intermediate Data'!$CD163,0)=-98,"Unknown",IF(OFFSET(BU$55,'Intermediate Data'!$CD163,0)=-99,"N/A",OFFSET(BU$55,'Intermediate Data'!$CD163,0))))</f>
        <v/>
      </c>
      <c r="CX163" s="114" t="str">
        <f ca="1">IF($CD163="","",IF(OFFSET(BV$55,'Intermediate Data'!$CD163,0)=-98,"Unknown",IF(OFFSET(BV$55,'Intermediate Data'!$CD163,0)=-99,"N/A",OFFSET(BV$55,'Intermediate Data'!$CD163,0))))</f>
        <v/>
      </c>
      <c r="CY163" s="682" t="str">
        <f ca="1">IF($CD163="","",IF(OFFSET(BW$55,'Intermediate Data'!$CD163,0)=-98,"Unknown",IF(OFFSET(BW$55,'Intermediate Data'!$CD163,0)="N/A","",OFFSET(BW$55,'Intermediate Data'!$CD163,0))))</f>
        <v/>
      </c>
      <c r="CZ163" s="682" t="str">
        <f ca="1">IF($CD163="","",IF(OFFSET(BX$55,'Intermediate Data'!$CD163,0)=-98,"Unknown",IF(OFFSET(BX$55,'Intermediate Data'!$CD163,0)="N/A","",OFFSET(BX$55,'Intermediate Data'!$CD163,0))))</f>
        <v/>
      </c>
      <c r="DA163" s="682" t="str">
        <f ca="1">IF($CD163="","",IF(OFFSET(BY$55,'Intermediate Data'!$CD163,0)=-98,"Unknown",IF(OFFSET(BY$55,'Intermediate Data'!$CD163,0)="N/A","",OFFSET(BY$55,'Intermediate Data'!$CD163,0))))</f>
        <v/>
      </c>
      <c r="DB163" s="682" t="str">
        <f ca="1">IF($CD163="","",IF(OFFSET(BZ$55,'Intermediate Data'!$CD163,0)=-98,"Unknown",IF(OFFSET(BZ$55,'Intermediate Data'!$CD163,0)="N/A","",OFFSET(BZ$55,'Intermediate Data'!$CD163,0))))</f>
        <v/>
      </c>
    </row>
    <row r="164" spans="1:106" x14ac:dyDescent="0.2">
      <c r="A164" s="90">
        <f ca="1">IF(OFFSET(DATA!F113,0,$D$48)='Intermediate Data'!$E$48,IF(OR($E$49=$C$27,$E$48=$B$4),DATA!A113,IF($G$49=DATA!D113,DATA!A113,"")),"")</f>
        <v>109</v>
      </c>
      <c r="B164" s="90">
        <f ca="1">IF($A164="","",DATA!EH113)</f>
        <v>41</v>
      </c>
      <c r="C164" s="90" t="str">
        <f ca="1">IF($A164="","",DATA!B113)</f>
        <v>Ride-on toy car</v>
      </c>
      <c r="D164" s="90">
        <f ca="1">IF($A164="","",OFFSET(DATA!$H113,0,($D$50*5)))</f>
        <v>-99</v>
      </c>
      <c r="E164" s="90">
        <f ca="1">IF($A164="","",OFFSET(DATA!$H113,0,($D$50*5)+1))</f>
        <v>-99</v>
      </c>
      <c r="F164" s="90">
        <f ca="1">IF($A164="","",OFFSET(DATA!$H113,0,($D$50*5)+2))</f>
        <v>-99</v>
      </c>
      <c r="G164" s="90">
        <f ca="1">IF($A164="","",OFFSET(DATA!$H113,0,($D$50*5)+3))</f>
        <v>-99</v>
      </c>
      <c r="H164" s="90">
        <f ca="1">IF($A164="","",OFFSET(DATA!$H113,0,($D$50*5)+4))</f>
        <v>-99</v>
      </c>
      <c r="I164" s="90">
        <f t="shared" ca="1" si="17"/>
        <v>-99</v>
      </c>
      <c r="J164" s="90" t="str">
        <f t="shared" ca="1" si="18"/>
        <v/>
      </c>
      <c r="K164" s="90">
        <f ca="1">IF($A164="","",OFFSET(DATA!$AG113,0,($D$50*5)))</f>
        <v>-99</v>
      </c>
      <c r="L164" s="90">
        <f ca="1">IF($A164="","",OFFSET(DATA!$AG113,0,($D$50*5)+1))</f>
        <v>-99</v>
      </c>
      <c r="M164" s="90">
        <f ca="1">IF($A164="","",OFFSET(DATA!$AG113,0,($D$50*5)+2))</f>
        <v>-99</v>
      </c>
      <c r="N164" s="90">
        <f ca="1">IF($A164="","",OFFSET(DATA!$AG113,0,($D$50*5)+3))</f>
        <v>-99</v>
      </c>
      <c r="O164" s="90">
        <f ca="1">IF($A164="","",OFFSET(DATA!$AG113,0,($D$50*5)+4))</f>
        <v>-99</v>
      </c>
      <c r="P164" s="90">
        <f t="shared" ca="1" si="19"/>
        <v>-99</v>
      </c>
      <c r="Q164" s="90" t="str">
        <f t="shared" ca="1" si="20"/>
        <v/>
      </c>
      <c r="R164" s="699">
        <f ca="1">IF($A164="","",IF(DATA!BF113="",-99,DATA!BF113))</f>
        <v>-99</v>
      </c>
      <c r="S164" s="90">
        <f ca="1">IF($A164="","",IF(DATA!BG113="",-99,DATA!BF113-DATA!BG113))</f>
        <v>-99</v>
      </c>
      <c r="T164" s="90">
        <f ca="1">IF($A164="","",DATA!BH113)</f>
        <v>-99</v>
      </c>
      <c r="U164" s="90">
        <f ca="1">IF($A164="","",OFFSET(DATA!BM113,0,$D$48))</f>
        <v>-99</v>
      </c>
      <c r="V164" s="90">
        <f t="shared" ca="1" si="29"/>
        <v>41</v>
      </c>
      <c r="W164" s="99">
        <f t="shared" ca="1" si="21"/>
        <v>40.999881201639994</v>
      </c>
      <c r="X164" s="112">
        <f t="shared" ca="1" si="22"/>
        <v>19.999881201050002</v>
      </c>
      <c r="Y164" s="90">
        <f t="shared" ca="1" si="23"/>
        <v>50</v>
      </c>
      <c r="AA164" s="90" t="str">
        <f ca="1">IF($Y164="","",IF(OFFSET(C$55,'Intermediate Data'!$Y164,0)=-98,"Unknown",IF(OFFSET(C$55,'Intermediate Data'!$Y164,0)=-99,"N/A",OFFSET(C$55,'Intermediate Data'!$Y164,0))))</f>
        <v>Timer for devices, lights, etc</v>
      </c>
      <c r="AB164" s="90" t="str">
        <f ca="1">IF($Y164="","",IF(OFFSET(D$55,'Intermediate Data'!$Y164,0)=-98,"N/A",IF(OFFSET(D$55,'Intermediate Data'!$Y164,0)=-99,"N/A",OFFSET(D$55,'Intermediate Data'!$Y164,0))))</f>
        <v>N/A</v>
      </c>
      <c r="AC164" s="90" t="str">
        <f ca="1">IF($Y164="","",IF(OFFSET(E$55,'Intermediate Data'!$Y164,0)=-98,"N/A",IF(OFFSET(E$55,'Intermediate Data'!$Y164,0)=-99,"N/A",OFFSET(E$55,'Intermediate Data'!$Y164,0))))</f>
        <v>N/A</v>
      </c>
      <c r="AD164" s="90" t="str">
        <f ca="1">IF($Y164="","",IF(OFFSET(F$55,'Intermediate Data'!$Y164,0)=-98,"N/A",IF(OFFSET(F$55,'Intermediate Data'!$Y164,0)=-99,"N/A",OFFSET(F$55,'Intermediate Data'!$Y164,0))))</f>
        <v>N/A</v>
      </c>
      <c r="AE164" s="90" t="str">
        <f ca="1">IF($Y164="","",IF(OFFSET(G$55,'Intermediate Data'!$Y164,0)=-98,"N/A",IF(OFFSET(G$55,'Intermediate Data'!$Y164,0)=-99,"N/A",OFFSET(G$55,'Intermediate Data'!$Y164,0))))</f>
        <v>N/A</v>
      </c>
      <c r="AF164" s="90" t="str">
        <f ca="1">IF($Y164="","",IF(OFFSET(H$55,'Intermediate Data'!$Y164,0)=-98,"N/A",IF(OFFSET(H$55,'Intermediate Data'!$Y164,0)=-99,"N/A",OFFSET(H$55,'Intermediate Data'!$Y164,0))))</f>
        <v>N/A</v>
      </c>
      <c r="AG164" s="90" t="str">
        <f ca="1">IF($Y164="","",IF(OFFSET(I$55,'Intermediate Data'!$Y164,0)=-98,"N/A",IF(OFFSET(I$55,'Intermediate Data'!$Y164,0)=-99,"N/A",OFFSET(I$55,'Intermediate Data'!$Y164,0))))</f>
        <v>N/A</v>
      </c>
      <c r="AH164" s="90" t="str">
        <f ca="1">IF($Y164="","",IF(OFFSET(J$55,'Intermediate Data'!$Y164,0)=-98,"N/A",IF(OFFSET(J$55,'Intermediate Data'!$Y164,0)=-99,"N/A",OFFSET(J$55,'Intermediate Data'!$Y164,0))))</f>
        <v/>
      </c>
      <c r="AI164" s="90" t="str">
        <f ca="1">IF($Y164="","",IF(OFFSET(K$55,'Intermediate Data'!$Y164,0)=-98,"N/A",IF(OFFSET(K$55,'Intermediate Data'!$Y164,0)=-99,"N/A",OFFSET(K$55,'Intermediate Data'!$Y164,0))))</f>
        <v>N/A</v>
      </c>
      <c r="AJ164" s="90" t="str">
        <f ca="1">IF($Y164="","",IF(OFFSET(L$55,'Intermediate Data'!$Y164,0)=-98,"N/A",IF(OFFSET(L$55,'Intermediate Data'!$Y164,0)=-99,"N/A",OFFSET(L$55,'Intermediate Data'!$Y164,0))))</f>
        <v>N/A</v>
      </c>
      <c r="AK164" s="90" t="str">
        <f ca="1">IF($Y164="","",IF(OFFSET(M$55,'Intermediate Data'!$Y164,0)=-98,"N/A",IF(OFFSET(M$55,'Intermediate Data'!$Y164,0)=-99,"N/A",OFFSET(M$55,'Intermediate Data'!$Y164,0))))</f>
        <v>N/A</v>
      </c>
      <c r="AL164" s="90" t="str">
        <f ca="1">IF($Y164="","",IF(OFFSET(N$55,'Intermediate Data'!$Y164,0)=-98,"N/A",IF(OFFSET(N$55,'Intermediate Data'!$Y164,0)=-99,"N/A",OFFSET(N$55,'Intermediate Data'!$Y164,0))))</f>
        <v>N/A</v>
      </c>
      <c r="AM164" s="90" t="str">
        <f ca="1">IF($Y164="","",IF(OFFSET(O$55,'Intermediate Data'!$Y164,0)=-98,"N/A",IF(OFFSET(O$55,'Intermediate Data'!$Y164,0)=-99,"N/A",OFFSET(O$55,'Intermediate Data'!$Y164,0))))</f>
        <v>N/A</v>
      </c>
      <c r="AN164" s="90" t="str">
        <f ca="1">IF($Y164="","",IF(OFFSET(P$55,'Intermediate Data'!$Y164,0)=-98,"N/A",IF(OFFSET(P$55,'Intermediate Data'!$Y164,0)=-99,"N/A",OFFSET(P$55,'Intermediate Data'!$Y164,0))))</f>
        <v>N/A</v>
      </c>
      <c r="AO164" s="90" t="str">
        <f ca="1">IF($Y164="","",IF(OFFSET(Q$55,'Intermediate Data'!$Y164,0)=-98,"N/A",IF(OFFSET(Q$55,'Intermediate Data'!$Y164,0)=-99,"N/A",OFFSET(Q$55,'Intermediate Data'!$Y164,0))))</f>
        <v/>
      </c>
      <c r="AP164" s="697" t="str">
        <f ca="1">IF($Y164="","",IF(OFFSET(S$55,'Intermediate Data'!$Y164,0)=-98,"",IF(OFFSET(S$55,'Intermediate Data'!$Y164,0)=-99,"",OFFSET(S$55,'Intermediate Data'!$Y164,0))))</f>
        <v/>
      </c>
      <c r="AQ164" s="90" t="str">
        <f ca="1">IF($Y164="","",IF(OFFSET(T$55,'Intermediate Data'!$Y164,0)=-98,"Not published",IF(OFFSET(T$55,'Intermediate Data'!$Y164,0)=-99,"",OFFSET(T$55,'Intermediate Data'!$Y164,0))))</f>
        <v/>
      </c>
      <c r="AR164" s="90" t="str">
        <f ca="1">IF($Y164="","",IF(OFFSET(U$55,'Intermediate Data'!$Y164,0)=-98,"Unknown",IF(OFFSET(U$55,'Intermediate Data'!$Y164,0)=-99,"",OFFSET(U$55,'Intermediate Data'!$Y164,0))))</f>
        <v/>
      </c>
      <c r="AU164" s="112" t="str">
        <f ca="1">IF(AND(OFFSET(DATA!$F113,0,$AX$48)='Intermediate Data'!$AY$48,DATA!$E113="Tier 1"),IF(OR($AX$49=0,$AX$48=1),DATA!A113,IF(AND($AX$49=1,INDEX('Intermediate Data'!$AY$25:$AY$44,MATCH(DATA!$B113,'Intermediate Data'!$AX$25:$AX$44,0))=TRUE),DATA!A113,"")),"")</f>
        <v/>
      </c>
      <c r="AV164" s="112" t="str">
        <f ca="1">IF($AU164="","",DATA!B113)</f>
        <v/>
      </c>
      <c r="AW164" s="112" t="str">
        <f ca="1">IF(OR($AU164="",DATA!BI113=""),"",DATA!BI113)</f>
        <v/>
      </c>
      <c r="AX164" s="112" t="str">
        <f ca="1">IF(OR($AU164="",OFFSET(DATA!BK113,0,$AX$48)=""),"",OFFSET(DATA!BK113,0,$AX$48))</f>
        <v/>
      </c>
      <c r="AY164" s="112" t="str">
        <f ca="1">IF(OR($AU164="",OFFSET(DATA!BM113,0,$AX$48)=""),"",OFFSET(DATA!BM113,0,$AX$48))</f>
        <v/>
      </c>
      <c r="AZ164" s="112" t="str">
        <f ca="1">IF(OR($AU164="",OFFSET(DATA!BO113,0,'Intermediate Data'!$AX$48)=""),"",OFFSET(DATA!BO113,0,$AX$48))</f>
        <v/>
      </c>
      <c r="BA164" s="112" t="str">
        <f ca="1">IF(OR($AU164="",DATA!BQ113=""),"",DATA!BQ113)</f>
        <v/>
      </c>
      <c r="BB164" s="112" t="str">
        <f ca="1">IF($AU164="","",OFFSET(DATA!BS113,0,$AX$48))</f>
        <v/>
      </c>
      <c r="BC164" s="112" t="str">
        <f ca="1">IF($AU164="","",OFFSET(DATA!BU113,0,$AX$48))</f>
        <v/>
      </c>
      <c r="BD164" s="112" t="str">
        <f ca="1">IF($AU164="","",OFFSET(DATA!BW113,0,$AX$48))</f>
        <v/>
      </c>
      <c r="BE164" s="112" t="str">
        <f ca="1">IF($AU164="","",OFFSET(DATA!BY113,0,$AX$48))</f>
        <v/>
      </c>
      <c r="BF164" s="112" t="str">
        <f ca="1">IF($AU164="","",OFFSET(DATA!CA113,0,$AX$48))</f>
        <v/>
      </c>
      <c r="BG164" s="112" t="str">
        <f ca="1">IF($AU164="","",DATA!CC113)</f>
        <v/>
      </c>
      <c r="BH164" s="112" t="str">
        <f ca="1">IF($AU164="","",OFFSET(DATA!CE113,0,$AX$48))</f>
        <v/>
      </c>
      <c r="BI164" s="112" t="str">
        <f ca="1">IF($AU164="","",OFFSET(DATA!CG113,0,$AX$48))</f>
        <v/>
      </c>
      <c r="BJ164" s="112" t="str">
        <f ca="1">IF($AU164="","",OFFSET(DATA!CI113,0,$AX$48))</f>
        <v/>
      </c>
      <c r="BK164" s="112" t="str">
        <f ca="1">IF($AU164="","",OFFSET(DATA!CK113,0,$AX$48))</f>
        <v/>
      </c>
      <c r="BL164" s="112" t="str">
        <f ca="1">IF($AU164="","",OFFSET(DATA!CM113,0,$AX$48))</f>
        <v/>
      </c>
      <c r="BM164" s="112" t="str">
        <f ca="1">IF($AU164="","",DATA!BH113)</f>
        <v/>
      </c>
      <c r="BN164" s="112" t="str">
        <f ca="1">IF($AU164="","",DATA!DS113)</f>
        <v/>
      </c>
      <c r="BO164" s="112" t="str">
        <f ca="1">IF($AU164="","",DATA!DU113)</f>
        <v/>
      </c>
      <c r="BP164" s="112" t="str">
        <f ca="1">IF($AU164="","",DATA!DV113)</f>
        <v/>
      </c>
      <c r="BQ164" s="112" t="str">
        <f ca="1">IF($AU164="","",DATA!DX113)</f>
        <v/>
      </c>
      <c r="BR164" s="112" t="str">
        <f ca="1">IF($AU164="","",DATA!DZ113)</f>
        <v/>
      </c>
      <c r="BS164" s="171" t="str">
        <f ca="1">IF($AU164="","",DATA!EA113)</f>
        <v/>
      </c>
      <c r="BT164" s="171" t="str">
        <f ca="1">IF($AU164="","",DATA!EC113)</f>
        <v/>
      </c>
      <c r="BU164" s="171" t="str">
        <f ca="1">IF($AU164="","",DATA!EF113)</f>
        <v/>
      </c>
      <c r="BV164" s="113" t="str">
        <f t="shared" ca="1" si="24"/>
        <v/>
      </c>
      <c r="BW164" s="680" t="str">
        <f ca="1">IF(AU164="","",OFFSET(DATA!DC113,0,'Intermediate Data'!$AX$48))</f>
        <v/>
      </c>
      <c r="BX164" s="681" t="str">
        <f ca="1">IF($AU164="","",DATA!DG113)</f>
        <v/>
      </c>
      <c r="BY164" s="680" t="str">
        <f ca="1">IF($AU164="","",OFFSET(DATA!DE113,0,'Intermediate Data'!$AX$48))</f>
        <v/>
      </c>
      <c r="BZ164" s="681" t="str">
        <f ca="1">IF($AU164="","",DATA!DH113)</f>
        <v/>
      </c>
      <c r="CA164" s="90" t="str">
        <f t="shared" ca="1" si="25"/>
        <v/>
      </c>
      <c r="CB164" s="99" t="str">
        <f t="shared" ca="1" si="26"/>
        <v/>
      </c>
      <c r="CC164" s="90" t="str">
        <f t="shared" ca="1" si="27"/>
        <v/>
      </c>
      <c r="CD164" s="90" t="str">
        <f t="shared" ca="1" si="28"/>
        <v/>
      </c>
      <c r="CF164" s="90" t="str">
        <f ca="1">IF($CD164="","",IF(OFFSET(AV$55,'Intermediate Data'!$CD164,0)=-98,"Unknown",IF(OFFSET(AV$55,'Intermediate Data'!$CD164,0)=-99,"N/A",OFFSET(AV$55,'Intermediate Data'!$CD164,0))))</f>
        <v/>
      </c>
      <c r="CG164" s="90" t="str">
        <f ca="1">IF($CD164="","",IF(OFFSET(AW$55,'Intermediate Data'!$CD164,0)=-98,"",IF(OFFSET(AW$55,'Intermediate Data'!$CD164,0)=-99,"N/A",OFFSET(AW$55,'Intermediate Data'!$CD164,0))))</f>
        <v/>
      </c>
      <c r="CH164" s="90" t="str">
        <f ca="1">IF($CD164="","",IF(OFFSET(AX$55,'Intermediate Data'!$CD164,0)=-98,"Unknown",IF(OFFSET(AX$55,'Intermediate Data'!$CD164,0)=-99,"N/A",OFFSET(AX$55,'Intermediate Data'!$CD164,0))))</f>
        <v/>
      </c>
      <c r="CI164" s="125" t="str">
        <f ca="1">IF($CD164="","",IF(OFFSET(AY$55,'Intermediate Data'!$CD164,0)=-98,"Unknown",IF(OFFSET(AY$55,'Intermediate Data'!$CD164,0)=-99,"No spec",OFFSET(AY$55,'Intermediate Data'!$CD164,0))))</f>
        <v/>
      </c>
      <c r="CJ164" s="125" t="str">
        <f ca="1">IF($CD164="","",IF(OFFSET(AZ$55,'Intermediate Data'!$CD164,0)=-98,"Unknown",IF(OFFSET(AZ$55,'Intermediate Data'!$CD164,0)=-99,"N/A",OFFSET(AZ$55,'Intermediate Data'!$CD164,0))))</f>
        <v/>
      </c>
      <c r="CK164" s="90" t="str">
        <f ca="1">IF($CD164="","",IF(OFFSET(BA$55,'Intermediate Data'!$CD164,0)=-98,"Unknown",IF(OFFSET(BA$55,'Intermediate Data'!$CD164,0)=-99,"N/A",OFFSET(BA$55,'Intermediate Data'!$CD164,0))))</f>
        <v/>
      </c>
      <c r="CL164" s="90" t="str">
        <f ca="1">IF($CD164="","",IF(OFFSET(BB$55,'Intermediate Data'!$CD164,$AX$50)=-98,"Unknown",IF(OFFSET(BB$55,'Intermediate Data'!$CD164,$AX$50)="N/A","",OFFSET(BB$55,'Intermediate Data'!$CD164,$AX$50))))</f>
        <v/>
      </c>
      <c r="CM164" s="90" t="str">
        <f ca="1">IF($CD164="","",IF(OFFSET(BG$55,'Intermediate Data'!$CD164,0)="ET","ET",""))</f>
        <v/>
      </c>
      <c r="CN164" s="90" t="str">
        <f ca="1">IF($CD164="","",IF(OFFSET(BH$55,'Intermediate Data'!$CD164,$AX$50)=-98,"Unknown",IF(OFFSET(BH$55,'Intermediate Data'!$CD164,$AX$50)="N/A","",OFFSET(BH$55,'Intermediate Data'!$CD164,$AX$50))))</f>
        <v/>
      </c>
      <c r="CO164" s="90" t="str">
        <f ca="1">IF($CD164="","",IF(OFFSET(BM$55,'Intermediate Data'!$CD164,0)=-98,"Not published",IF(OFFSET(BM$55,'Intermediate Data'!$CD164,0)=-99,"No spec",OFFSET(BM$55,'Intermediate Data'!$CD164,0))))</f>
        <v/>
      </c>
      <c r="CP164" s="114" t="str">
        <f ca="1">IF($CD164="","",IF(OFFSET(BN$55,'Intermediate Data'!$CD164,0)=-98,"Unknown",IF(OFFSET(BN$55,'Intermediate Data'!$CD164,0)=-99,"N/A",OFFSET(BN$55,'Intermediate Data'!$CD164,0))))</f>
        <v/>
      </c>
      <c r="CQ164" s="114" t="str">
        <f ca="1">IF($CD164="","",IF(OFFSET(BO$55,'Intermediate Data'!$CD164,0)=-98,"Unknown",IF(OFFSET(BO$55,'Intermediate Data'!$CD164,0)=-99,"N/A",OFFSET(BO$55,'Intermediate Data'!$CD164,0))))</f>
        <v/>
      </c>
      <c r="CR164" s="114" t="str">
        <f ca="1">IF($CD164="","",IF(OFFSET(BP$55,'Intermediate Data'!$CD164,0)=-98,"Unknown",IF(OFFSET(BP$55,'Intermediate Data'!$CD164,0)=-99,"N/A",OFFSET(BP$55,'Intermediate Data'!$CD164,0))))</f>
        <v/>
      </c>
      <c r="CS164" s="114" t="str">
        <f ca="1">IF($CD164="","",IF(OFFSET(BQ$55,'Intermediate Data'!$CD164,0)=-98,"Unknown",IF(OFFSET(BQ$55,'Intermediate Data'!$CD164,0)=-99,"N/A",OFFSET(BQ$55,'Intermediate Data'!$CD164,0))))</f>
        <v/>
      </c>
      <c r="CT164" s="114" t="str">
        <f ca="1">IF($CD164="","",IF(OFFSET(BR$55,'Intermediate Data'!$CD164,0)=-98,"Unknown",IF(OFFSET(BR$55,'Intermediate Data'!$CD164,0)=-99,"N/A",OFFSET(BR$55,'Intermediate Data'!$CD164,0))))</f>
        <v/>
      </c>
      <c r="CU164" s="114" t="str">
        <f ca="1">IF($CD164="","",IF(OFFSET(BS$55,'Intermediate Data'!$CD164,0)=-98,"Unknown",IF(OFFSET(BS$55,'Intermediate Data'!$CD164,0)=-99,"N/A",OFFSET(BS$55,'Intermediate Data'!$CD164,0))))</f>
        <v/>
      </c>
      <c r="CV164" s="114" t="str">
        <f ca="1">IF($CD164="","",IF(OFFSET(BT$55,'Intermediate Data'!$CD164,0)=-98,"Unknown",IF(OFFSET(BT$55,'Intermediate Data'!$CD164,0)=-99,"N/A",OFFSET(BT$55,'Intermediate Data'!$CD164,0))))</f>
        <v/>
      </c>
      <c r="CW164" s="114" t="str">
        <f ca="1">IF($CD164="","",IF(OFFSET(BU$55,'Intermediate Data'!$CD164,0)=-98,"Unknown",IF(OFFSET(BU$55,'Intermediate Data'!$CD164,0)=-99,"N/A",OFFSET(BU$55,'Intermediate Data'!$CD164,0))))</f>
        <v/>
      </c>
      <c r="CX164" s="114" t="str">
        <f ca="1">IF($CD164="","",IF(OFFSET(BV$55,'Intermediate Data'!$CD164,0)=-98,"Unknown",IF(OFFSET(BV$55,'Intermediate Data'!$CD164,0)=-99,"N/A",OFFSET(BV$55,'Intermediate Data'!$CD164,0))))</f>
        <v/>
      </c>
      <c r="CY164" s="682" t="str">
        <f ca="1">IF($CD164="","",IF(OFFSET(BW$55,'Intermediate Data'!$CD164,0)=-98,"Unknown",IF(OFFSET(BW$55,'Intermediate Data'!$CD164,0)="N/A","",OFFSET(BW$55,'Intermediate Data'!$CD164,0))))</f>
        <v/>
      </c>
      <c r="CZ164" s="682" t="str">
        <f ca="1">IF($CD164="","",IF(OFFSET(BX$55,'Intermediate Data'!$CD164,0)=-98,"Unknown",IF(OFFSET(BX$55,'Intermediate Data'!$CD164,0)="N/A","",OFFSET(BX$55,'Intermediate Data'!$CD164,0))))</f>
        <v/>
      </c>
      <c r="DA164" s="682" t="str">
        <f ca="1">IF($CD164="","",IF(OFFSET(BY$55,'Intermediate Data'!$CD164,0)=-98,"Unknown",IF(OFFSET(BY$55,'Intermediate Data'!$CD164,0)="N/A","",OFFSET(BY$55,'Intermediate Data'!$CD164,0))))</f>
        <v/>
      </c>
      <c r="DB164" s="682" t="str">
        <f ca="1">IF($CD164="","",IF(OFFSET(BZ$55,'Intermediate Data'!$CD164,0)=-98,"Unknown",IF(OFFSET(BZ$55,'Intermediate Data'!$CD164,0)="N/A","",OFFSET(BZ$55,'Intermediate Data'!$CD164,0))))</f>
        <v/>
      </c>
    </row>
    <row r="165" spans="1:106" x14ac:dyDescent="0.2">
      <c r="A165" s="90">
        <f ca="1">IF(OFFSET(DATA!F114,0,$D$48)='Intermediate Data'!$E$48,IF(OR($E$49=$C$27,$E$48=$B$4),DATA!A114,IF($G$49=DATA!D114,DATA!A114,"")),"")</f>
        <v>110</v>
      </c>
      <c r="B165" s="90">
        <f ca="1">IF($A165="","",DATA!EH114)</f>
        <v>38</v>
      </c>
      <c r="C165" s="90" t="str">
        <f ca="1">IF($A165="","",DATA!B114)</f>
        <v>Sauna</v>
      </c>
      <c r="D165" s="90">
        <f ca="1">IF($A165="","",OFFSET(DATA!$H114,0,($D$50*5)))</f>
        <v>-99</v>
      </c>
      <c r="E165" s="90">
        <f ca="1">IF($A165="","",OFFSET(DATA!$H114,0,($D$50*5)+1))</f>
        <v>7.8222873142073206E-3</v>
      </c>
      <c r="F165" s="90">
        <f ca="1">IF($A165="","",OFFSET(DATA!$H114,0,($D$50*5)+2))</f>
        <v>-99</v>
      </c>
      <c r="G165" s="90">
        <f ca="1">IF($A165="","",OFFSET(DATA!$H114,0,($D$50*5)+3))</f>
        <v>8.358238643330072E-3</v>
      </c>
      <c r="H165" s="90">
        <f ca="1">IF($A165="","",OFFSET(DATA!$H114,0,($D$50*5)+4))</f>
        <v>-99</v>
      </c>
      <c r="I165" s="90">
        <f t="shared" ca="1" si="17"/>
        <v>8.358238643330072E-3</v>
      </c>
      <c r="J165" s="90" t="str">
        <f t="shared" ca="1" si="18"/>
        <v>RASS</v>
      </c>
      <c r="K165" s="90">
        <f ca="1">IF($A165="","",OFFSET(DATA!$AG114,0,($D$50*5)))</f>
        <v>-99</v>
      </c>
      <c r="L165" s="90">
        <f ca="1">IF($A165="","",OFFSET(DATA!$AG114,0,($D$50*5)+1))</f>
        <v>7.920143926447373E-3</v>
      </c>
      <c r="M165" s="90">
        <f ca="1">IF($A165="","",OFFSET(DATA!$AG114,0,($D$50*5)+2))</f>
        <v>-99</v>
      </c>
      <c r="N165" s="90">
        <f ca="1">IF($A165="","",OFFSET(DATA!$AG114,0,($D$50*5)+3))</f>
        <v>8.5905611976979934E-3</v>
      </c>
      <c r="O165" s="90">
        <f ca="1">IF($A165="","",OFFSET(DATA!$AG114,0,($D$50*5)+4))</f>
        <v>-99</v>
      </c>
      <c r="P165" s="90">
        <f t="shared" ca="1" si="19"/>
        <v>8.5905611976979934E-3</v>
      </c>
      <c r="Q165" s="90" t="str">
        <f t="shared" ca="1" si="20"/>
        <v>RASS</v>
      </c>
      <c r="R165" s="699">
        <f ca="1">IF($A165="","",IF(DATA!BF114="",-99,DATA!BF114))</f>
        <v>-99</v>
      </c>
      <c r="S165" s="90">
        <f ca="1">IF($A165="","",IF(DATA!BG114="",-99,DATA!BF114-DATA!BG114))</f>
        <v>-99</v>
      </c>
      <c r="T165" s="90">
        <f ca="1">IF($A165="","",DATA!BH114)</f>
        <v>-99</v>
      </c>
      <c r="U165" s="90">
        <f ca="1">IF($A165="","",OFFSET(DATA!BM114,0,$D$48))</f>
        <v>-99</v>
      </c>
      <c r="V165" s="90">
        <f t="shared" ca="1" si="29"/>
        <v>38</v>
      </c>
      <c r="W165" s="99">
        <f t="shared" ca="1" si="21"/>
        <v>37.999930705754949</v>
      </c>
      <c r="X165" s="112">
        <f t="shared" ca="1" si="22"/>
        <v>18.999881201000001</v>
      </c>
      <c r="Y165" s="90">
        <f t="shared" ca="1" si="23"/>
        <v>45</v>
      </c>
      <c r="AA165" s="90" t="str">
        <f ca="1">IF($Y165="","",IF(OFFSET(C$55,'Intermediate Data'!$Y165,0)=-98,"Unknown",IF(OFFSET(C$55,'Intermediate Data'!$Y165,0)=-99,"N/A",OFFSET(C$55,'Intermediate Data'!$Y165,0))))</f>
        <v>Toaster/Toaster oven</v>
      </c>
      <c r="AB165" s="90" t="str">
        <f ca="1">IF($Y165="","",IF(OFFSET(D$55,'Intermediate Data'!$Y165,0)=-98,"N/A",IF(OFFSET(D$55,'Intermediate Data'!$Y165,0)=-99,"N/A",OFFSET(D$55,'Intermediate Data'!$Y165,0))))</f>
        <v>N/A</v>
      </c>
      <c r="AC165" s="90" t="str">
        <f ca="1">IF($Y165="","",IF(OFFSET(E$55,'Intermediate Data'!$Y165,0)=-98,"N/A",IF(OFFSET(E$55,'Intermediate Data'!$Y165,0)=-99,"N/A",OFFSET(E$55,'Intermediate Data'!$Y165,0))))</f>
        <v>N/A</v>
      </c>
      <c r="AD165" s="90" t="str">
        <f ca="1">IF($Y165="","",IF(OFFSET(F$55,'Intermediate Data'!$Y165,0)=-98,"N/A",IF(OFFSET(F$55,'Intermediate Data'!$Y165,0)=-99,"N/A",OFFSET(F$55,'Intermediate Data'!$Y165,0))))</f>
        <v>N/A</v>
      </c>
      <c r="AE165" s="90" t="str">
        <f ca="1">IF($Y165="","",IF(OFFSET(G$55,'Intermediate Data'!$Y165,0)=-98,"N/A",IF(OFFSET(G$55,'Intermediate Data'!$Y165,0)=-99,"N/A",OFFSET(G$55,'Intermediate Data'!$Y165,0))))</f>
        <v>N/A</v>
      </c>
      <c r="AF165" s="90" t="str">
        <f ca="1">IF($Y165="","",IF(OFFSET(H$55,'Intermediate Data'!$Y165,0)=-98,"N/A",IF(OFFSET(H$55,'Intermediate Data'!$Y165,0)=-99,"N/A",OFFSET(H$55,'Intermediate Data'!$Y165,0))))</f>
        <v>N/A</v>
      </c>
      <c r="AG165" s="90" t="str">
        <f ca="1">IF($Y165="","",IF(OFFSET(I$55,'Intermediate Data'!$Y165,0)=-98,"N/A",IF(OFFSET(I$55,'Intermediate Data'!$Y165,0)=-99,"N/A",OFFSET(I$55,'Intermediate Data'!$Y165,0))))</f>
        <v>N/A</v>
      </c>
      <c r="AH165" s="90" t="str">
        <f ca="1">IF($Y165="","",IF(OFFSET(J$55,'Intermediate Data'!$Y165,0)=-98,"N/A",IF(OFFSET(J$55,'Intermediate Data'!$Y165,0)=-99,"N/A",OFFSET(J$55,'Intermediate Data'!$Y165,0))))</f>
        <v/>
      </c>
      <c r="AI165" s="90" t="str">
        <f ca="1">IF($Y165="","",IF(OFFSET(K$55,'Intermediate Data'!$Y165,0)=-98,"N/A",IF(OFFSET(K$55,'Intermediate Data'!$Y165,0)=-99,"N/A",OFFSET(K$55,'Intermediate Data'!$Y165,0))))</f>
        <v>N/A</v>
      </c>
      <c r="AJ165" s="90" t="str">
        <f ca="1">IF($Y165="","",IF(OFFSET(L$55,'Intermediate Data'!$Y165,0)=-98,"N/A",IF(OFFSET(L$55,'Intermediate Data'!$Y165,0)=-99,"N/A",OFFSET(L$55,'Intermediate Data'!$Y165,0))))</f>
        <v>N/A</v>
      </c>
      <c r="AK165" s="90" t="str">
        <f ca="1">IF($Y165="","",IF(OFFSET(M$55,'Intermediate Data'!$Y165,0)=-98,"N/A",IF(OFFSET(M$55,'Intermediate Data'!$Y165,0)=-99,"N/A",OFFSET(M$55,'Intermediate Data'!$Y165,0))))</f>
        <v>N/A</v>
      </c>
      <c r="AL165" s="90" t="str">
        <f ca="1">IF($Y165="","",IF(OFFSET(N$55,'Intermediate Data'!$Y165,0)=-98,"N/A",IF(OFFSET(N$55,'Intermediate Data'!$Y165,0)=-99,"N/A",OFFSET(N$55,'Intermediate Data'!$Y165,0))))</f>
        <v>N/A</v>
      </c>
      <c r="AM165" s="90" t="str">
        <f ca="1">IF($Y165="","",IF(OFFSET(O$55,'Intermediate Data'!$Y165,0)=-98,"N/A",IF(OFFSET(O$55,'Intermediate Data'!$Y165,0)=-99,"N/A",OFFSET(O$55,'Intermediate Data'!$Y165,0))))</f>
        <v>N/A</v>
      </c>
      <c r="AN165" s="90" t="str">
        <f ca="1">IF($Y165="","",IF(OFFSET(P$55,'Intermediate Data'!$Y165,0)=-98,"N/A",IF(OFFSET(P$55,'Intermediate Data'!$Y165,0)=-99,"N/A",OFFSET(P$55,'Intermediate Data'!$Y165,0))))</f>
        <v>N/A</v>
      </c>
      <c r="AO165" s="90" t="str">
        <f ca="1">IF($Y165="","",IF(OFFSET(Q$55,'Intermediate Data'!$Y165,0)=-98,"N/A",IF(OFFSET(Q$55,'Intermediate Data'!$Y165,0)=-99,"N/A",OFFSET(Q$55,'Intermediate Data'!$Y165,0))))</f>
        <v/>
      </c>
      <c r="AP165" s="697" t="str">
        <f ca="1">IF($Y165="","",IF(OFFSET(S$55,'Intermediate Data'!$Y165,0)=-98,"",IF(OFFSET(S$55,'Intermediate Data'!$Y165,0)=-99,"",OFFSET(S$55,'Intermediate Data'!$Y165,0))))</f>
        <v/>
      </c>
      <c r="AQ165" s="90" t="str">
        <f ca="1">IF($Y165="","",IF(OFFSET(T$55,'Intermediate Data'!$Y165,0)=-98,"Not published",IF(OFFSET(T$55,'Intermediate Data'!$Y165,0)=-99,"",OFFSET(T$55,'Intermediate Data'!$Y165,0))))</f>
        <v/>
      </c>
      <c r="AR165" s="90" t="str">
        <f ca="1">IF($Y165="","",IF(OFFSET(U$55,'Intermediate Data'!$Y165,0)=-98,"Unknown",IF(OFFSET(U$55,'Intermediate Data'!$Y165,0)=-99,"",OFFSET(U$55,'Intermediate Data'!$Y165,0))))</f>
        <v/>
      </c>
      <c r="AU165" s="112" t="str">
        <f ca="1">IF(AND(OFFSET(DATA!$F114,0,$AX$48)='Intermediate Data'!$AY$48,DATA!$E114="Tier 1"),IF(OR($AX$49=0,$AX$48=1),DATA!A114,IF(AND($AX$49=1,INDEX('Intermediate Data'!$AY$25:$AY$44,MATCH(DATA!$B114,'Intermediate Data'!$AX$25:$AX$44,0))=TRUE),DATA!A114,"")),"")</f>
        <v/>
      </c>
      <c r="AV165" s="112" t="str">
        <f ca="1">IF($AU165="","",DATA!B114)</f>
        <v/>
      </c>
      <c r="AW165" s="112" t="str">
        <f ca="1">IF(OR($AU165="",DATA!BI114=""),"",DATA!BI114)</f>
        <v/>
      </c>
      <c r="AX165" s="112" t="str">
        <f ca="1">IF(OR($AU165="",OFFSET(DATA!BK114,0,$AX$48)=""),"",OFFSET(DATA!BK114,0,$AX$48))</f>
        <v/>
      </c>
      <c r="AY165" s="112" t="str">
        <f ca="1">IF(OR($AU165="",OFFSET(DATA!BM114,0,$AX$48)=""),"",OFFSET(DATA!BM114,0,$AX$48))</f>
        <v/>
      </c>
      <c r="AZ165" s="112" t="str">
        <f ca="1">IF(OR($AU165="",OFFSET(DATA!BO114,0,'Intermediate Data'!$AX$48)=""),"",OFFSET(DATA!BO114,0,$AX$48))</f>
        <v/>
      </c>
      <c r="BA165" s="112" t="str">
        <f ca="1">IF(OR($AU165="",DATA!BQ114=""),"",DATA!BQ114)</f>
        <v/>
      </c>
      <c r="BB165" s="112" t="str">
        <f ca="1">IF($AU165="","",OFFSET(DATA!BS114,0,$AX$48))</f>
        <v/>
      </c>
      <c r="BC165" s="112" t="str">
        <f ca="1">IF($AU165="","",OFFSET(DATA!BU114,0,$AX$48))</f>
        <v/>
      </c>
      <c r="BD165" s="112" t="str">
        <f ca="1">IF($AU165="","",OFFSET(DATA!BW114,0,$AX$48))</f>
        <v/>
      </c>
      <c r="BE165" s="112" t="str">
        <f ca="1">IF($AU165="","",OFFSET(DATA!BY114,0,$AX$48))</f>
        <v/>
      </c>
      <c r="BF165" s="112" t="str">
        <f ca="1">IF($AU165="","",OFFSET(DATA!CA114,0,$AX$48))</f>
        <v/>
      </c>
      <c r="BG165" s="112" t="str">
        <f ca="1">IF($AU165="","",DATA!CC114)</f>
        <v/>
      </c>
      <c r="BH165" s="112" t="str">
        <f ca="1">IF($AU165="","",OFFSET(DATA!CE114,0,$AX$48))</f>
        <v/>
      </c>
      <c r="BI165" s="112" t="str">
        <f ca="1">IF($AU165="","",OFFSET(DATA!CG114,0,$AX$48))</f>
        <v/>
      </c>
      <c r="BJ165" s="112" t="str">
        <f ca="1">IF($AU165="","",OFFSET(DATA!CI114,0,$AX$48))</f>
        <v/>
      </c>
      <c r="BK165" s="112" t="str">
        <f ca="1">IF($AU165="","",OFFSET(DATA!CK114,0,$AX$48))</f>
        <v/>
      </c>
      <c r="BL165" s="112" t="str">
        <f ca="1">IF($AU165="","",OFFSET(DATA!CM114,0,$AX$48))</f>
        <v/>
      </c>
      <c r="BM165" s="112" t="str">
        <f ca="1">IF($AU165="","",DATA!BH114)</f>
        <v/>
      </c>
      <c r="BN165" s="112" t="str">
        <f ca="1">IF($AU165="","",DATA!DS114)</f>
        <v/>
      </c>
      <c r="BO165" s="112" t="str">
        <f ca="1">IF($AU165="","",DATA!DU114)</f>
        <v/>
      </c>
      <c r="BP165" s="112" t="str">
        <f ca="1">IF($AU165="","",DATA!DV114)</f>
        <v/>
      </c>
      <c r="BQ165" s="112" t="str">
        <f ca="1">IF($AU165="","",DATA!DX114)</f>
        <v/>
      </c>
      <c r="BR165" s="112" t="str">
        <f ca="1">IF($AU165="","",DATA!DZ114)</f>
        <v/>
      </c>
      <c r="BS165" s="171" t="str">
        <f ca="1">IF($AU165="","",DATA!EA114)</f>
        <v/>
      </c>
      <c r="BT165" s="171" t="str">
        <f ca="1">IF($AU165="","",DATA!EC114)</f>
        <v/>
      </c>
      <c r="BU165" s="171" t="str">
        <f ca="1">IF($AU165="","",DATA!EF114)</f>
        <v/>
      </c>
      <c r="BV165" s="113" t="str">
        <f t="shared" ca="1" si="24"/>
        <v/>
      </c>
      <c r="BW165" s="680" t="str">
        <f ca="1">IF(AU165="","",OFFSET(DATA!DC114,0,'Intermediate Data'!$AX$48))</f>
        <v/>
      </c>
      <c r="BX165" s="681" t="str">
        <f ca="1">IF($AU165="","",DATA!DG114)</f>
        <v/>
      </c>
      <c r="BY165" s="680" t="str">
        <f ca="1">IF($AU165="","",OFFSET(DATA!DE114,0,'Intermediate Data'!$AX$48))</f>
        <v/>
      </c>
      <c r="BZ165" s="681" t="str">
        <f ca="1">IF($AU165="","",DATA!DH114)</f>
        <v/>
      </c>
      <c r="CA165" s="90" t="str">
        <f t="shared" ca="1" si="25"/>
        <v/>
      </c>
      <c r="CB165" s="99" t="str">
        <f t="shared" ca="1" si="26"/>
        <v/>
      </c>
      <c r="CC165" s="90" t="str">
        <f t="shared" ca="1" si="27"/>
        <v/>
      </c>
      <c r="CD165" s="90" t="str">
        <f t="shared" ca="1" si="28"/>
        <v/>
      </c>
      <c r="CF165" s="90" t="str">
        <f ca="1">IF($CD165="","",IF(OFFSET(AV$55,'Intermediate Data'!$CD165,0)=-98,"Unknown",IF(OFFSET(AV$55,'Intermediate Data'!$CD165,0)=-99,"N/A",OFFSET(AV$55,'Intermediate Data'!$CD165,0))))</f>
        <v/>
      </c>
      <c r="CG165" s="90" t="str">
        <f ca="1">IF($CD165="","",IF(OFFSET(AW$55,'Intermediate Data'!$CD165,0)=-98,"",IF(OFFSET(AW$55,'Intermediate Data'!$CD165,0)=-99,"N/A",OFFSET(AW$55,'Intermediate Data'!$CD165,0))))</f>
        <v/>
      </c>
      <c r="CH165" s="90" t="str">
        <f ca="1">IF($CD165="","",IF(OFFSET(AX$55,'Intermediate Data'!$CD165,0)=-98,"Unknown",IF(OFFSET(AX$55,'Intermediate Data'!$CD165,0)=-99,"N/A",OFFSET(AX$55,'Intermediate Data'!$CD165,0))))</f>
        <v/>
      </c>
      <c r="CI165" s="125" t="str">
        <f ca="1">IF($CD165="","",IF(OFFSET(AY$55,'Intermediate Data'!$CD165,0)=-98,"Unknown",IF(OFFSET(AY$55,'Intermediate Data'!$CD165,0)=-99,"No spec",OFFSET(AY$55,'Intermediate Data'!$CD165,0))))</f>
        <v/>
      </c>
      <c r="CJ165" s="125" t="str">
        <f ca="1">IF($CD165="","",IF(OFFSET(AZ$55,'Intermediate Data'!$CD165,0)=-98,"Unknown",IF(OFFSET(AZ$55,'Intermediate Data'!$CD165,0)=-99,"N/A",OFFSET(AZ$55,'Intermediate Data'!$CD165,0))))</f>
        <v/>
      </c>
      <c r="CK165" s="90" t="str">
        <f ca="1">IF($CD165="","",IF(OFFSET(BA$55,'Intermediate Data'!$CD165,0)=-98,"Unknown",IF(OFFSET(BA$55,'Intermediate Data'!$CD165,0)=-99,"N/A",OFFSET(BA$55,'Intermediate Data'!$CD165,0))))</f>
        <v/>
      </c>
      <c r="CL165" s="90" t="str">
        <f ca="1">IF($CD165="","",IF(OFFSET(BB$55,'Intermediate Data'!$CD165,$AX$50)=-98,"Unknown",IF(OFFSET(BB$55,'Intermediate Data'!$CD165,$AX$50)="N/A","",OFFSET(BB$55,'Intermediate Data'!$CD165,$AX$50))))</f>
        <v/>
      </c>
      <c r="CM165" s="90" t="str">
        <f ca="1">IF($CD165="","",IF(OFFSET(BG$55,'Intermediate Data'!$CD165,0)="ET","ET",""))</f>
        <v/>
      </c>
      <c r="CN165" s="90" t="str">
        <f ca="1">IF($CD165="","",IF(OFFSET(BH$55,'Intermediate Data'!$CD165,$AX$50)=-98,"Unknown",IF(OFFSET(BH$55,'Intermediate Data'!$CD165,$AX$50)="N/A","",OFFSET(BH$55,'Intermediate Data'!$CD165,$AX$50))))</f>
        <v/>
      </c>
      <c r="CO165" s="90" t="str">
        <f ca="1">IF($CD165="","",IF(OFFSET(BM$55,'Intermediate Data'!$CD165,0)=-98,"Not published",IF(OFFSET(BM$55,'Intermediate Data'!$CD165,0)=-99,"No spec",OFFSET(BM$55,'Intermediate Data'!$CD165,0))))</f>
        <v/>
      </c>
      <c r="CP165" s="114" t="str">
        <f ca="1">IF($CD165="","",IF(OFFSET(BN$55,'Intermediate Data'!$CD165,0)=-98,"Unknown",IF(OFFSET(BN$55,'Intermediate Data'!$CD165,0)=-99,"N/A",OFFSET(BN$55,'Intermediate Data'!$CD165,0))))</f>
        <v/>
      </c>
      <c r="CQ165" s="114" t="str">
        <f ca="1">IF($CD165="","",IF(OFFSET(BO$55,'Intermediate Data'!$CD165,0)=-98,"Unknown",IF(OFFSET(BO$55,'Intermediate Data'!$CD165,0)=-99,"N/A",OFFSET(BO$55,'Intermediate Data'!$CD165,0))))</f>
        <v/>
      </c>
      <c r="CR165" s="114" t="str">
        <f ca="1">IF($CD165="","",IF(OFFSET(BP$55,'Intermediate Data'!$CD165,0)=-98,"Unknown",IF(OFFSET(BP$55,'Intermediate Data'!$CD165,0)=-99,"N/A",OFFSET(BP$55,'Intermediate Data'!$CD165,0))))</f>
        <v/>
      </c>
      <c r="CS165" s="114" t="str">
        <f ca="1">IF($CD165="","",IF(OFFSET(BQ$55,'Intermediate Data'!$CD165,0)=-98,"Unknown",IF(OFFSET(BQ$55,'Intermediate Data'!$CD165,0)=-99,"N/A",OFFSET(BQ$55,'Intermediate Data'!$CD165,0))))</f>
        <v/>
      </c>
      <c r="CT165" s="114" t="str">
        <f ca="1">IF($CD165="","",IF(OFFSET(BR$55,'Intermediate Data'!$CD165,0)=-98,"Unknown",IF(OFFSET(BR$55,'Intermediate Data'!$CD165,0)=-99,"N/A",OFFSET(BR$55,'Intermediate Data'!$CD165,0))))</f>
        <v/>
      </c>
      <c r="CU165" s="114" t="str">
        <f ca="1">IF($CD165="","",IF(OFFSET(BS$55,'Intermediate Data'!$CD165,0)=-98,"Unknown",IF(OFFSET(BS$55,'Intermediate Data'!$CD165,0)=-99,"N/A",OFFSET(BS$55,'Intermediate Data'!$CD165,0))))</f>
        <v/>
      </c>
      <c r="CV165" s="114" t="str">
        <f ca="1">IF($CD165="","",IF(OFFSET(BT$55,'Intermediate Data'!$CD165,0)=-98,"Unknown",IF(OFFSET(BT$55,'Intermediate Data'!$CD165,0)=-99,"N/A",OFFSET(BT$55,'Intermediate Data'!$CD165,0))))</f>
        <v/>
      </c>
      <c r="CW165" s="114" t="str">
        <f ca="1">IF($CD165="","",IF(OFFSET(BU$55,'Intermediate Data'!$CD165,0)=-98,"Unknown",IF(OFFSET(BU$55,'Intermediate Data'!$CD165,0)=-99,"N/A",OFFSET(BU$55,'Intermediate Data'!$CD165,0))))</f>
        <v/>
      </c>
      <c r="CX165" s="114" t="str">
        <f ca="1">IF($CD165="","",IF(OFFSET(BV$55,'Intermediate Data'!$CD165,0)=-98,"Unknown",IF(OFFSET(BV$55,'Intermediate Data'!$CD165,0)=-99,"N/A",OFFSET(BV$55,'Intermediate Data'!$CD165,0))))</f>
        <v/>
      </c>
      <c r="CY165" s="682" t="str">
        <f ca="1">IF($CD165="","",IF(OFFSET(BW$55,'Intermediate Data'!$CD165,0)=-98,"Unknown",IF(OFFSET(BW$55,'Intermediate Data'!$CD165,0)="N/A","",OFFSET(BW$55,'Intermediate Data'!$CD165,0))))</f>
        <v/>
      </c>
      <c r="CZ165" s="682" t="str">
        <f ca="1">IF($CD165="","",IF(OFFSET(BX$55,'Intermediate Data'!$CD165,0)=-98,"Unknown",IF(OFFSET(BX$55,'Intermediate Data'!$CD165,0)="N/A","",OFFSET(BX$55,'Intermediate Data'!$CD165,0))))</f>
        <v/>
      </c>
      <c r="DA165" s="682" t="str">
        <f ca="1">IF($CD165="","",IF(OFFSET(BY$55,'Intermediate Data'!$CD165,0)=-98,"Unknown",IF(OFFSET(BY$55,'Intermediate Data'!$CD165,0)="N/A","",OFFSET(BY$55,'Intermediate Data'!$CD165,0))))</f>
        <v/>
      </c>
      <c r="DB165" s="682" t="str">
        <f ca="1">IF($CD165="","",IF(OFFSET(BZ$55,'Intermediate Data'!$CD165,0)=-98,"Unknown",IF(OFFSET(BZ$55,'Intermediate Data'!$CD165,0)="N/A","",OFFSET(BZ$55,'Intermediate Data'!$CD165,0))))</f>
        <v/>
      </c>
    </row>
    <row r="166" spans="1:106" x14ac:dyDescent="0.2">
      <c r="A166" s="90">
        <f ca="1">IF(OFFSET(DATA!F115,0,$D$48)='Intermediate Data'!$E$48,IF(OR($E$49=$C$27,$E$48=$B$4),DATA!A115,IF($G$49=DATA!D115,DATA!A115,"")),"")</f>
        <v>111</v>
      </c>
      <c r="B166" s="90">
        <f ca="1">IF($A166="","",DATA!EH115)</f>
        <v>3</v>
      </c>
      <c r="C166" s="90" t="str">
        <f ca="1">IF($A166="","",DATA!B115)</f>
        <v>Waterbed heater</v>
      </c>
      <c r="D166" s="90">
        <f ca="1">IF($A166="","",OFFSET(DATA!$H115,0,($D$50*5)))</f>
        <v>-99</v>
      </c>
      <c r="E166" s="90">
        <f ca="1">IF($A166="","",OFFSET(DATA!$H115,0,($D$50*5)+1))</f>
        <v>1.6462975021171413E-2</v>
      </c>
      <c r="F166" s="90">
        <f ca="1">IF($A166="","",OFFSET(DATA!$H115,0,($D$50*5)+2))</f>
        <v>-99</v>
      </c>
      <c r="G166" s="90">
        <f ca="1">IF($A166="","",OFFSET(DATA!$H115,0,($D$50*5)+3))</f>
        <v>-99</v>
      </c>
      <c r="H166" s="90">
        <f ca="1">IF($A166="","",OFFSET(DATA!$H115,0,($D$50*5)+4))</f>
        <v>-99</v>
      </c>
      <c r="I166" s="90">
        <f t="shared" ca="1" si="17"/>
        <v>1.6462975021171413E-2</v>
      </c>
      <c r="J166" s="90" t="str">
        <f t="shared" ca="1" si="18"/>
        <v>RASS</v>
      </c>
      <c r="K166" s="90">
        <f ca="1">IF($A166="","",OFFSET(DATA!$AG115,0,($D$50*5)))</f>
        <v>-99</v>
      </c>
      <c r="L166" s="90">
        <f ca="1">IF($A166="","",OFFSET(DATA!$AG115,0,($D$50*5)+1))</f>
        <v>1.8311989128922661E-2</v>
      </c>
      <c r="M166" s="90">
        <f ca="1">IF($A166="","",OFFSET(DATA!$AG115,0,($D$50*5)+2))</f>
        <v>-99</v>
      </c>
      <c r="N166" s="90">
        <f ca="1">IF($A166="","",OFFSET(DATA!$AG115,0,($D$50*5)+3))</f>
        <v>-99</v>
      </c>
      <c r="O166" s="90">
        <f ca="1">IF($A166="","",OFFSET(DATA!$AG115,0,($D$50*5)+4))</f>
        <v>-99</v>
      </c>
      <c r="P166" s="90">
        <f t="shared" ca="1" si="19"/>
        <v>1.8311989128922661E-2</v>
      </c>
      <c r="Q166" s="90" t="str">
        <f t="shared" ca="1" si="20"/>
        <v>RASS</v>
      </c>
      <c r="R166" s="699">
        <f ca="1">IF($A166="","",IF(DATA!BF115="",-99,DATA!BF115))</f>
        <v>-99</v>
      </c>
      <c r="S166" s="90">
        <f ca="1">IF($A166="","",IF(DATA!BG115="",-99,DATA!BF115-DATA!BG115))</f>
        <v>-99</v>
      </c>
      <c r="T166" s="90">
        <f ca="1">IF($A166="","",DATA!BH115)</f>
        <v>-99</v>
      </c>
      <c r="U166" s="90">
        <f ca="1">IF($A166="","",OFFSET(DATA!BM115,0,$D$48))</f>
        <v>-99</v>
      </c>
      <c r="V166" s="90">
        <f t="shared" ca="1" si="29"/>
        <v>3</v>
      </c>
      <c r="W166" s="99">
        <f t="shared" ca="1" si="21"/>
        <v>2.9999109067837941</v>
      </c>
      <c r="X166" s="112">
        <f t="shared" ca="1" si="22"/>
        <v>17.99988120171</v>
      </c>
      <c r="Y166" s="90">
        <f t="shared" ca="1" si="23"/>
        <v>116</v>
      </c>
      <c r="AA166" s="90" t="str">
        <f ca="1">IF($Y166="","",IF(OFFSET(C$55,'Intermediate Data'!$Y166,0)=-98,"Unknown",IF(OFFSET(C$55,'Intermediate Data'!$Y166,0)=-99,"N/A",OFFSET(C$55,'Intermediate Data'!$Y166,0))))</f>
        <v>Tooth brush</v>
      </c>
      <c r="AB166" s="90" t="str">
        <f ca="1">IF($Y166="","",IF(OFFSET(D$55,'Intermediate Data'!$Y166,0)=-98,"N/A",IF(OFFSET(D$55,'Intermediate Data'!$Y166,0)=-99,"N/A",OFFSET(D$55,'Intermediate Data'!$Y166,0))))</f>
        <v>N/A</v>
      </c>
      <c r="AC166" s="90" t="str">
        <f ca="1">IF($Y166="","",IF(OFFSET(E$55,'Intermediate Data'!$Y166,0)=-98,"N/A",IF(OFFSET(E$55,'Intermediate Data'!$Y166,0)=-99,"N/A",OFFSET(E$55,'Intermediate Data'!$Y166,0))))</f>
        <v>N/A</v>
      </c>
      <c r="AD166" s="90" t="str">
        <f ca="1">IF($Y166="","",IF(OFFSET(F$55,'Intermediate Data'!$Y166,0)=-98,"N/A",IF(OFFSET(F$55,'Intermediate Data'!$Y166,0)=-99,"N/A",OFFSET(F$55,'Intermediate Data'!$Y166,0))))</f>
        <v>N/A</v>
      </c>
      <c r="AE166" s="90" t="str">
        <f ca="1">IF($Y166="","",IF(OFFSET(G$55,'Intermediate Data'!$Y166,0)=-98,"N/A",IF(OFFSET(G$55,'Intermediate Data'!$Y166,0)=-99,"N/A",OFFSET(G$55,'Intermediate Data'!$Y166,0))))</f>
        <v>N/A</v>
      </c>
      <c r="AF166" s="90" t="str">
        <f ca="1">IF($Y166="","",IF(OFFSET(H$55,'Intermediate Data'!$Y166,0)=-98,"N/A",IF(OFFSET(H$55,'Intermediate Data'!$Y166,0)=-99,"N/A",OFFSET(H$55,'Intermediate Data'!$Y166,0))))</f>
        <v>N/A</v>
      </c>
      <c r="AG166" s="90" t="str">
        <f ca="1">IF($Y166="","",IF(OFFSET(I$55,'Intermediate Data'!$Y166,0)=-98,"N/A",IF(OFFSET(I$55,'Intermediate Data'!$Y166,0)=-99,"N/A",OFFSET(I$55,'Intermediate Data'!$Y166,0))))</f>
        <v>N/A</v>
      </c>
      <c r="AH166" s="90" t="str">
        <f ca="1">IF($Y166="","",IF(OFFSET(J$55,'Intermediate Data'!$Y166,0)=-98,"N/A",IF(OFFSET(J$55,'Intermediate Data'!$Y166,0)=-99,"N/A",OFFSET(J$55,'Intermediate Data'!$Y166,0))))</f>
        <v/>
      </c>
      <c r="AI166" s="90" t="str">
        <f ca="1">IF($Y166="","",IF(OFFSET(K$55,'Intermediate Data'!$Y166,0)=-98,"N/A",IF(OFFSET(K$55,'Intermediate Data'!$Y166,0)=-99,"N/A",OFFSET(K$55,'Intermediate Data'!$Y166,0))))</f>
        <v>N/A</v>
      </c>
      <c r="AJ166" s="90" t="str">
        <f ca="1">IF($Y166="","",IF(OFFSET(L$55,'Intermediate Data'!$Y166,0)=-98,"N/A",IF(OFFSET(L$55,'Intermediate Data'!$Y166,0)=-99,"N/A",OFFSET(L$55,'Intermediate Data'!$Y166,0))))</f>
        <v>N/A</v>
      </c>
      <c r="AK166" s="90" t="str">
        <f ca="1">IF($Y166="","",IF(OFFSET(M$55,'Intermediate Data'!$Y166,0)=-98,"N/A",IF(OFFSET(M$55,'Intermediate Data'!$Y166,0)=-99,"N/A",OFFSET(M$55,'Intermediate Data'!$Y166,0))))</f>
        <v>N/A</v>
      </c>
      <c r="AL166" s="90" t="str">
        <f ca="1">IF($Y166="","",IF(OFFSET(N$55,'Intermediate Data'!$Y166,0)=-98,"N/A",IF(OFFSET(N$55,'Intermediate Data'!$Y166,0)=-99,"N/A",OFFSET(N$55,'Intermediate Data'!$Y166,0))))</f>
        <v>N/A</v>
      </c>
      <c r="AM166" s="90" t="str">
        <f ca="1">IF($Y166="","",IF(OFFSET(O$55,'Intermediate Data'!$Y166,0)=-98,"N/A",IF(OFFSET(O$55,'Intermediate Data'!$Y166,0)=-99,"N/A",OFFSET(O$55,'Intermediate Data'!$Y166,0))))</f>
        <v>N/A</v>
      </c>
      <c r="AN166" s="90" t="str">
        <f ca="1">IF($Y166="","",IF(OFFSET(P$55,'Intermediate Data'!$Y166,0)=-98,"N/A",IF(OFFSET(P$55,'Intermediate Data'!$Y166,0)=-99,"N/A",OFFSET(P$55,'Intermediate Data'!$Y166,0))))</f>
        <v>N/A</v>
      </c>
      <c r="AO166" s="90" t="str">
        <f ca="1">IF($Y166="","",IF(OFFSET(Q$55,'Intermediate Data'!$Y166,0)=-98,"N/A",IF(OFFSET(Q$55,'Intermediate Data'!$Y166,0)=-99,"N/A",OFFSET(Q$55,'Intermediate Data'!$Y166,0))))</f>
        <v/>
      </c>
      <c r="AP166" s="697" t="str">
        <f ca="1">IF($Y166="","",IF(OFFSET(S$55,'Intermediate Data'!$Y166,0)=-98,"",IF(OFFSET(S$55,'Intermediate Data'!$Y166,0)=-99,"",OFFSET(S$55,'Intermediate Data'!$Y166,0))))</f>
        <v/>
      </c>
      <c r="AQ166" s="90" t="str">
        <f ca="1">IF($Y166="","",IF(OFFSET(T$55,'Intermediate Data'!$Y166,0)=-98,"Not published",IF(OFFSET(T$55,'Intermediate Data'!$Y166,0)=-99,"",OFFSET(T$55,'Intermediate Data'!$Y166,0))))</f>
        <v/>
      </c>
      <c r="AR166" s="90" t="str">
        <f ca="1">IF($Y166="","",IF(OFFSET(U$55,'Intermediate Data'!$Y166,0)=-98,"Unknown",IF(OFFSET(U$55,'Intermediate Data'!$Y166,0)=-99,"",OFFSET(U$55,'Intermediate Data'!$Y166,0))))</f>
        <v/>
      </c>
      <c r="AU166" s="112" t="str">
        <f ca="1">IF(AND(OFFSET(DATA!$F115,0,$AX$48)='Intermediate Data'!$AY$48,DATA!$E115="Tier 1"),IF(OR($AX$49=0,$AX$48=1),DATA!A115,IF(AND($AX$49=1,INDEX('Intermediate Data'!$AY$25:$AY$44,MATCH(DATA!$B115,'Intermediate Data'!$AX$25:$AX$44,0))=TRUE),DATA!A115,"")),"")</f>
        <v/>
      </c>
      <c r="AV166" s="112" t="str">
        <f ca="1">IF($AU166="","",DATA!B115)</f>
        <v/>
      </c>
      <c r="AW166" s="112" t="str">
        <f ca="1">IF(OR($AU166="",DATA!BI115=""),"",DATA!BI115)</f>
        <v/>
      </c>
      <c r="AX166" s="112" t="str">
        <f ca="1">IF(OR($AU166="",OFFSET(DATA!BK115,0,$AX$48)=""),"",OFFSET(DATA!BK115,0,$AX$48))</f>
        <v/>
      </c>
      <c r="AY166" s="112" t="str">
        <f ca="1">IF(OR($AU166="",OFFSET(DATA!BM115,0,$AX$48)=""),"",OFFSET(DATA!BM115,0,$AX$48))</f>
        <v/>
      </c>
      <c r="AZ166" s="112" t="str">
        <f ca="1">IF(OR($AU166="",OFFSET(DATA!BO115,0,'Intermediate Data'!$AX$48)=""),"",OFFSET(DATA!BO115,0,$AX$48))</f>
        <v/>
      </c>
      <c r="BA166" s="112" t="str">
        <f ca="1">IF(OR($AU166="",DATA!BQ115=""),"",DATA!BQ115)</f>
        <v/>
      </c>
      <c r="BB166" s="112" t="str">
        <f ca="1">IF($AU166="","",OFFSET(DATA!BS115,0,$AX$48))</f>
        <v/>
      </c>
      <c r="BC166" s="112" t="str">
        <f ca="1">IF($AU166="","",OFFSET(DATA!BU115,0,$AX$48))</f>
        <v/>
      </c>
      <c r="BD166" s="112" t="str">
        <f ca="1">IF($AU166="","",OFFSET(DATA!BW115,0,$AX$48))</f>
        <v/>
      </c>
      <c r="BE166" s="112" t="str">
        <f ca="1">IF($AU166="","",OFFSET(DATA!BY115,0,$AX$48))</f>
        <v/>
      </c>
      <c r="BF166" s="112" t="str">
        <f ca="1">IF($AU166="","",OFFSET(DATA!CA115,0,$AX$48))</f>
        <v/>
      </c>
      <c r="BG166" s="112" t="str">
        <f ca="1">IF($AU166="","",DATA!CC115)</f>
        <v/>
      </c>
      <c r="BH166" s="112" t="str">
        <f ca="1">IF($AU166="","",OFFSET(DATA!CE115,0,$AX$48))</f>
        <v/>
      </c>
      <c r="BI166" s="112" t="str">
        <f ca="1">IF($AU166="","",OFFSET(DATA!CG115,0,$AX$48))</f>
        <v/>
      </c>
      <c r="BJ166" s="112" t="str">
        <f ca="1">IF($AU166="","",OFFSET(DATA!CI115,0,$AX$48))</f>
        <v/>
      </c>
      <c r="BK166" s="112" t="str">
        <f ca="1">IF($AU166="","",OFFSET(DATA!CK115,0,$AX$48))</f>
        <v/>
      </c>
      <c r="BL166" s="112" t="str">
        <f ca="1">IF($AU166="","",OFFSET(DATA!CM115,0,$AX$48))</f>
        <v/>
      </c>
      <c r="BM166" s="112" t="str">
        <f ca="1">IF($AU166="","",DATA!BH115)</f>
        <v/>
      </c>
      <c r="BN166" s="112" t="str">
        <f ca="1">IF($AU166="","",DATA!DS115)</f>
        <v/>
      </c>
      <c r="BO166" s="112" t="str">
        <f ca="1">IF($AU166="","",DATA!DU115)</f>
        <v/>
      </c>
      <c r="BP166" s="112" t="str">
        <f ca="1">IF($AU166="","",DATA!DV115)</f>
        <v/>
      </c>
      <c r="BQ166" s="112" t="str">
        <f ca="1">IF($AU166="","",DATA!DX115)</f>
        <v/>
      </c>
      <c r="BR166" s="112" t="str">
        <f ca="1">IF($AU166="","",DATA!DZ115)</f>
        <v/>
      </c>
      <c r="BS166" s="171" t="str">
        <f ca="1">IF($AU166="","",DATA!EA115)</f>
        <v/>
      </c>
      <c r="BT166" s="171" t="str">
        <f ca="1">IF($AU166="","",DATA!EC115)</f>
        <v/>
      </c>
      <c r="BU166" s="171" t="str">
        <f ca="1">IF($AU166="","",DATA!EF115)</f>
        <v/>
      </c>
      <c r="BV166" s="113" t="str">
        <f t="shared" ca="1" si="24"/>
        <v/>
      </c>
      <c r="BW166" s="680" t="str">
        <f ca="1">IF(AU166="","",OFFSET(DATA!DC115,0,'Intermediate Data'!$AX$48))</f>
        <v/>
      </c>
      <c r="BX166" s="681" t="str">
        <f ca="1">IF($AU166="","",DATA!DG115)</f>
        <v/>
      </c>
      <c r="BY166" s="680" t="str">
        <f ca="1">IF($AU166="","",OFFSET(DATA!DE115,0,'Intermediate Data'!$AX$48))</f>
        <v/>
      </c>
      <c r="BZ166" s="681" t="str">
        <f ca="1">IF($AU166="","",DATA!DH115)</f>
        <v/>
      </c>
      <c r="CA166" s="90" t="str">
        <f t="shared" ca="1" si="25"/>
        <v/>
      </c>
      <c r="CB166" s="99" t="str">
        <f t="shared" ca="1" si="26"/>
        <v/>
      </c>
      <c r="CC166" s="90" t="str">
        <f t="shared" ca="1" si="27"/>
        <v/>
      </c>
      <c r="CD166" s="90" t="str">
        <f t="shared" ca="1" si="28"/>
        <v/>
      </c>
      <c r="CF166" s="90" t="str">
        <f ca="1">IF($CD166="","",IF(OFFSET(AV$55,'Intermediate Data'!$CD166,0)=-98,"Unknown",IF(OFFSET(AV$55,'Intermediate Data'!$CD166,0)=-99,"N/A",OFFSET(AV$55,'Intermediate Data'!$CD166,0))))</f>
        <v/>
      </c>
      <c r="CG166" s="90" t="str">
        <f ca="1">IF($CD166="","",IF(OFFSET(AW$55,'Intermediate Data'!$CD166,0)=-98,"",IF(OFFSET(AW$55,'Intermediate Data'!$CD166,0)=-99,"N/A",OFFSET(AW$55,'Intermediate Data'!$CD166,0))))</f>
        <v/>
      </c>
      <c r="CH166" s="90" t="str">
        <f ca="1">IF($CD166="","",IF(OFFSET(AX$55,'Intermediate Data'!$CD166,0)=-98,"Unknown",IF(OFFSET(AX$55,'Intermediate Data'!$CD166,0)=-99,"N/A",OFFSET(AX$55,'Intermediate Data'!$CD166,0))))</f>
        <v/>
      </c>
      <c r="CI166" s="125" t="str">
        <f ca="1">IF($CD166="","",IF(OFFSET(AY$55,'Intermediate Data'!$CD166,0)=-98,"Unknown",IF(OFFSET(AY$55,'Intermediate Data'!$CD166,0)=-99,"No spec",OFFSET(AY$55,'Intermediate Data'!$CD166,0))))</f>
        <v/>
      </c>
      <c r="CJ166" s="125" t="str">
        <f ca="1">IF($CD166="","",IF(OFFSET(AZ$55,'Intermediate Data'!$CD166,0)=-98,"Unknown",IF(OFFSET(AZ$55,'Intermediate Data'!$CD166,0)=-99,"N/A",OFFSET(AZ$55,'Intermediate Data'!$CD166,0))))</f>
        <v/>
      </c>
      <c r="CK166" s="90" t="str">
        <f ca="1">IF($CD166="","",IF(OFFSET(BA$55,'Intermediate Data'!$CD166,0)=-98,"Unknown",IF(OFFSET(BA$55,'Intermediate Data'!$CD166,0)=-99,"N/A",OFFSET(BA$55,'Intermediate Data'!$CD166,0))))</f>
        <v/>
      </c>
      <c r="CL166" s="90" t="str">
        <f ca="1">IF($CD166="","",IF(OFFSET(BB$55,'Intermediate Data'!$CD166,$AX$50)=-98,"Unknown",IF(OFFSET(BB$55,'Intermediate Data'!$CD166,$AX$50)="N/A","",OFFSET(BB$55,'Intermediate Data'!$CD166,$AX$50))))</f>
        <v/>
      </c>
      <c r="CM166" s="90" t="str">
        <f ca="1">IF($CD166="","",IF(OFFSET(BG$55,'Intermediate Data'!$CD166,0)="ET","ET",""))</f>
        <v/>
      </c>
      <c r="CN166" s="90" t="str">
        <f ca="1">IF($CD166="","",IF(OFFSET(BH$55,'Intermediate Data'!$CD166,$AX$50)=-98,"Unknown",IF(OFFSET(BH$55,'Intermediate Data'!$CD166,$AX$50)="N/A","",OFFSET(BH$55,'Intermediate Data'!$CD166,$AX$50))))</f>
        <v/>
      </c>
      <c r="CO166" s="90" t="str">
        <f ca="1">IF($CD166="","",IF(OFFSET(BM$55,'Intermediate Data'!$CD166,0)=-98,"Not published",IF(OFFSET(BM$55,'Intermediate Data'!$CD166,0)=-99,"No spec",OFFSET(BM$55,'Intermediate Data'!$CD166,0))))</f>
        <v/>
      </c>
      <c r="CP166" s="114" t="str">
        <f ca="1">IF($CD166="","",IF(OFFSET(BN$55,'Intermediate Data'!$CD166,0)=-98,"Unknown",IF(OFFSET(BN$55,'Intermediate Data'!$CD166,0)=-99,"N/A",OFFSET(BN$55,'Intermediate Data'!$CD166,0))))</f>
        <v/>
      </c>
      <c r="CQ166" s="114" t="str">
        <f ca="1">IF($CD166="","",IF(OFFSET(BO$55,'Intermediate Data'!$CD166,0)=-98,"Unknown",IF(OFFSET(BO$55,'Intermediate Data'!$CD166,0)=-99,"N/A",OFFSET(BO$55,'Intermediate Data'!$CD166,0))))</f>
        <v/>
      </c>
      <c r="CR166" s="114" t="str">
        <f ca="1">IF($CD166="","",IF(OFFSET(BP$55,'Intermediate Data'!$CD166,0)=-98,"Unknown",IF(OFFSET(BP$55,'Intermediate Data'!$CD166,0)=-99,"N/A",OFFSET(BP$55,'Intermediate Data'!$CD166,0))))</f>
        <v/>
      </c>
      <c r="CS166" s="114" t="str">
        <f ca="1">IF($CD166="","",IF(OFFSET(BQ$55,'Intermediate Data'!$CD166,0)=-98,"Unknown",IF(OFFSET(BQ$55,'Intermediate Data'!$CD166,0)=-99,"N/A",OFFSET(BQ$55,'Intermediate Data'!$CD166,0))))</f>
        <v/>
      </c>
      <c r="CT166" s="114" t="str">
        <f ca="1">IF($CD166="","",IF(OFFSET(BR$55,'Intermediate Data'!$CD166,0)=-98,"Unknown",IF(OFFSET(BR$55,'Intermediate Data'!$CD166,0)=-99,"N/A",OFFSET(BR$55,'Intermediate Data'!$CD166,0))))</f>
        <v/>
      </c>
      <c r="CU166" s="114" t="str">
        <f ca="1">IF($CD166="","",IF(OFFSET(BS$55,'Intermediate Data'!$CD166,0)=-98,"Unknown",IF(OFFSET(BS$55,'Intermediate Data'!$CD166,0)=-99,"N/A",OFFSET(BS$55,'Intermediate Data'!$CD166,0))))</f>
        <v/>
      </c>
      <c r="CV166" s="114" t="str">
        <f ca="1">IF($CD166="","",IF(OFFSET(BT$55,'Intermediate Data'!$CD166,0)=-98,"Unknown",IF(OFFSET(BT$55,'Intermediate Data'!$CD166,0)=-99,"N/A",OFFSET(BT$55,'Intermediate Data'!$CD166,0))))</f>
        <v/>
      </c>
      <c r="CW166" s="114" t="str">
        <f ca="1">IF($CD166="","",IF(OFFSET(BU$55,'Intermediate Data'!$CD166,0)=-98,"Unknown",IF(OFFSET(BU$55,'Intermediate Data'!$CD166,0)=-99,"N/A",OFFSET(BU$55,'Intermediate Data'!$CD166,0))))</f>
        <v/>
      </c>
      <c r="CX166" s="114" t="str">
        <f ca="1">IF($CD166="","",IF(OFFSET(BV$55,'Intermediate Data'!$CD166,0)=-98,"Unknown",IF(OFFSET(BV$55,'Intermediate Data'!$CD166,0)=-99,"N/A",OFFSET(BV$55,'Intermediate Data'!$CD166,0))))</f>
        <v/>
      </c>
      <c r="CY166" s="682" t="str">
        <f ca="1">IF($CD166="","",IF(OFFSET(BW$55,'Intermediate Data'!$CD166,0)=-98,"Unknown",IF(OFFSET(BW$55,'Intermediate Data'!$CD166,0)="N/A","",OFFSET(BW$55,'Intermediate Data'!$CD166,0))))</f>
        <v/>
      </c>
      <c r="CZ166" s="682" t="str">
        <f ca="1">IF($CD166="","",IF(OFFSET(BX$55,'Intermediate Data'!$CD166,0)=-98,"Unknown",IF(OFFSET(BX$55,'Intermediate Data'!$CD166,0)="N/A","",OFFSET(BX$55,'Intermediate Data'!$CD166,0))))</f>
        <v/>
      </c>
      <c r="DA166" s="682" t="str">
        <f ca="1">IF($CD166="","",IF(OFFSET(BY$55,'Intermediate Data'!$CD166,0)=-98,"Unknown",IF(OFFSET(BY$55,'Intermediate Data'!$CD166,0)="N/A","",OFFSET(BY$55,'Intermediate Data'!$CD166,0))))</f>
        <v/>
      </c>
      <c r="DB166" s="682" t="str">
        <f ca="1">IF($CD166="","",IF(OFFSET(BZ$55,'Intermediate Data'!$CD166,0)=-98,"Unknown",IF(OFFSET(BZ$55,'Intermediate Data'!$CD166,0)="N/A","",OFFSET(BZ$55,'Intermediate Data'!$CD166,0))))</f>
        <v/>
      </c>
    </row>
    <row r="167" spans="1:106" x14ac:dyDescent="0.2">
      <c r="A167" s="90">
        <f ca="1">IF(OFFSET(DATA!F116,0,$D$48)='Intermediate Data'!$E$48,IF(OR($E$49=$C$27,$E$48=$B$4),DATA!A116,IF($G$49=DATA!D116,DATA!A116,"")),"")</f>
        <v>112</v>
      </c>
      <c r="B167" s="90">
        <f ca="1">IF($A167="","",DATA!EH116)</f>
        <v>111</v>
      </c>
      <c r="C167" s="90" t="str">
        <f ca="1">IF($A167="","",DATA!B116)</f>
        <v>Curling iron</v>
      </c>
      <c r="D167" s="90">
        <f ca="1">IF($A167="","",OFFSET(DATA!$H116,0,($D$50*5)))</f>
        <v>-99</v>
      </c>
      <c r="E167" s="90">
        <f ca="1">IF($A167="","",OFFSET(DATA!$H116,0,($D$50*5)+1))</f>
        <v>-99</v>
      </c>
      <c r="F167" s="90">
        <f ca="1">IF($A167="","",OFFSET(DATA!$H116,0,($D$50*5)+2))</f>
        <v>-99</v>
      </c>
      <c r="G167" s="90">
        <f ca="1">IF($A167="","",OFFSET(DATA!$H116,0,($D$50*5)+3))</f>
        <v>-99</v>
      </c>
      <c r="H167" s="90">
        <f ca="1">IF($A167="","",OFFSET(DATA!$H116,0,($D$50*5)+4))</f>
        <v>-99</v>
      </c>
      <c r="I167" s="90">
        <f t="shared" ca="1" si="17"/>
        <v>-99</v>
      </c>
      <c r="J167" s="90" t="str">
        <f t="shared" ca="1" si="18"/>
        <v/>
      </c>
      <c r="K167" s="90">
        <f ca="1">IF($A167="","",OFFSET(DATA!$AG116,0,($D$50*5)))</f>
        <v>-99</v>
      </c>
      <c r="L167" s="90">
        <f ca="1">IF($A167="","",OFFSET(DATA!$AG116,0,($D$50*5)+1))</f>
        <v>-99</v>
      </c>
      <c r="M167" s="90">
        <f ca="1">IF($A167="","",OFFSET(DATA!$AG116,0,($D$50*5)+2))</f>
        <v>-99</v>
      </c>
      <c r="N167" s="90">
        <f ca="1">IF($A167="","",OFFSET(DATA!$AG116,0,($D$50*5)+3))</f>
        <v>-99</v>
      </c>
      <c r="O167" s="90">
        <f ca="1">IF($A167="","",OFFSET(DATA!$AG116,0,($D$50*5)+4))</f>
        <v>-99</v>
      </c>
      <c r="P167" s="90">
        <f t="shared" ca="1" si="19"/>
        <v>-99</v>
      </c>
      <c r="Q167" s="90" t="str">
        <f t="shared" ca="1" si="20"/>
        <v/>
      </c>
      <c r="R167" s="699">
        <f ca="1">IF($A167="","",IF(DATA!BF116="",-99,DATA!BF116))</f>
        <v>-99</v>
      </c>
      <c r="S167" s="90">
        <f ca="1">IF($A167="","",IF(DATA!BG116="",-99,DATA!BF116-DATA!BG116))</f>
        <v>-99</v>
      </c>
      <c r="T167" s="90">
        <f ca="1">IF($A167="","",DATA!BH116)</f>
        <v>-99</v>
      </c>
      <c r="U167" s="90">
        <f ca="1">IF($A167="","",OFFSET(DATA!BM116,0,$D$48))</f>
        <v>-99</v>
      </c>
      <c r="V167" s="90">
        <f t="shared" ca="1" si="29"/>
        <v>111</v>
      </c>
      <c r="W167" s="99">
        <f t="shared" ca="1" si="21"/>
        <v>110.99988120167001</v>
      </c>
      <c r="X167" s="112">
        <f t="shared" ca="1" si="22"/>
        <v>16.999881201720001</v>
      </c>
      <c r="Y167" s="90">
        <f t="shared" ca="1" si="23"/>
        <v>117</v>
      </c>
      <c r="AA167" s="90" t="str">
        <f ca="1">IF($Y167="","",IF(OFFSET(C$55,'Intermediate Data'!$Y167,0)=-98,"Unknown",IF(OFFSET(C$55,'Intermediate Data'!$Y167,0)=-99,"N/A",OFFSET(C$55,'Intermediate Data'!$Y167,0))))</f>
        <v>Towel warmer</v>
      </c>
      <c r="AB167" s="90" t="str">
        <f ca="1">IF($Y167="","",IF(OFFSET(D$55,'Intermediate Data'!$Y167,0)=-98,"N/A",IF(OFFSET(D$55,'Intermediate Data'!$Y167,0)=-99,"N/A",OFFSET(D$55,'Intermediate Data'!$Y167,0))))</f>
        <v>N/A</v>
      </c>
      <c r="AC167" s="90" t="str">
        <f ca="1">IF($Y167="","",IF(OFFSET(E$55,'Intermediate Data'!$Y167,0)=-98,"N/A",IF(OFFSET(E$55,'Intermediate Data'!$Y167,0)=-99,"N/A",OFFSET(E$55,'Intermediate Data'!$Y167,0))))</f>
        <v>N/A</v>
      </c>
      <c r="AD167" s="90" t="str">
        <f ca="1">IF($Y167="","",IF(OFFSET(F$55,'Intermediate Data'!$Y167,0)=-98,"N/A",IF(OFFSET(F$55,'Intermediate Data'!$Y167,0)=-99,"N/A",OFFSET(F$55,'Intermediate Data'!$Y167,0))))</f>
        <v>N/A</v>
      </c>
      <c r="AE167" s="90" t="str">
        <f ca="1">IF($Y167="","",IF(OFFSET(G$55,'Intermediate Data'!$Y167,0)=-98,"N/A",IF(OFFSET(G$55,'Intermediate Data'!$Y167,0)=-99,"N/A",OFFSET(G$55,'Intermediate Data'!$Y167,0))))</f>
        <v>N/A</v>
      </c>
      <c r="AF167" s="90" t="str">
        <f ca="1">IF($Y167="","",IF(OFFSET(H$55,'Intermediate Data'!$Y167,0)=-98,"N/A",IF(OFFSET(H$55,'Intermediate Data'!$Y167,0)=-99,"N/A",OFFSET(H$55,'Intermediate Data'!$Y167,0))))</f>
        <v>N/A</v>
      </c>
      <c r="AG167" s="90" t="str">
        <f ca="1">IF($Y167="","",IF(OFFSET(I$55,'Intermediate Data'!$Y167,0)=-98,"N/A",IF(OFFSET(I$55,'Intermediate Data'!$Y167,0)=-99,"N/A",OFFSET(I$55,'Intermediate Data'!$Y167,0))))</f>
        <v>N/A</v>
      </c>
      <c r="AH167" s="90" t="str">
        <f ca="1">IF($Y167="","",IF(OFFSET(J$55,'Intermediate Data'!$Y167,0)=-98,"N/A",IF(OFFSET(J$55,'Intermediate Data'!$Y167,0)=-99,"N/A",OFFSET(J$55,'Intermediate Data'!$Y167,0))))</f>
        <v/>
      </c>
      <c r="AI167" s="90" t="str">
        <f ca="1">IF($Y167="","",IF(OFFSET(K$55,'Intermediate Data'!$Y167,0)=-98,"N/A",IF(OFFSET(K$55,'Intermediate Data'!$Y167,0)=-99,"N/A",OFFSET(K$55,'Intermediate Data'!$Y167,0))))</f>
        <v>N/A</v>
      </c>
      <c r="AJ167" s="90" t="str">
        <f ca="1">IF($Y167="","",IF(OFFSET(L$55,'Intermediate Data'!$Y167,0)=-98,"N/A",IF(OFFSET(L$55,'Intermediate Data'!$Y167,0)=-99,"N/A",OFFSET(L$55,'Intermediate Data'!$Y167,0))))</f>
        <v>N/A</v>
      </c>
      <c r="AK167" s="90" t="str">
        <f ca="1">IF($Y167="","",IF(OFFSET(M$55,'Intermediate Data'!$Y167,0)=-98,"N/A",IF(OFFSET(M$55,'Intermediate Data'!$Y167,0)=-99,"N/A",OFFSET(M$55,'Intermediate Data'!$Y167,0))))</f>
        <v>N/A</v>
      </c>
      <c r="AL167" s="90" t="str">
        <f ca="1">IF($Y167="","",IF(OFFSET(N$55,'Intermediate Data'!$Y167,0)=-98,"N/A",IF(OFFSET(N$55,'Intermediate Data'!$Y167,0)=-99,"N/A",OFFSET(N$55,'Intermediate Data'!$Y167,0))))</f>
        <v>N/A</v>
      </c>
      <c r="AM167" s="90" t="str">
        <f ca="1">IF($Y167="","",IF(OFFSET(O$55,'Intermediate Data'!$Y167,0)=-98,"N/A",IF(OFFSET(O$55,'Intermediate Data'!$Y167,0)=-99,"N/A",OFFSET(O$55,'Intermediate Data'!$Y167,0))))</f>
        <v>N/A</v>
      </c>
      <c r="AN167" s="90" t="str">
        <f ca="1">IF($Y167="","",IF(OFFSET(P$55,'Intermediate Data'!$Y167,0)=-98,"N/A",IF(OFFSET(P$55,'Intermediate Data'!$Y167,0)=-99,"N/A",OFFSET(P$55,'Intermediate Data'!$Y167,0))))</f>
        <v>N/A</v>
      </c>
      <c r="AO167" s="90" t="str">
        <f ca="1">IF($Y167="","",IF(OFFSET(Q$55,'Intermediate Data'!$Y167,0)=-98,"N/A",IF(OFFSET(Q$55,'Intermediate Data'!$Y167,0)=-99,"N/A",OFFSET(Q$55,'Intermediate Data'!$Y167,0))))</f>
        <v/>
      </c>
      <c r="AP167" s="697" t="str">
        <f ca="1">IF($Y167="","",IF(OFFSET(S$55,'Intermediate Data'!$Y167,0)=-98,"",IF(OFFSET(S$55,'Intermediate Data'!$Y167,0)=-99,"",OFFSET(S$55,'Intermediate Data'!$Y167,0))))</f>
        <v/>
      </c>
      <c r="AQ167" s="90" t="str">
        <f ca="1">IF($Y167="","",IF(OFFSET(T$55,'Intermediate Data'!$Y167,0)=-98,"Not published",IF(OFFSET(T$55,'Intermediate Data'!$Y167,0)=-99,"",OFFSET(T$55,'Intermediate Data'!$Y167,0))))</f>
        <v/>
      </c>
      <c r="AR167" s="90" t="str">
        <f ca="1">IF($Y167="","",IF(OFFSET(U$55,'Intermediate Data'!$Y167,0)=-98,"Unknown",IF(OFFSET(U$55,'Intermediate Data'!$Y167,0)=-99,"",OFFSET(U$55,'Intermediate Data'!$Y167,0))))</f>
        <v/>
      </c>
      <c r="AU167" s="112" t="str">
        <f ca="1">IF(AND(OFFSET(DATA!$F116,0,$AX$48)='Intermediate Data'!$AY$48,DATA!$E116="Tier 1"),IF(OR($AX$49=0,$AX$48=1),DATA!A116,IF(AND($AX$49=1,INDEX('Intermediate Data'!$AY$25:$AY$44,MATCH(DATA!$B116,'Intermediate Data'!$AX$25:$AX$44,0))=TRUE),DATA!A116,"")),"")</f>
        <v/>
      </c>
      <c r="AV167" s="112" t="str">
        <f ca="1">IF($AU167="","",DATA!B116)</f>
        <v/>
      </c>
      <c r="AW167" s="112" t="str">
        <f ca="1">IF(OR($AU167="",DATA!BI116=""),"",DATA!BI116)</f>
        <v/>
      </c>
      <c r="AX167" s="112" t="str">
        <f ca="1">IF(OR($AU167="",OFFSET(DATA!BK116,0,$AX$48)=""),"",OFFSET(DATA!BK116,0,$AX$48))</f>
        <v/>
      </c>
      <c r="AY167" s="112" t="str">
        <f ca="1">IF(OR($AU167="",OFFSET(DATA!BM116,0,$AX$48)=""),"",OFFSET(DATA!BM116,0,$AX$48))</f>
        <v/>
      </c>
      <c r="AZ167" s="112" t="str">
        <f ca="1">IF(OR($AU167="",OFFSET(DATA!BO116,0,'Intermediate Data'!$AX$48)=""),"",OFFSET(DATA!BO116,0,$AX$48))</f>
        <v/>
      </c>
      <c r="BA167" s="112" t="str">
        <f ca="1">IF(OR($AU167="",DATA!BQ116=""),"",DATA!BQ116)</f>
        <v/>
      </c>
      <c r="BB167" s="112" t="str">
        <f ca="1">IF($AU167="","",OFFSET(DATA!BS116,0,$AX$48))</f>
        <v/>
      </c>
      <c r="BC167" s="112" t="str">
        <f ca="1">IF($AU167="","",OFFSET(DATA!BU116,0,$AX$48))</f>
        <v/>
      </c>
      <c r="BD167" s="112" t="str">
        <f ca="1">IF($AU167="","",OFFSET(DATA!BW116,0,$AX$48))</f>
        <v/>
      </c>
      <c r="BE167" s="112" t="str">
        <f ca="1">IF($AU167="","",OFFSET(DATA!BY116,0,$AX$48))</f>
        <v/>
      </c>
      <c r="BF167" s="112" t="str">
        <f ca="1">IF($AU167="","",OFFSET(DATA!CA116,0,$AX$48))</f>
        <v/>
      </c>
      <c r="BG167" s="112" t="str">
        <f ca="1">IF($AU167="","",DATA!CC116)</f>
        <v/>
      </c>
      <c r="BH167" s="112" t="str">
        <f ca="1">IF($AU167="","",OFFSET(DATA!CE116,0,$AX$48))</f>
        <v/>
      </c>
      <c r="BI167" s="112" t="str">
        <f ca="1">IF($AU167="","",OFFSET(DATA!CG116,0,$AX$48))</f>
        <v/>
      </c>
      <c r="BJ167" s="112" t="str">
        <f ca="1">IF($AU167="","",OFFSET(DATA!CI116,0,$AX$48))</f>
        <v/>
      </c>
      <c r="BK167" s="112" t="str">
        <f ca="1">IF($AU167="","",OFFSET(DATA!CK116,0,$AX$48))</f>
        <v/>
      </c>
      <c r="BL167" s="112" t="str">
        <f ca="1">IF($AU167="","",OFFSET(DATA!CM116,0,$AX$48))</f>
        <v/>
      </c>
      <c r="BM167" s="112" t="str">
        <f ca="1">IF($AU167="","",DATA!BH116)</f>
        <v/>
      </c>
      <c r="BN167" s="112" t="str">
        <f ca="1">IF($AU167="","",DATA!DS116)</f>
        <v/>
      </c>
      <c r="BO167" s="112" t="str">
        <f ca="1">IF($AU167="","",DATA!DU116)</f>
        <v/>
      </c>
      <c r="BP167" s="112" t="str">
        <f ca="1">IF($AU167="","",DATA!DV116)</f>
        <v/>
      </c>
      <c r="BQ167" s="112" t="str">
        <f ca="1">IF($AU167="","",DATA!DX116)</f>
        <v/>
      </c>
      <c r="BR167" s="112" t="str">
        <f ca="1">IF($AU167="","",DATA!DZ116)</f>
        <v/>
      </c>
      <c r="BS167" s="171" t="str">
        <f ca="1">IF($AU167="","",DATA!EA116)</f>
        <v/>
      </c>
      <c r="BT167" s="171" t="str">
        <f ca="1">IF($AU167="","",DATA!EC116)</f>
        <v/>
      </c>
      <c r="BU167" s="171" t="str">
        <f ca="1">IF($AU167="","",DATA!EF116)</f>
        <v/>
      </c>
      <c r="BV167" s="113" t="str">
        <f t="shared" ca="1" si="24"/>
        <v/>
      </c>
      <c r="BW167" s="680" t="str">
        <f ca="1">IF(AU167="","",OFFSET(DATA!DC116,0,'Intermediate Data'!$AX$48))</f>
        <v/>
      </c>
      <c r="BX167" s="681" t="str">
        <f ca="1">IF($AU167="","",DATA!DG116)</f>
        <v/>
      </c>
      <c r="BY167" s="680" t="str">
        <f ca="1">IF($AU167="","",OFFSET(DATA!DE116,0,'Intermediate Data'!$AX$48))</f>
        <v/>
      </c>
      <c r="BZ167" s="681" t="str">
        <f ca="1">IF($AU167="","",DATA!DH116)</f>
        <v/>
      </c>
      <c r="CA167" s="90" t="str">
        <f t="shared" ca="1" si="25"/>
        <v/>
      </c>
      <c r="CB167" s="99" t="str">
        <f t="shared" ca="1" si="26"/>
        <v/>
      </c>
      <c r="CC167" s="90" t="str">
        <f t="shared" ca="1" si="27"/>
        <v/>
      </c>
      <c r="CD167" s="90" t="str">
        <f t="shared" ca="1" si="28"/>
        <v/>
      </c>
      <c r="CF167" s="90" t="str">
        <f ca="1">IF($CD167="","",IF(OFFSET(AV$55,'Intermediate Data'!$CD167,0)=-98,"Unknown",IF(OFFSET(AV$55,'Intermediate Data'!$CD167,0)=-99,"N/A",OFFSET(AV$55,'Intermediate Data'!$CD167,0))))</f>
        <v/>
      </c>
      <c r="CG167" s="90" t="str">
        <f ca="1">IF($CD167="","",IF(OFFSET(AW$55,'Intermediate Data'!$CD167,0)=-98,"",IF(OFFSET(AW$55,'Intermediate Data'!$CD167,0)=-99,"N/A",OFFSET(AW$55,'Intermediate Data'!$CD167,0))))</f>
        <v/>
      </c>
      <c r="CH167" s="90" t="str">
        <f ca="1">IF($CD167="","",IF(OFFSET(AX$55,'Intermediate Data'!$CD167,0)=-98,"Unknown",IF(OFFSET(AX$55,'Intermediate Data'!$CD167,0)=-99,"N/A",OFFSET(AX$55,'Intermediate Data'!$CD167,0))))</f>
        <v/>
      </c>
      <c r="CI167" s="125" t="str">
        <f ca="1">IF($CD167="","",IF(OFFSET(AY$55,'Intermediate Data'!$CD167,0)=-98,"Unknown",IF(OFFSET(AY$55,'Intermediate Data'!$CD167,0)=-99,"No spec",OFFSET(AY$55,'Intermediate Data'!$CD167,0))))</f>
        <v/>
      </c>
      <c r="CJ167" s="125" t="str">
        <f ca="1">IF($CD167="","",IF(OFFSET(AZ$55,'Intermediate Data'!$CD167,0)=-98,"Unknown",IF(OFFSET(AZ$55,'Intermediate Data'!$CD167,0)=-99,"N/A",OFFSET(AZ$55,'Intermediate Data'!$CD167,0))))</f>
        <v/>
      </c>
      <c r="CK167" s="90" t="str">
        <f ca="1">IF($CD167="","",IF(OFFSET(BA$55,'Intermediate Data'!$CD167,0)=-98,"Unknown",IF(OFFSET(BA$55,'Intermediate Data'!$CD167,0)=-99,"N/A",OFFSET(BA$55,'Intermediate Data'!$CD167,0))))</f>
        <v/>
      </c>
      <c r="CL167" s="90" t="str">
        <f ca="1">IF($CD167="","",IF(OFFSET(BB$55,'Intermediate Data'!$CD167,$AX$50)=-98,"Unknown",IF(OFFSET(BB$55,'Intermediate Data'!$CD167,$AX$50)="N/A","",OFFSET(BB$55,'Intermediate Data'!$CD167,$AX$50))))</f>
        <v/>
      </c>
      <c r="CM167" s="90" t="str">
        <f ca="1">IF($CD167="","",IF(OFFSET(BG$55,'Intermediate Data'!$CD167,0)="ET","ET",""))</f>
        <v/>
      </c>
      <c r="CN167" s="90" t="str">
        <f ca="1">IF($CD167="","",IF(OFFSET(BH$55,'Intermediate Data'!$CD167,$AX$50)=-98,"Unknown",IF(OFFSET(BH$55,'Intermediate Data'!$CD167,$AX$50)="N/A","",OFFSET(BH$55,'Intermediate Data'!$CD167,$AX$50))))</f>
        <v/>
      </c>
      <c r="CO167" s="90" t="str">
        <f ca="1">IF($CD167="","",IF(OFFSET(BM$55,'Intermediate Data'!$CD167,0)=-98,"Not published",IF(OFFSET(BM$55,'Intermediate Data'!$CD167,0)=-99,"No spec",OFFSET(BM$55,'Intermediate Data'!$CD167,0))))</f>
        <v/>
      </c>
      <c r="CP167" s="114" t="str">
        <f ca="1">IF($CD167="","",IF(OFFSET(BN$55,'Intermediate Data'!$CD167,0)=-98,"Unknown",IF(OFFSET(BN$55,'Intermediate Data'!$CD167,0)=-99,"N/A",OFFSET(BN$55,'Intermediate Data'!$CD167,0))))</f>
        <v/>
      </c>
      <c r="CQ167" s="114" t="str">
        <f ca="1">IF($CD167="","",IF(OFFSET(BO$55,'Intermediate Data'!$CD167,0)=-98,"Unknown",IF(OFFSET(BO$55,'Intermediate Data'!$CD167,0)=-99,"N/A",OFFSET(BO$55,'Intermediate Data'!$CD167,0))))</f>
        <v/>
      </c>
      <c r="CR167" s="114" t="str">
        <f ca="1">IF($CD167="","",IF(OFFSET(BP$55,'Intermediate Data'!$CD167,0)=-98,"Unknown",IF(OFFSET(BP$55,'Intermediate Data'!$CD167,0)=-99,"N/A",OFFSET(BP$55,'Intermediate Data'!$CD167,0))))</f>
        <v/>
      </c>
      <c r="CS167" s="114" t="str">
        <f ca="1">IF($CD167="","",IF(OFFSET(BQ$55,'Intermediate Data'!$CD167,0)=-98,"Unknown",IF(OFFSET(BQ$55,'Intermediate Data'!$CD167,0)=-99,"N/A",OFFSET(BQ$55,'Intermediate Data'!$CD167,0))))</f>
        <v/>
      </c>
      <c r="CT167" s="114" t="str">
        <f ca="1">IF($CD167="","",IF(OFFSET(BR$55,'Intermediate Data'!$CD167,0)=-98,"Unknown",IF(OFFSET(BR$55,'Intermediate Data'!$CD167,0)=-99,"N/A",OFFSET(BR$55,'Intermediate Data'!$CD167,0))))</f>
        <v/>
      </c>
      <c r="CU167" s="114" t="str">
        <f ca="1">IF($CD167="","",IF(OFFSET(BS$55,'Intermediate Data'!$CD167,0)=-98,"Unknown",IF(OFFSET(BS$55,'Intermediate Data'!$CD167,0)=-99,"N/A",OFFSET(BS$55,'Intermediate Data'!$CD167,0))))</f>
        <v/>
      </c>
      <c r="CV167" s="114" t="str">
        <f ca="1">IF($CD167="","",IF(OFFSET(BT$55,'Intermediate Data'!$CD167,0)=-98,"Unknown",IF(OFFSET(BT$55,'Intermediate Data'!$CD167,0)=-99,"N/A",OFFSET(BT$55,'Intermediate Data'!$CD167,0))))</f>
        <v/>
      </c>
      <c r="CW167" s="114" t="str">
        <f ca="1">IF($CD167="","",IF(OFFSET(BU$55,'Intermediate Data'!$CD167,0)=-98,"Unknown",IF(OFFSET(BU$55,'Intermediate Data'!$CD167,0)=-99,"N/A",OFFSET(BU$55,'Intermediate Data'!$CD167,0))))</f>
        <v/>
      </c>
      <c r="CX167" s="114" t="str">
        <f ca="1">IF($CD167="","",IF(OFFSET(BV$55,'Intermediate Data'!$CD167,0)=-98,"Unknown",IF(OFFSET(BV$55,'Intermediate Data'!$CD167,0)=-99,"N/A",OFFSET(BV$55,'Intermediate Data'!$CD167,0))))</f>
        <v/>
      </c>
      <c r="CY167" s="682" t="str">
        <f ca="1">IF($CD167="","",IF(OFFSET(BW$55,'Intermediate Data'!$CD167,0)=-98,"Unknown",IF(OFFSET(BW$55,'Intermediate Data'!$CD167,0)="N/A","",OFFSET(BW$55,'Intermediate Data'!$CD167,0))))</f>
        <v/>
      </c>
      <c r="CZ167" s="682" t="str">
        <f ca="1">IF($CD167="","",IF(OFFSET(BX$55,'Intermediate Data'!$CD167,0)=-98,"Unknown",IF(OFFSET(BX$55,'Intermediate Data'!$CD167,0)="N/A","",OFFSET(BX$55,'Intermediate Data'!$CD167,0))))</f>
        <v/>
      </c>
      <c r="DA167" s="682" t="str">
        <f ca="1">IF($CD167="","",IF(OFFSET(BY$55,'Intermediate Data'!$CD167,0)=-98,"Unknown",IF(OFFSET(BY$55,'Intermediate Data'!$CD167,0)="N/A","",OFFSET(BY$55,'Intermediate Data'!$CD167,0))))</f>
        <v/>
      </c>
      <c r="DB167" s="682" t="str">
        <f ca="1">IF($CD167="","",IF(OFFSET(BZ$55,'Intermediate Data'!$CD167,0)=-98,"Unknown",IF(OFFSET(BZ$55,'Intermediate Data'!$CD167,0)="N/A","",OFFSET(BZ$55,'Intermediate Data'!$CD167,0))))</f>
        <v/>
      </c>
    </row>
    <row r="168" spans="1:106" x14ac:dyDescent="0.2">
      <c r="A168" s="90">
        <f ca="1">IF(OFFSET(DATA!F117,0,$D$48)='Intermediate Data'!$E$48,IF(OR($E$49=$C$27,$E$48=$B$4),DATA!A117,IF($G$49=DATA!D117,DATA!A117,"")),"")</f>
        <v>113</v>
      </c>
      <c r="B168" s="90">
        <f ca="1">IF($A168="","",DATA!EH117)</f>
        <v>83</v>
      </c>
      <c r="C168" s="90" t="str">
        <f ca="1">IF($A168="","",DATA!B117)</f>
        <v>Hair dryer - Blow dryer</v>
      </c>
      <c r="D168" s="90">
        <f ca="1">IF($A168="","",OFFSET(DATA!$H117,0,($D$50*5)))</f>
        <v>-99</v>
      </c>
      <c r="E168" s="90">
        <f ca="1">IF($A168="","",OFFSET(DATA!$H117,0,($D$50*5)+1))</f>
        <v>-99</v>
      </c>
      <c r="F168" s="90">
        <f ca="1">IF($A168="","",OFFSET(DATA!$H117,0,($D$50*5)+2))</f>
        <v>-99</v>
      </c>
      <c r="G168" s="90">
        <f ca="1">IF($A168="","",OFFSET(DATA!$H117,0,($D$50*5)+3))</f>
        <v>-99</v>
      </c>
      <c r="H168" s="90">
        <f ca="1">IF($A168="","",OFFSET(DATA!$H117,0,($D$50*5)+4))</f>
        <v>-99</v>
      </c>
      <c r="I168" s="90">
        <f t="shared" ca="1" si="17"/>
        <v>-99</v>
      </c>
      <c r="J168" s="90" t="str">
        <f t="shared" ca="1" si="18"/>
        <v/>
      </c>
      <c r="K168" s="90">
        <f ca="1">IF($A168="","",OFFSET(DATA!$AG117,0,($D$50*5)))</f>
        <v>-99</v>
      </c>
      <c r="L168" s="90">
        <f ca="1">IF($A168="","",OFFSET(DATA!$AG117,0,($D$50*5)+1))</f>
        <v>-99</v>
      </c>
      <c r="M168" s="90">
        <f ca="1">IF($A168="","",OFFSET(DATA!$AG117,0,($D$50*5)+2))</f>
        <v>-99</v>
      </c>
      <c r="N168" s="90">
        <f ca="1">IF($A168="","",OFFSET(DATA!$AG117,0,($D$50*5)+3))</f>
        <v>-99</v>
      </c>
      <c r="O168" s="90">
        <f ca="1">IF($A168="","",OFFSET(DATA!$AG117,0,($D$50*5)+4))</f>
        <v>-99</v>
      </c>
      <c r="P168" s="90">
        <f t="shared" ca="1" si="19"/>
        <v>-99</v>
      </c>
      <c r="Q168" s="90" t="str">
        <f t="shared" ca="1" si="20"/>
        <v/>
      </c>
      <c r="R168" s="699">
        <f ca="1">IF($A168="","",IF(DATA!BF117="",-99,DATA!BF117))</f>
        <v>-99</v>
      </c>
      <c r="S168" s="90">
        <f ca="1">IF($A168="","",IF(DATA!BG117="",-99,DATA!BF117-DATA!BG117))</f>
        <v>-99</v>
      </c>
      <c r="T168" s="90">
        <f ca="1">IF($A168="","",DATA!BH117)</f>
        <v>-99</v>
      </c>
      <c r="U168" s="90">
        <f ca="1">IF($A168="","",OFFSET(DATA!BM117,0,$D$48))</f>
        <v>-99</v>
      </c>
      <c r="V168" s="90">
        <f t="shared" ca="1" si="29"/>
        <v>83</v>
      </c>
      <c r="W168" s="99">
        <f t="shared" ca="1" si="21"/>
        <v>82.999881201679997</v>
      </c>
      <c r="X168" s="112">
        <f t="shared" ca="1" si="22"/>
        <v>15.999930734445394</v>
      </c>
      <c r="Y168" s="90">
        <f t="shared" ca="1" si="23"/>
        <v>25</v>
      </c>
      <c r="AA168" s="90" t="str">
        <f ca="1">IF($Y168="","",IF(OFFSET(C$55,'Intermediate Data'!$Y168,0)=-98,"Unknown",IF(OFFSET(C$55,'Intermediate Data'!$Y168,0)=-99,"N/A",OFFSET(C$55,'Intermediate Data'!$Y168,0))))</f>
        <v>Trash compactor</v>
      </c>
      <c r="AB168" s="90" t="str">
        <f ca="1">IF($Y168="","",IF(OFFSET(D$55,'Intermediate Data'!$Y168,0)=-98,"N/A",IF(OFFSET(D$55,'Intermediate Data'!$Y168,0)=-99,"N/A",OFFSET(D$55,'Intermediate Data'!$Y168,0))))</f>
        <v>N/A</v>
      </c>
      <c r="AC168" s="90">
        <f ca="1">IF($Y168="","",IF(OFFSET(E$55,'Intermediate Data'!$Y168,0)=-98,"N/A",IF(OFFSET(E$55,'Intermediate Data'!$Y168,0)=-99,"N/A",OFFSET(E$55,'Intermediate Data'!$Y168,0))))</f>
        <v>6.421953903505552E-2</v>
      </c>
      <c r="AD168" s="90" t="str">
        <f ca="1">IF($Y168="","",IF(OFFSET(F$55,'Intermediate Data'!$Y168,0)=-98,"N/A",IF(OFFSET(F$55,'Intermediate Data'!$Y168,0)=-99,"N/A",OFFSET(F$55,'Intermediate Data'!$Y168,0))))</f>
        <v>N/A</v>
      </c>
      <c r="AE168" s="90">
        <f ca="1">IF($Y168="","",IF(OFFSET(G$55,'Intermediate Data'!$Y168,0)=-98,"N/A",IF(OFFSET(G$55,'Intermediate Data'!$Y168,0)=-99,"N/A",OFFSET(G$55,'Intermediate Data'!$Y168,0))))</f>
        <v>6.9025004374366011E-2</v>
      </c>
      <c r="AF168" s="90" t="str">
        <f ca="1">IF($Y168="","",IF(OFFSET(H$55,'Intermediate Data'!$Y168,0)=-98,"N/A",IF(OFFSET(H$55,'Intermediate Data'!$Y168,0)=-99,"N/A",OFFSET(H$55,'Intermediate Data'!$Y168,0))))</f>
        <v>N/A</v>
      </c>
      <c r="AG168" s="90">
        <f ca="1">IF($Y168="","",IF(OFFSET(I$55,'Intermediate Data'!$Y168,0)=-98,"N/A",IF(OFFSET(I$55,'Intermediate Data'!$Y168,0)=-99,"N/A",OFFSET(I$55,'Intermediate Data'!$Y168,0))))</f>
        <v>6.9025004374366011E-2</v>
      </c>
      <c r="AH168" s="90" t="str">
        <f ca="1">IF($Y168="","",IF(OFFSET(J$55,'Intermediate Data'!$Y168,0)=-98,"N/A",IF(OFFSET(J$55,'Intermediate Data'!$Y168,0)=-99,"N/A",OFFSET(J$55,'Intermediate Data'!$Y168,0))))</f>
        <v>RASS</v>
      </c>
      <c r="AI168" s="90" t="str">
        <f ca="1">IF($Y168="","",IF(OFFSET(K$55,'Intermediate Data'!$Y168,0)=-98,"N/A",IF(OFFSET(K$55,'Intermediate Data'!$Y168,0)=-99,"N/A",OFFSET(K$55,'Intermediate Data'!$Y168,0))))</f>
        <v>N/A</v>
      </c>
      <c r="AJ168" s="90">
        <f ca="1">IF($Y168="","",IF(OFFSET(L$55,'Intermediate Data'!$Y168,0)=-98,"N/A",IF(OFFSET(L$55,'Intermediate Data'!$Y168,0)=-99,"N/A",OFFSET(L$55,'Intermediate Data'!$Y168,0))))</f>
        <v>6.4555425244636241E-2</v>
      </c>
      <c r="AK168" s="90" t="str">
        <f ca="1">IF($Y168="","",IF(OFFSET(M$55,'Intermediate Data'!$Y168,0)=-98,"N/A",IF(OFFSET(M$55,'Intermediate Data'!$Y168,0)=-99,"N/A",OFFSET(M$55,'Intermediate Data'!$Y168,0))))</f>
        <v>N/A</v>
      </c>
      <c r="AL168" s="90">
        <f ca="1">IF($Y168="","",IF(OFFSET(N$55,'Intermediate Data'!$Y168,0)=-98,"N/A",IF(OFFSET(N$55,'Intermediate Data'!$Y168,0)=-99,"N/A",OFFSET(N$55,'Intermediate Data'!$Y168,0))))</f>
        <v>6.9628964858429301E-2</v>
      </c>
      <c r="AM168" s="90" t="str">
        <f ca="1">IF($Y168="","",IF(OFFSET(O$55,'Intermediate Data'!$Y168,0)=-98,"N/A",IF(OFFSET(O$55,'Intermediate Data'!$Y168,0)=-99,"N/A",OFFSET(O$55,'Intermediate Data'!$Y168,0))))</f>
        <v>N/A</v>
      </c>
      <c r="AN168" s="90">
        <f ca="1">IF($Y168="","",IF(OFFSET(P$55,'Intermediate Data'!$Y168,0)=-98,"N/A",IF(OFFSET(P$55,'Intermediate Data'!$Y168,0)=-99,"N/A",OFFSET(P$55,'Intermediate Data'!$Y168,0))))</f>
        <v>6.9628964858429301E-2</v>
      </c>
      <c r="AO168" s="90" t="str">
        <f ca="1">IF($Y168="","",IF(OFFSET(Q$55,'Intermediate Data'!$Y168,0)=-98,"N/A",IF(OFFSET(Q$55,'Intermediate Data'!$Y168,0)=-99,"N/A",OFFSET(Q$55,'Intermediate Data'!$Y168,0))))</f>
        <v>RASS</v>
      </c>
      <c r="AP168" s="697" t="str">
        <f ca="1">IF($Y168="","",IF(OFFSET(S$55,'Intermediate Data'!$Y168,0)=-98,"",IF(OFFSET(S$55,'Intermediate Data'!$Y168,0)=-99,"",OFFSET(S$55,'Intermediate Data'!$Y168,0))))</f>
        <v/>
      </c>
      <c r="AQ168" s="90" t="str">
        <f ca="1">IF($Y168="","",IF(OFFSET(T$55,'Intermediate Data'!$Y168,0)=-98,"Not published",IF(OFFSET(T$55,'Intermediate Data'!$Y168,0)=-99,"",OFFSET(T$55,'Intermediate Data'!$Y168,0))))</f>
        <v/>
      </c>
      <c r="AR168" s="90" t="str">
        <f ca="1">IF($Y168="","",IF(OFFSET(U$55,'Intermediate Data'!$Y168,0)=-98,"Unknown",IF(OFFSET(U$55,'Intermediate Data'!$Y168,0)=-99,"",OFFSET(U$55,'Intermediate Data'!$Y168,0))))</f>
        <v/>
      </c>
      <c r="AU168" s="112" t="str">
        <f ca="1">IF(AND(OFFSET(DATA!$F117,0,$AX$48)='Intermediate Data'!$AY$48,DATA!$E117="Tier 1"),IF(OR($AX$49=0,$AX$48=1),DATA!A117,IF(AND($AX$49=1,INDEX('Intermediate Data'!$AY$25:$AY$44,MATCH(DATA!$B117,'Intermediate Data'!$AX$25:$AX$44,0))=TRUE),DATA!A117,"")),"")</f>
        <v/>
      </c>
      <c r="AV168" s="112" t="str">
        <f ca="1">IF($AU168="","",DATA!B117)</f>
        <v/>
      </c>
      <c r="AW168" s="112" t="str">
        <f ca="1">IF(OR($AU168="",DATA!BI117=""),"",DATA!BI117)</f>
        <v/>
      </c>
      <c r="AX168" s="112" t="str">
        <f ca="1">IF(OR($AU168="",OFFSET(DATA!BK117,0,$AX$48)=""),"",OFFSET(DATA!BK117,0,$AX$48))</f>
        <v/>
      </c>
      <c r="AY168" s="112" t="str">
        <f ca="1">IF(OR($AU168="",OFFSET(DATA!BM117,0,$AX$48)=""),"",OFFSET(DATA!BM117,0,$AX$48))</f>
        <v/>
      </c>
      <c r="AZ168" s="112" t="str">
        <f ca="1">IF(OR($AU168="",OFFSET(DATA!BO117,0,'Intermediate Data'!$AX$48)=""),"",OFFSET(DATA!BO117,0,$AX$48))</f>
        <v/>
      </c>
      <c r="BA168" s="112" t="str">
        <f ca="1">IF(OR($AU168="",DATA!BQ117=""),"",DATA!BQ117)</f>
        <v/>
      </c>
      <c r="BB168" s="112" t="str">
        <f ca="1">IF($AU168="","",OFFSET(DATA!BS117,0,$AX$48))</f>
        <v/>
      </c>
      <c r="BC168" s="112" t="str">
        <f ca="1">IF($AU168="","",OFFSET(DATA!BU117,0,$AX$48))</f>
        <v/>
      </c>
      <c r="BD168" s="112" t="str">
        <f ca="1">IF($AU168="","",OFFSET(DATA!BW117,0,$AX$48))</f>
        <v/>
      </c>
      <c r="BE168" s="112" t="str">
        <f ca="1">IF($AU168="","",OFFSET(DATA!BY117,0,$AX$48))</f>
        <v/>
      </c>
      <c r="BF168" s="112" t="str">
        <f ca="1">IF($AU168="","",OFFSET(DATA!CA117,0,$AX$48))</f>
        <v/>
      </c>
      <c r="BG168" s="112" t="str">
        <f ca="1">IF($AU168="","",DATA!CC117)</f>
        <v/>
      </c>
      <c r="BH168" s="112" t="str">
        <f ca="1">IF($AU168="","",OFFSET(DATA!CE117,0,$AX$48))</f>
        <v/>
      </c>
      <c r="BI168" s="112" t="str">
        <f ca="1">IF($AU168="","",OFFSET(DATA!CG117,0,$AX$48))</f>
        <v/>
      </c>
      <c r="BJ168" s="112" t="str">
        <f ca="1">IF($AU168="","",OFFSET(DATA!CI117,0,$AX$48))</f>
        <v/>
      </c>
      <c r="BK168" s="112" t="str">
        <f ca="1">IF($AU168="","",OFFSET(DATA!CK117,0,$AX$48))</f>
        <v/>
      </c>
      <c r="BL168" s="112" t="str">
        <f ca="1">IF($AU168="","",OFFSET(DATA!CM117,0,$AX$48))</f>
        <v/>
      </c>
      <c r="BM168" s="112" t="str">
        <f ca="1">IF($AU168="","",DATA!BH117)</f>
        <v/>
      </c>
      <c r="BN168" s="112" t="str">
        <f ca="1">IF($AU168="","",DATA!DS117)</f>
        <v/>
      </c>
      <c r="BO168" s="112" t="str">
        <f ca="1">IF($AU168="","",DATA!DU117)</f>
        <v/>
      </c>
      <c r="BP168" s="112" t="str">
        <f ca="1">IF($AU168="","",DATA!DV117)</f>
        <v/>
      </c>
      <c r="BQ168" s="112" t="str">
        <f ca="1">IF($AU168="","",DATA!DX117)</f>
        <v/>
      </c>
      <c r="BR168" s="112" t="str">
        <f ca="1">IF($AU168="","",DATA!DZ117)</f>
        <v/>
      </c>
      <c r="BS168" s="171" t="str">
        <f ca="1">IF($AU168="","",DATA!EA117)</f>
        <v/>
      </c>
      <c r="BT168" s="171" t="str">
        <f ca="1">IF($AU168="","",DATA!EC117)</f>
        <v/>
      </c>
      <c r="BU168" s="171" t="str">
        <f ca="1">IF($AU168="","",DATA!EF117)</f>
        <v/>
      </c>
      <c r="BV168" s="113" t="str">
        <f t="shared" ca="1" si="24"/>
        <v/>
      </c>
      <c r="BW168" s="680" t="str">
        <f ca="1">IF(AU168="","",OFFSET(DATA!DC117,0,'Intermediate Data'!$AX$48))</f>
        <v/>
      </c>
      <c r="BX168" s="681" t="str">
        <f ca="1">IF($AU168="","",DATA!DG117)</f>
        <v/>
      </c>
      <c r="BY168" s="680" t="str">
        <f ca="1">IF($AU168="","",OFFSET(DATA!DE117,0,'Intermediate Data'!$AX$48))</f>
        <v/>
      </c>
      <c r="BZ168" s="681" t="str">
        <f ca="1">IF($AU168="","",DATA!DH117)</f>
        <v/>
      </c>
      <c r="CA168" s="90" t="str">
        <f t="shared" ca="1" si="25"/>
        <v/>
      </c>
      <c r="CB168" s="99" t="str">
        <f t="shared" ca="1" si="26"/>
        <v/>
      </c>
      <c r="CC168" s="90" t="str">
        <f t="shared" ca="1" si="27"/>
        <v/>
      </c>
      <c r="CD168" s="90" t="str">
        <f t="shared" ca="1" si="28"/>
        <v/>
      </c>
      <c r="CF168" s="90" t="str">
        <f ca="1">IF($CD168="","",IF(OFFSET(AV$55,'Intermediate Data'!$CD168,0)=-98,"Unknown",IF(OFFSET(AV$55,'Intermediate Data'!$CD168,0)=-99,"N/A",OFFSET(AV$55,'Intermediate Data'!$CD168,0))))</f>
        <v/>
      </c>
      <c r="CG168" s="90" t="str">
        <f ca="1">IF($CD168="","",IF(OFFSET(AW$55,'Intermediate Data'!$CD168,0)=-98,"",IF(OFFSET(AW$55,'Intermediate Data'!$CD168,0)=-99,"N/A",OFFSET(AW$55,'Intermediate Data'!$CD168,0))))</f>
        <v/>
      </c>
      <c r="CH168" s="90" t="str">
        <f ca="1">IF($CD168="","",IF(OFFSET(AX$55,'Intermediate Data'!$CD168,0)=-98,"Unknown",IF(OFFSET(AX$55,'Intermediate Data'!$CD168,0)=-99,"N/A",OFFSET(AX$55,'Intermediate Data'!$CD168,0))))</f>
        <v/>
      </c>
      <c r="CI168" s="125" t="str">
        <f ca="1">IF($CD168="","",IF(OFFSET(AY$55,'Intermediate Data'!$CD168,0)=-98,"Unknown",IF(OFFSET(AY$55,'Intermediate Data'!$CD168,0)=-99,"No spec",OFFSET(AY$55,'Intermediate Data'!$CD168,0))))</f>
        <v/>
      </c>
      <c r="CJ168" s="125" t="str">
        <f ca="1">IF($CD168="","",IF(OFFSET(AZ$55,'Intermediate Data'!$CD168,0)=-98,"Unknown",IF(OFFSET(AZ$55,'Intermediate Data'!$CD168,0)=-99,"N/A",OFFSET(AZ$55,'Intermediate Data'!$CD168,0))))</f>
        <v/>
      </c>
      <c r="CK168" s="90" t="str">
        <f ca="1">IF($CD168="","",IF(OFFSET(BA$55,'Intermediate Data'!$CD168,0)=-98,"Unknown",IF(OFFSET(BA$55,'Intermediate Data'!$CD168,0)=-99,"N/A",OFFSET(BA$55,'Intermediate Data'!$CD168,0))))</f>
        <v/>
      </c>
      <c r="CL168" s="90" t="str">
        <f ca="1">IF($CD168="","",IF(OFFSET(BB$55,'Intermediate Data'!$CD168,$AX$50)=-98,"Unknown",IF(OFFSET(BB$55,'Intermediate Data'!$CD168,$AX$50)="N/A","",OFFSET(BB$55,'Intermediate Data'!$CD168,$AX$50))))</f>
        <v/>
      </c>
      <c r="CM168" s="90" t="str">
        <f ca="1">IF($CD168="","",IF(OFFSET(BG$55,'Intermediate Data'!$CD168,0)="ET","ET",""))</f>
        <v/>
      </c>
      <c r="CN168" s="90" t="str">
        <f ca="1">IF($CD168="","",IF(OFFSET(BH$55,'Intermediate Data'!$CD168,$AX$50)=-98,"Unknown",IF(OFFSET(BH$55,'Intermediate Data'!$CD168,$AX$50)="N/A","",OFFSET(BH$55,'Intermediate Data'!$CD168,$AX$50))))</f>
        <v/>
      </c>
      <c r="CO168" s="90" t="str">
        <f ca="1">IF($CD168="","",IF(OFFSET(BM$55,'Intermediate Data'!$CD168,0)=-98,"Not published",IF(OFFSET(BM$55,'Intermediate Data'!$CD168,0)=-99,"No spec",OFFSET(BM$55,'Intermediate Data'!$CD168,0))))</f>
        <v/>
      </c>
      <c r="CP168" s="114" t="str">
        <f ca="1">IF($CD168="","",IF(OFFSET(BN$55,'Intermediate Data'!$CD168,0)=-98,"Unknown",IF(OFFSET(BN$55,'Intermediate Data'!$CD168,0)=-99,"N/A",OFFSET(BN$55,'Intermediate Data'!$CD168,0))))</f>
        <v/>
      </c>
      <c r="CQ168" s="114" t="str">
        <f ca="1">IF($CD168="","",IF(OFFSET(BO$55,'Intermediate Data'!$CD168,0)=-98,"Unknown",IF(OFFSET(BO$55,'Intermediate Data'!$CD168,0)=-99,"N/A",OFFSET(BO$55,'Intermediate Data'!$CD168,0))))</f>
        <v/>
      </c>
      <c r="CR168" s="114" t="str">
        <f ca="1">IF($CD168="","",IF(OFFSET(BP$55,'Intermediate Data'!$CD168,0)=-98,"Unknown",IF(OFFSET(BP$55,'Intermediate Data'!$CD168,0)=-99,"N/A",OFFSET(BP$55,'Intermediate Data'!$CD168,0))))</f>
        <v/>
      </c>
      <c r="CS168" s="114" t="str">
        <f ca="1">IF($CD168="","",IF(OFFSET(BQ$55,'Intermediate Data'!$CD168,0)=-98,"Unknown",IF(OFFSET(BQ$55,'Intermediate Data'!$CD168,0)=-99,"N/A",OFFSET(BQ$55,'Intermediate Data'!$CD168,0))))</f>
        <v/>
      </c>
      <c r="CT168" s="114" t="str">
        <f ca="1">IF($CD168="","",IF(OFFSET(BR$55,'Intermediate Data'!$CD168,0)=-98,"Unknown",IF(OFFSET(BR$55,'Intermediate Data'!$CD168,0)=-99,"N/A",OFFSET(BR$55,'Intermediate Data'!$CD168,0))))</f>
        <v/>
      </c>
      <c r="CU168" s="114" t="str">
        <f ca="1">IF($CD168="","",IF(OFFSET(BS$55,'Intermediate Data'!$CD168,0)=-98,"Unknown",IF(OFFSET(BS$55,'Intermediate Data'!$CD168,0)=-99,"N/A",OFFSET(BS$55,'Intermediate Data'!$CD168,0))))</f>
        <v/>
      </c>
      <c r="CV168" s="114" t="str">
        <f ca="1">IF($CD168="","",IF(OFFSET(BT$55,'Intermediate Data'!$CD168,0)=-98,"Unknown",IF(OFFSET(BT$55,'Intermediate Data'!$CD168,0)=-99,"N/A",OFFSET(BT$55,'Intermediate Data'!$CD168,0))))</f>
        <v/>
      </c>
      <c r="CW168" s="114" t="str">
        <f ca="1">IF($CD168="","",IF(OFFSET(BU$55,'Intermediate Data'!$CD168,0)=-98,"Unknown",IF(OFFSET(BU$55,'Intermediate Data'!$CD168,0)=-99,"N/A",OFFSET(BU$55,'Intermediate Data'!$CD168,0))))</f>
        <v/>
      </c>
      <c r="CX168" s="114" t="str">
        <f ca="1">IF($CD168="","",IF(OFFSET(BV$55,'Intermediate Data'!$CD168,0)=-98,"Unknown",IF(OFFSET(BV$55,'Intermediate Data'!$CD168,0)=-99,"N/A",OFFSET(BV$55,'Intermediate Data'!$CD168,0))))</f>
        <v/>
      </c>
      <c r="CY168" s="682" t="str">
        <f ca="1">IF($CD168="","",IF(OFFSET(BW$55,'Intermediate Data'!$CD168,0)=-98,"Unknown",IF(OFFSET(BW$55,'Intermediate Data'!$CD168,0)="N/A","",OFFSET(BW$55,'Intermediate Data'!$CD168,0))))</f>
        <v/>
      </c>
      <c r="CZ168" s="682" t="str">
        <f ca="1">IF($CD168="","",IF(OFFSET(BX$55,'Intermediate Data'!$CD168,0)=-98,"Unknown",IF(OFFSET(BX$55,'Intermediate Data'!$CD168,0)="N/A","",OFFSET(BX$55,'Intermediate Data'!$CD168,0))))</f>
        <v/>
      </c>
      <c r="DA168" s="682" t="str">
        <f ca="1">IF($CD168="","",IF(OFFSET(BY$55,'Intermediate Data'!$CD168,0)=-98,"Unknown",IF(OFFSET(BY$55,'Intermediate Data'!$CD168,0)="N/A","",OFFSET(BY$55,'Intermediate Data'!$CD168,0))))</f>
        <v/>
      </c>
      <c r="DB168" s="682" t="str">
        <f ca="1">IF($CD168="","",IF(OFFSET(BZ$55,'Intermediate Data'!$CD168,0)=-98,"Unknown",IF(OFFSET(BZ$55,'Intermediate Data'!$CD168,0)="N/A","",OFFSET(BZ$55,'Intermediate Data'!$CD168,0))))</f>
        <v/>
      </c>
    </row>
    <row r="169" spans="1:106" x14ac:dyDescent="0.2">
      <c r="A169" s="90">
        <f ca="1">IF(OFFSET(DATA!F118,0,$D$48)='Intermediate Data'!$E$48,IF(OR($E$49=$C$27,$E$48=$B$4),DATA!A118,IF($G$49=DATA!D118,DATA!A118,"")),"")</f>
        <v>114</v>
      </c>
      <c r="B169" s="90">
        <f ca="1">IF($A169="","",DATA!EH118)</f>
        <v>66</v>
      </c>
      <c r="C169" s="90" t="str">
        <f ca="1">IF($A169="","",DATA!B118)</f>
        <v>Medical equipment</v>
      </c>
      <c r="D169" s="90">
        <f ca="1">IF($A169="","",OFFSET(DATA!$H118,0,($D$50*5)))</f>
        <v>-99</v>
      </c>
      <c r="E169" s="90">
        <f ca="1">IF($A169="","",OFFSET(DATA!$H118,0,($D$50*5)+1))</f>
        <v>2.9803524043684457E-2</v>
      </c>
      <c r="F169" s="90">
        <f ca="1">IF($A169="","",OFFSET(DATA!$H118,0,($D$50*5)+2))</f>
        <v>-99</v>
      </c>
      <c r="G169" s="90">
        <f ca="1">IF($A169="","",OFFSET(DATA!$H118,0,($D$50*5)+3))</f>
        <v>4.9943091726367433E-2</v>
      </c>
      <c r="H169" s="90">
        <f ca="1">IF($A169="","",OFFSET(DATA!$H118,0,($D$50*5)+4))</f>
        <v>-99</v>
      </c>
      <c r="I169" s="90">
        <f t="shared" ca="1" si="17"/>
        <v>4.9943091726367433E-2</v>
      </c>
      <c r="J169" s="90" t="str">
        <f t="shared" ca="1" si="18"/>
        <v>RASS</v>
      </c>
      <c r="K169" s="90">
        <f ca="1">IF($A169="","",OFFSET(DATA!$AG118,0,($D$50*5)))</f>
        <v>-99</v>
      </c>
      <c r="L169" s="90">
        <f ca="1">IF($A169="","",OFFSET(DATA!$AG118,0,($D$50*5)+1))</f>
        <v>-99</v>
      </c>
      <c r="M169" s="90">
        <f ca="1">IF($A169="","",OFFSET(DATA!$AG118,0,($D$50*5)+2))</f>
        <v>-99</v>
      </c>
      <c r="N169" s="90">
        <f ca="1">IF($A169="","",OFFSET(DATA!$AG118,0,($D$50*5)+3))</f>
        <v>-99</v>
      </c>
      <c r="O169" s="90">
        <f ca="1">IF($A169="","",OFFSET(DATA!$AG118,0,($D$50*5)+4))</f>
        <v>-99</v>
      </c>
      <c r="P169" s="90">
        <f t="shared" ca="1" si="19"/>
        <v>-99</v>
      </c>
      <c r="Q169" s="90" t="str">
        <f t="shared" ca="1" si="20"/>
        <v/>
      </c>
      <c r="R169" s="699">
        <f ca="1">IF($A169="","",IF(DATA!BF118="",-99,DATA!BF118))</f>
        <v>-99</v>
      </c>
      <c r="S169" s="90">
        <f ca="1">IF($A169="","",IF(DATA!BG118="",-99,DATA!BF118-DATA!BG118))</f>
        <v>-99</v>
      </c>
      <c r="T169" s="90">
        <f ca="1">IF($A169="","",DATA!BH118)</f>
        <v>-99</v>
      </c>
      <c r="U169" s="90">
        <f ca="1">IF($A169="","",OFFSET(DATA!BM118,0,$D$48))</f>
        <v>-99</v>
      </c>
      <c r="V169" s="90">
        <f t="shared" ca="1" si="29"/>
        <v>66</v>
      </c>
      <c r="W169" s="99">
        <f t="shared" ca="1" si="21"/>
        <v>65.999910914658969</v>
      </c>
      <c r="X169" s="112">
        <f t="shared" ca="1" si="22"/>
        <v>14.999934821711106</v>
      </c>
      <c r="Y169" s="90">
        <f t="shared" ca="1" si="23"/>
        <v>98</v>
      </c>
      <c r="AA169" s="90" t="str">
        <f ca="1">IF($Y169="","",IF(OFFSET(C$55,'Intermediate Data'!$Y169,0)=-98,"Unknown",IF(OFFSET(C$55,'Intermediate Data'!$Y169,0)=-99,"N/A",OFFSET(C$55,'Intermediate Data'!$Y169,0))))</f>
        <v>Uninterruptible power supply</v>
      </c>
      <c r="AB169" s="90" t="str">
        <f ca="1">IF($Y169="","",IF(OFFSET(D$55,'Intermediate Data'!$Y169,0)=-98,"N/A",IF(OFFSET(D$55,'Intermediate Data'!$Y169,0)=-99,"N/A",OFFSET(D$55,'Intermediate Data'!$Y169,0))))</f>
        <v>N/A</v>
      </c>
      <c r="AC169" s="90" t="str">
        <f ca="1">IF($Y169="","",IF(OFFSET(E$55,'Intermediate Data'!$Y169,0)=-98,"N/A",IF(OFFSET(E$55,'Intermediate Data'!$Y169,0)=-99,"N/A",OFFSET(E$55,'Intermediate Data'!$Y169,0))))</f>
        <v>N/A</v>
      </c>
      <c r="AD169" s="90" t="str">
        <f ca="1">IF($Y169="","",IF(OFFSET(F$55,'Intermediate Data'!$Y169,0)=-98,"N/A",IF(OFFSET(F$55,'Intermediate Data'!$Y169,0)=-99,"N/A",OFFSET(F$55,'Intermediate Data'!$Y169,0))))</f>
        <v>N/A</v>
      </c>
      <c r="AE169" s="90">
        <f ca="1">IF($Y169="","",IF(OFFSET(G$55,'Intermediate Data'!$Y169,0)=-98,"N/A",IF(OFFSET(G$55,'Intermediate Data'!$Y169,0)=-99,"N/A",OFFSET(G$55,'Intermediate Data'!$Y169,0))))</f>
        <v>0.12944048176150891</v>
      </c>
      <c r="AF169" s="90" t="str">
        <f ca="1">IF($Y169="","",IF(OFFSET(H$55,'Intermediate Data'!$Y169,0)=-98,"N/A",IF(OFFSET(H$55,'Intermediate Data'!$Y169,0)=-99,"N/A",OFFSET(H$55,'Intermediate Data'!$Y169,0))))</f>
        <v>N/A</v>
      </c>
      <c r="AG169" s="90">
        <f ca="1">IF($Y169="","",IF(OFFSET(I$55,'Intermediate Data'!$Y169,0)=-98,"N/A",IF(OFFSET(I$55,'Intermediate Data'!$Y169,0)=-99,"N/A",OFFSET(I$55,'Intermediate Data'!$Y169,0))))</f>
        <v>0.12944048176150891</v>
      </c>
      <c r="AH169" s="90" t="str">
        <f ca="1">IF($Y169="","",IF(OFFSET(J$55,'Intermediate Data'!$Y169,0)=-98,"N/A",IF(OFFSET(J$55,'Intermediate Data'!$Y169,0)=-99,"N/A",OFFSET(J$55,'Intermediate Data'!$Y169,0))))</f>
        <v>RASS</v>
      </c>
      <c r="AI169" s="90" t="str">
        <f ca="1">IF($Y169="","",IF(OFFSET(K$55,'Intermediate Data'!$Y169,0)=-98,"N/A",IF(OFFSET(K$55,'Intermediate Data'!$Y169,0)=-99,"N/A",OFFSET(K$55,'Intermediate Data'!$Y169,0))))</f>
        <v>N/A</v>
      </c>
      <c r="AJ169" s="90" t="str">
        <f ca="1">IF($Y169="","",IF(OFFSET(L$55,'Intermediate Data'!$Y169,0)=-98,"N/A",IF(OFFSET(L$55,'Intermediate Data'!$Y169,0)=-99,"N/A",OFFSET(L$55,'Intermediate Data'!$Y169,0))))</f>
        <v>N/A</v>
      </c>
      <c r="AK169" s="90" t="str">
        <f ca="1">IF($Y169="","",IF(OFFSET(M$55,'Intermediate Data'!$Y169,0)=-98,"N/A",IF(OFFSET(M$55,'Intermediate Data'!$Y169,0)=-99,"N/A",OFFSET(M$55,'Intermediate Data'!$Y169,0))))</f>
        <v>N/A</v>
      </c>
      <c r="AL169" s="90">
        <f ca="1">IF($Y169="","",IF(OFFSET(N$55,'Intermediate Data'!$Y169,0)=-98,"N/A",IF(OFFSET(N$55,'Intermediate Data'!$Y169,0)=-99,"N/A",OFFSET(N$55,'Intermediate Data'!$Y169,0))))</f>
        <v>0.16293009710065778</v>
      </c>
      <c r="AM169" s="90" t="str">
        <f ca="1">IF($Y169="","",IF(OFFSET(O$55,'Intermediate Data'!$Y169,0)=-98,"N/A",IF(OFFSET(O$55,'Intermediate Data'!$Y169,0)=-99,"N/A",OFFSET(O$55,'Intermediate Data'!$Y169,0))))</f>
        <v>N/A</v>
      </c>
      <c r="AN169" s="90">
        <f ca="1">IF($Y169="","",IF(OFFSET(P$55,'Intermediate Data'!$Y169,0)=-98,"N/A",IF(OFFSET(P$55,'Intermediate Data'!$Y169,0)=-99,"N/A",OFFSET(P$55,'Intermediate Data'!$Y169,0))))</f>
        <v>0.16293009710065778</v>
      </c>
      <c r="AO169" s="90" t="str">
        <f ca="1">IF($Y169="","",IF(OFFSET(Q$55,'Intermediate Data'!$Y169,0)=-98,"N/A",IF(OFFSET(Q$55,'Intermediate Data'!$Y169,0)=-99,"N/A",OFFSET(Q$55,'Intermediate Data'!$Y169,0))))</f>
        <v>RASS</v>
      </c>
      <c r="AP169" s="697" t="str">
        <f ca="1">IF($Y169="","",IF(OFFSET(S$55,'Intermediate Data'!$Y169,0)=-98,"",IF(OFFSET(S$55,'Intermediate Data'!$Y169,0)=-99,"",OFFSET(S$55,'Intermediate Data'!$Y169,0))))</f>
        <v/>
      </c>
      <c r="AQ169" s="90">
        <f ca="1">IF($Y169="","",IF(OFFSET(T$55,'Intermediate Data'!$Y169,0)=-98,"Not published",IF(OFFSET(T$55,'Intermediate Data'!$Y169,0)=-99,"",OFFSET(T$55,'Intermediate Data'!$Y169,0))))</f>
        <v>0.78</v>
      </c>
      <c r="AR169" s="90">
        <f ca="1">IF($Y169="","",IF(OFFSET(U$55,'Intermediate Data'!$Y169,0)=-98,"Unknown",IF(OFFSET(U$55,'Intermediate Data'!$Y169,0)=-99,"",OFFSET(U$55,'Intermediate Data'!$Y169,0))))</f>
        <v>40</v>
      </c>
      <c r="AU169" s="112" t="str">
        <f ca="1">IF(AND(OFFSET(DATA!$F118,0,$AX$48)='Intermediate Data'!$AY$48,DATA!$E118="Tier 1"),IF(OR($AX$49=0,$AX$48=1),DATA!A118,IF(AND($AX$49=1,INDEX('Intermediate Data'!$AY$25:$AY$44,MATCH(DATA!$B118,'Intermediate Data'!$AX$25:$AX$44,0))=TRUE),DATA!A118,"")),"")</f>
        <v/>
      </c>
      <c r="AV169" s="112" t="str">
        <f ca="1">IF($AU169="","",DATA!B118)</f>
        <v/>
      </c>
      <c r="AW169" s="112" t="str">
        <f ca="1">IF(OR($AU169="",DATA!BI118=""),"",DATA!BI118)</f>
        <v/>
      </c>
      <c r="AX169" s="112" t="str">
        <f ca="1">IF(OR($AU169="",OFFSET(DATA!BK118,0,$AX$48)=""),"",OFFSET(DATA!BK118,0,$AX$48))</f>
        <v/>
      </c>
      <c r="AY169" s="112" t="str">
        <f ca="1">IF(OR($AU169="",OFFSET(DATA!BM118,0,$AX$48)=""),"",OFFSET(DATA!BM118,0,$AX$48))</f>
        <v/>
      </c>
      <c r="AZ169" s="112" t="str">
        <f ca="1">IF(OR($AU169="",OFFSET(DATA!BO118,0,'Intermediate Data'!$AX$48)=""),"",OFFSET(DATA!BO118,0,$AX$48))</f>
        <v/>
      </c>
      <c r="BA169" s="112" t="str">
        <f ca="1">IF(OR($AU169="",DATA!BQ118=""),"",DATA!BQ118)</f>
        <v/>
      </c>
      <c r="BB169" s="112" t="str">
        <f ca="1">IF($AU169="","",OFFSET(DATA!BS118,0,$AX$48))</f>
        <v/>
      </c>
      <c r="BC169" s="112" t="str">
        <f ca="1">IF($AU169="","",OFFSET(DATA!BU118,0,$AX$48))</f>
        <v/>
      </c>
      <c r="BD169" s="112" t="str">
        <f ca="1">IF($AU169="","",OFFSET(DATA!BW118,0,$AX$48))</f>
        <v/>
      </c>
      <c r="BE169" s="112" t="str">
        <f ca="1">IF($AU169="","",OFFSET(DATA!BY118,0,$AX$48))</f>
        <v/>
      </c>
      <c r="BF169" s="112" t="str">
        <f ca="1">IF($AU169="","",OFFSET(DATA!CA118,0,$AX$48))</f>
        <v/>
      </c>
      <c r="BG169" s="112" t="str">
        <f ca="1">IF($AU169="","",DATA!CC118)</f>
        <v/>
      </c>
      <c r="BH169" s="112" t="str">
        <f ca="1">IF($AU169="","",OFFSET(DATA!CE118,0,$AX$48))</f>
        <v/>
      </c>
      <c r="BI169" s="112" t="str">
        <f ca="1">IF($AU169="","",OFFSET(DATA!CG118,0,$AX$48))</f>
        <v/>
      </c>
      <c r="BJ169" s="112" t="str">
        <f ca="1">IF($AU169="","",OFFSET(DATA!CI118,0,$AX$48))</f>
        <v/>
      </c>
      <c r="BK169" s="112" t="str">
        <f ca="1">IF($AU169="","",OFFSET(DATA!CK118,0,$AX$48))</f>
        <v/>
      </c>
      <c r="BL169" s="112" t="str">
        <f ca="1">IF($AU169="","",OFFSET(DATA!CM118,0,$AX$48))</f>
        <v/>
      </c>
      <c r="BM169" s="112" t="str">
        <f ca="1">IF($AU169="","",DATA!BH118)</f>
        <v/>
      </c>
      <c r="BN169" s="112" t="str">
        <f ca="1">IF($AU169="","",DATA!DS118)</f>
        <v/>
      </c>
      <c r="BO169" s="112" t="str">
        <f ca="1">IF($AU169="","",DATA!DU118)</f>
        <v/>
      </c>
      <c r="BP169" s="112" t="str">
        <f ca="1">IF($AU169="","",DATA!DV118)</f>
        <v/>
      </c>
      <c r="BQ169" s="112" t="str">
        <f ca="1">IF($AU169="","",DATA!DX118)</f>
        <v/>
      </c>
      <c r="BR169" s="112" t="str">
        <f ca="1">IF($AU169="","",DATA!DZ118)</f>
        <v/>
      </c>
      <c r="BS169" s="171" t="str">
        <f ca="1">IF($AU169="","",DATA!EA118)</f>
        <v/>
      </c>
      <c r="BT169" s="171" t="str">
        <f ca="1">IF($AU169="","",DATA!EC118)</f>
        <v/>
      </c>
      <c r="BU169" s="171" t="str">
        <f ca="1">IF($AU169="","",DATA!EF118)</f>
        <v/>
      </c>
      <c r="BV169" s="113" t="str">
        <f t="shared" ca="1" si="24"/>
        <v/>
      </c>
      <c r="BW169" s="680" t="str">
        <f ca="1">IF(AU169="","",OFFSET(DATA!DC118,0,'Intermediate Data'!$AX$48))</f>
        <v/>
      </c>
      <c r="BX169" s="681" t="str">
        <f ca="1">IF($AU169="","",DATA!DG118)</f>
        <v/>
      </c>
      <c r="BY169" s="680" t="str">
        <f ca="1">IF($AU169="","",OFFSET(DATA!DE118,0,'Intermediate Data'!$AX$48))</f>
        <v/>
      </c>
      <c r="BZ169" s="681" t="str">
        <f ca="1">IF($AU169="","",DATA!DH118)</f>
        <v/>
      </c>
      <c r="CA169" s="90" t="str">
        <f t="shared" ca="1" si="25"/>
        <v/>
      </c>
      <c r="CB169" s="99" t="str">
        <f t="shared" ca="1" si="26"/>
        <v/>
      </c>
      <c r="CC169" s="90" t="str">
        <f t="shared" ca="1" si="27"/>
        <v/>
      </c>
      <c r="CD169" s="90" t="str">
        <f t="shared" ca="1" si="28"/>
        <v/>
      </c>
      <c r="CF169" s="90" t="str">
        <f ca="1">IF($CD169="","",IF(OFFSET(AV$55,'Intermediate Data'!$CD169,0)=-98,"Unknown",IF(OFFSET(AV$55,'Intermediate Data'!$CD169,0)=-99,"N/A",OFFSET(AV$55,'Intermediate Data'!$CD169,0))))</f>
        <v/>
      </c>
      <c r="CG169" s="90" t="str">
        <f ca="1">IF($CD169="","",IF(OFFSET(AW$55,'Intermediate Data'!$CD169,0)=-98,"",IF(OFFSET(AW$55,'Intermediate Data'!$CD169,0)=-99,"N/A",OFFSET(AW$55,'Intermediate Data'!$CD169,0))))</f>
        <v/>
      </c>
      <c r="CH169" s="90" t="str">
        <f ca="1">IF($CD169="","",IF(OFFSET(AX$55,'Intermediate Data'!$CD169,0)=-98,"Unknown",IF(OFFSET(AX$55,'Intermediate Data'!$CD169,0)=-99,"N/A",OFFSET(AX$55,'Intermediate Data'!$CD169,0))))</f>
        <v/>
      </c>
      <c r="CI169" s="125" t="str">
        <f ca="1">IF($CD169="","",IF(OFFSET(AY$55,'Intermediate Data'!$CD169,0)=-98,"Unknown",IF(OFFSET(AY$55,'Intermediate Data'!$CD169,0)=-99,"No spec",OFFSET(AY$55,'Intermediate Data'!$CD169,0))))</f>
        <v/>
      </c>
      <c r="CJ169" s="125" t="str">
        <f ca="1">IF($CD169="","",IF(OFFSET(AZ$55,'Intermediate Data'!$CD169,0)=-98,"Unknown",IF(OFFSET(AZ$55,'Intermediate Data'!$CD169,0)=-99,"N/A",OFFSET(AZ$55,'Intermediate Data'!$CD169,0))))</f>
        <v/>
      </c>
      <c r="CK169" s="90" t="str">
        <f ca="1">IF($CD169="","",IF(OFFSET(BA$55,'Intermediate Data'!$CD169,0)=-98,"Unknown",IF(OFFSET(BA$55,'Intermediate Data'!$CD169,0)=-99,"N/A",OFFSET(BA$55,'Intermediate Data'!$CD169,0))))</f>
        <v/>
      </c>
      <c r="CL169" s="90" t="str">
        <f ca="1">IF($CD169="","",IF(OFFSET(BB$55,'Intermediate Data'!$CD169,$AX$50)=-98,"Unknown",IF(OFFSET(BB$55,'Intermediate Data'!$CD169,$AX$50)="N/A","",OFFSET(BB$55,'Intermediate Data'!$CD169,$AX$50))))</f>
        <v/>
      </c>
      <c r="CM169" s="90" t="str">
        <f ca="1">IF($CD169="","",IF(OFFSET(BG$55,'Intermediate Data'!$CD169,0)="ET","ET",""))</f>
        <v/>
      </c>
      <c r="CN169" s="90" t="str">
        <f ca="1">IF($CD169="","",IF(OFFSET(BH$55,'Intermediate Data'!$CD169,$AX$50)=-98,"Unknown",IF(OFFSET(BH$55,'Intermediate Data'!$CD169,$AX$50)="N/A","",OFFSET(BH$55,'Intermediate Data'!$CD169,$AX$50))))</f>
        <v/>
      </c>
      <c r="CO169" s="90" t="str">
        <f ca="1">IF($CD169="","",IF(OFFSET(BM$55,'Intermediate Data'!$CD169,0)=-98,"Not published",IF(OFFSET(BM$55,'Intermediate Data'!$CD169,0)=-99,"No spec",OFFSET(BM$55,'Intermediate Data'!$CD169,0))))</f>
        <v/>
      </c>
      <c r="CP169" s="114" t="str">
        <f ca="1">IF($CD169="","",IF(OFFSET(BN$55,'Intermediate Data'!$CD169,0)=-98,"Unknown",IF(OFFSET(BN$55,'Intermediate Data'!$CD169,0)=-99,"N/A",OFFSET(BN$55,'Intermediate Data'!$CD169,0))))</f>
        <v/>
      </c>
      <c r="CQ169" s="114" t="str">
        <f ca="1">IF($CD169="","",IF(OFFSET(BO$55,'Intermediate Data'!$CD169,0)=-98,"Unknown",IF(OFFSET(BO$55,'Intermediate Data'!$CD169,0)=-99,"N/A",OFFSET(BO$55,'Intermediate Data'!$CD169,0))))</f>
        <v/>
      </c>
      <c r="CR169" s="114" t="str">
        <f ca="1">IF($CD169="","",IF(OFFSET(BP$55,'Intermediate Data'!$CD169,0)=-98,"Unknown",IF(OFFSET(BP$55,'Intermediate Data'!$CD169,0)=-99,"N/A",OFFSET(BP$55,'Intermediate Data'!$CD169,0))))</f>
        <v/>
      </c>
      <c r="CS169" s="114" t="str">
        <f ca="1">IF($CD169="","",IF(OFFSET(BQ$55,'Intermediate Data'!$CD169,0)=-98,"Unknown",IF(OFFSET(BQ$55,'Intermediate Data'!$CD169,0)=-99,"N/A",OFFSET(BQ$55,'Intermediate Data'!$CD169,0))))</f>
        <v/>
      </c>
      <c r="CT169" s="114" t="str">
        <f ca="1">IF($CD169="","",IF(OFFSET(BR$55,'Intermediate Data'!$CD169,0)=-98,"Unknown",IF(OFFSET(BR$55,'Intermediate Data'!$CD169,0)=-99,"N/A",OFFSET(BR$55,'Intermediate Data'!$CD169,0))))</f>
        <v/>
      </c>
      <c r="CU169" s="114" t="str">
        <f ca="1">IF($CD169="","",IF(OFFSET(BS$55,'Intermediate Data'!$CD169,0)=-98,"Unknown",IF(OFFSET(BS$55,'Intermediate Data'!$CD169,0)=-99,"N/A",OFFSET(BS$55,'Intermediate Data'!$CD169,0))))</f>
        <v/>
      </c>
      <c r="CV169" s="114" t="str">
        <f ca="1">IF($CD169="","",IF(OFFSET(BT$55,'Intermediate Data'!$CD169,0)=-98,"Unknown",IF(OFFSET(BT$55,'Intermediate Data'!$CD169,0)=-99,"N/A",OFFSET(BT$55,'Intermediate Data'!$CD169,0))))</f>
        <v/>
      </c>
      <c r="CW169" s="114" t="str">
        <f ca="1">IF($CD169="","",IF(OFFSET(BU$55,'Intermediate Data'!$CD169,0)=-98,"Unknown",IF(OFFSET(BU$55,'Intermediate Data'!$CD169,0)=-99,"N/A",OFFSET(BU$55,'Intermediate Data'!$CD169,0))))</f>
        <v/>
      </c>
      <c r="CX169" s="114" t="str">
        <f ca="1">IF($CD169="","",IF(OFFSET(BV$55,'Intermediate Data'!$CD169,0)=-98,"Unknown",IF(OFFSET(BV$55,'Intermediate Data'!$CD169,0)=-99,"N/A",OFFSET(BV$55,'Intermediate Data'!$CD169,0))))</f>
        <v/>
      </c>
      <c r="CY169" s="682" t="str">
        <f ca="1">IF($CD169="","",IF(OFFSET(BW$55,'Intermediate Data'!$CD169,0)=-98,"Unknown",IF(OFFSET(BW$55,'Intermediate Data'!$CD169,0)="N/A","",OFFSET(BW$55,'Intermediate Data'!$CD169,0))))</f>
        <v/>
      </c>
      <c r="CZ169" s="682" t="str">
        <f ca="1">IF($CD169="","",IF(OFFSET(BX$55,'Intermediate Data'!$CD169,0)=-98,"Unknown",IF(OFFSET(BX$55,'Intermediate Data'!$CD169,0)="N/A","",OFFSET(BX$55,'Intermediate Data'!$CD169,0))))</f>
        <v/>
      </c>
      <c r="DA169" s="682" t="str">
        <f ca="1">IF($CD169="","",IF(OFFSET(BY$55,'Intermediate Data'!$CD169,0)=-98,"Unknown",IF(OFFSET(BY$55,'Intermediate Data'!$CD169,0)="N/A","",OFFSET(BY$55,'Intermediate Data'!$CD169,0))))</f>
        <v/>
      </c>
      <c r="DB169" s="682" t="str">
        <f ca="1">IF($CD169="","",IF(OFFSET(BZ$55,'Intermediate Data'!$CD169,0)=-98,"Unknown",IF(OFFSET(BZ$55,'Intermediate Data'!$CD169,0)="N/A","",OFFSET(BZ$55,'Intermediate Data'!$CD169,0))))</f>
        <v/>
      </c>
    </row>
    <row r="170" spans="1:106" x14ac:dyDescent="0.2">
      <c r="A170" s="90">
        <f ca="1">IF(OFFSET(DATA!F119,0,$D$48)='Intermediate Data'!$E$48,IF(OR($E$49=$C$27,$E$48=$B$4),DATA!A119,IF($G$49=DATA!D119,DATA!A119,"")),"")</f>
        <v>115</v>
      </c>
      <c r="B170" s="90">
        <f ca="1">IF($A170="","",DATA!EH119)</f>
        <v>33</v>
      </c>
      <c r="C170" s="90" t="str">
        <f ca="1">IF($A170="","",DATA!B119)</f>
        <v>Shaver</v>
      </c>
      <c r="D170" s="90">
        <f ca="1">IF($A170="","",OFFSET(DATA!$H119,0,($D$50*5)))</f>
        <v>-99</v>
      </c>
      <c r="E170" s="90">
        <f ca="1">IF($A170="","",OFFSET(DATA!$H119,0,($D$50*5)+1))</f>
        <v>-99</v>
      </c>
      <c r="F170" s="90">
        <f ca="1">IF($A170="","",OFFSET(DATA!$H119,0,($D$50*5)+2))</f>
        <v>-99</v>
      </c>
      <c r="G170" s="90">
        <f ca="1">IF($A170="","",OFFSET(DATA!$H119,0,($D$50*5)+3))</f>
        <v>-99</v>
      </c>
      <c r="H170" s="90">
        <f ca="1">IF($A170="","",OFFSET(DATA!$H119,0,($D$50*5)+4))</f>
        <v>-99</v>
      </c>
      <c r="I170" s="90">
        <f t="shared" ca="1" si="17"/>
        <v>-99</v>
      </c>
      <c r="J170" s="90" t="str">
        <f t="shared" ca="1" si="18"/>
        <v/>
      </c>
      <c r="K170" s="90">
        <f ca="1">IF($A170="","",OFFSET(DATA!$AG119,0,($D$50*5)))</f>
        <v>-99</v>
      </c>
      <c r="L170" s="90">
        <f ca="1">IF($A170="","",OFFSET(DATA!$AG119,0,($D$50*5)+1))</f>
        <v>-99</v>
      </c>
      <c r="M170" s="90">
        <f ca="1">IF($A170="","",OFFSET(DATA!$AG119,0,($D$50*5)+2))</f>
        <v>-99</v>
      </c>
      <c r="N170" s="90">
        <f ca="1">IF($A170="","",OFFSET(DATA!$AG119,0,($D$50*5)+3))</f>
        <v>-99</v>
      </c>
      <c r="O170" s="90">
        <f ca="1">IF($A170="","",OFFSET(DATA!$AG119,0,($D$50*5)+4))</f>
        <v>-99</v>
      </c>
      <c r="P170" s="90">
        <f t="shared" ca="1" si="19"/>
        <v>-99</v>
      </c>
      <c r="Q170" s="90" t="str">
        <f t="shared" ca="1" si="20"/>
        <v/>
      </c>
      <c r="R170" s="699">
        <f ca="1">IF($A170="","",IF(DATA!BF119="",-99,DATA!BF119))</f>
        <v>-99</v>
      </c>
      <c r="S170" s="90">
        <f ca="1">IF($A170="","",IF(DATA!BG119="",-99,DATA!BF119-DATA!BG119))</f>
        <v>-99</v>
      </c>
      <c r="T170" s="90">
        <f ca="1">IF($A170="","",DATA!BH119)</f>
        <v>-99</v>
      </c>
      <c r="U170" s="90">
        <f ca="1">IF($A170="","",OFFSET(DATA!BM119,0,$D$48))</f>
        <v>-99</v>
      </c>
      <c r="V170" s="90">
        <f t="shared" ca="1" si="29"/>
        <v>33</v>
      </c>
      <c r="W170" s="99">
        <f t="shared" ca="1" si="21"/>
        <v>32.999881201699999</v>
      </c>
      <c r="X170" s="112">
        <f t="shared" ca="1" si="22"/>
        <v>13.99988120081</v>
      </c>
      <c r="Y170" s="90">
        <f t="shared" ca="1" si="23"/>
        <v>26</v>
      </c>
      <c r="AA170" s="90" t="str">
        <f ca="1">IF($Y170="","",IF(OFFSET(C$55,'Intermediate Data'!$Y170,0)=-98,"Unknown",IF(OFFSET(C$55,'Intermediate Data'!$Y170,0)=-99,"N/A",OFFSET(C$55,'Intermediate Data'!$Y170,0))))</f>
        <v>Vacuum cleaner - Built-in</v>
      </c>
      <c r="AB170" s="90" t="str">
        <f ca="1">IF($Y170="","",IF(OFFSET(D$55,'Intermediate Data'!$Y170,0)=-98,"N/A",IF(OFFSET(D$55,'Intermediate Data'!$Y170,0)=-99,"N/A",OFFSET(D$55,'Intermediate Data'!$Y170,0))))</f>
        <v>N/A</v>
      </c>
      <c r="AC170" s="90" t="str">
        <f ca="1">IF($Y170="","",IF(OFFSET(E$55,'Intermediate Data'!$Y170,0)=-98,"N/A",IF(OFFSET(E$55,'Intermediate Data'!$Y170,0)=-99,"N/A",OFFSET(E$55,'Intermediate Data'!$Y170,0))))</f>
        <v>N/A</v>
      </c>
      <c r="AD170" s="90" t="str">
        <f ca="1">IF($Y170="","",IF(OFFSET(F$55,'Intermediate Data'!$Y170,0)=-98,"N/A",IF(OFFSET(F$55,'Intermediate Data'!$Y170,0)=-99,"N/A",OFFSET(F$55,'Intermediate Data'!$Y170,0))))</f>
        <v>N/A</v>
      </c>
      <c r="AE170" s="90" t="str">
        <f ca="1">IF($Y170="","",IF(OFFSET(G$55,'Intermediate Data'!$Y170,0)=-98,"N/A",IF(OFFSET(G$55,'Intermediate Data'!$Y170,0)=-99,"N/A",OFFSET(G$55,'Intermediate Data'!$Y170,0))))</f>
        <v>N/A</v>
      </c>
      <c r="AF170" s="90" t="str">
        <f ca="1">IF($Y170="","",IF(OFFSET(H$55,'Intermediate Data'!$Y170,0)=-98,"N/A",IF(OFFSET(H$55,'Intermediate Data'!$Y170,0)=-99,"N/A",OFFSET(H$55,'Intermediate Data'!$Y170,0))))</f>
        <v>N/A</v>
      </c>
      <c r="AG170" s="90" t="str">
        <f ca="1">IF($Y170="","",IF(OFFSET(I$55,'Intermediate Data'!$Y170,0)=-98,"N/A",IF(OFFSET(I$55,'Intermediate Data'!$Y170,0)=-99,"N/A",OFFSET(I$55,'Intermediate Data'!$Y170,0))))</f>
        <v>N/A</v>
      </c>
      <c r="AH170" s="90" t="str">
        <f ca="1">IF($Y170="","",IF(OFFSET(J$55,'Intermediate Data'!$Y170,0)=-98,"N/A",IF(OFFSET(J$55,'Intermediate Data'!$Y170,0)=-99,"N/A",OFFSET(J$55,'Intermediate Data'!$Y170,0))))</f>
        <v/>
      </c>
      <c r="AI170" s="90" t="str">
        <f ca="1">IF($Y170="","",IF(OFFSET(K$55,'Intermediate Data'!$Y170,0)=-98,"N/A",IF(OFFSET(K$55,'Intermediate Data'!$Y170,0)=-99,"N/A",OFFSET(K$55,'Intermediate Data'!$Y170,0))))</f>
        <v>N/A</v>
      </c>
      <c r="AJ170" s="90" t="str">
        <f ca="1">IF($Y170="","",IF(OFFSET(L$55,'Intermediate Data'!$Y170,0)=-98,"N/A",IF(OFFSET(L$55,'Intermediate Data'!$Y170,0)=-99,"N/A",OFFSET(L$55,'Intermediate Data'!$Y170,0))))</f>
        <v>N/A</v>
      </c>
      <c r="AK170" s="90" t="str">
        <f ca="1">IF($Y170="","",IF(OFFSET(M$55,'Intermediate Data'!$Y170,0)=-98,"N/A",IF(OFFSET(M$55,'Intermediate Data'!$Y170,0)=-99,"N/A",OFFSET(M$55,'Intermediate Data'!$Y170,0))))</f>
        <v>N/A</v>
      </c>
      <c r="AL170" s="90" t="str">
        <f ca="1">IF($Y170="","",IF(OFFSET(N$55,'Intermediate Data'!$Y170,0)=-98,"N/A",IF(OFFSET(N$55,'Intermediate Data'!$Y170,0)=-99,"N/A",OFFSET(N$55,'Intermediate Data'!$Y170,0))))</f>
        <v>N/A</v>
      </c>
      <c r="AM170" s="90" t="str">
        <f ca="1">IF($Y170="","",IF(OFFSET(O$55,'Intermediate Data'!$Y170,0)=-98,"N/A",IF(OFFSET(O$55,'Intermediate Data'!$Y170,0)=-99,"N/A",OFFSET(O$55,'Intermediate Data'!$Y170,0))))</f>
        <v>N/A</v>
      </c>
      <c r="AN170" s="90" t="str">
        <f ca="1">IF($Y170="","",IF(OFFSET(P$55,'Intermediate Data'!$Y170,0)=-98,"N/A",IF(OFFSET(P$55,'Intermediate Data'!$Y170,0)=-99,"N/A",OFFSET(P$55,'Intermediate Data'!$Y170,0))))</f>
        <v>N/A</v>
      </c>
      <c r="AO170" s="90" t="str">
        <f ca="1">IF($Y170="","",IF(OFFSET(Q$55,'Intermediate Data'!$Y170,0)=-98,"N/A",IF(OFFSET(Q$55,'Intermediate Data'!$Y170,0)=-99,"N/A",OFFSET(Q$55,'Intermediate Data'!$Y170,0))))</f>
        <v/>
      </c>
      <c r="AP170" s="697" t="str">
        <f ca="1">IF($Y170="","",IF(OFFSET(S$55,'Intermediate Data'!$Y170,0)=-98,"",IF(OFFSET(S$55,'Intermediate Data'!$Y170,0)=-99,"",OFFSET(S$55,'Intermediate Data'!$Y170,0))))</f>
        <v/>
      </c>
      <c r="AQ170" s="90" t="str">
        <f ca="1">IF($Y170="","",IF(OFFSET(T$55,'Intermediate Data'!$Y170,0)=-98,"Not published",IF(OFFSET(T$55,'Intermediate Data'!$Y170,0)=-99,"",OFFSET(T$55,'Intermediate Data'!$Y170,0))))</f>
        <v/>
      </c>
      <c r="AR170" s="90" t="str">
        <f ca="1">IF($Y170="","",IF(OFFSET(U$55,'Intermediate Data'!$Y170,0)=-98,"Unknown",IF(OFFSET(U$55,'Intermediate Data'!$Y170,0)=-99,"",OFFSET(U$55,'Intermediate Data'!$Y170,0))))</f>
        <v/>
      </c>
      <c r="AU170" s="112" t="str">
        <f ca="1">IF(AND(OFFSET(DATA!$F119,0,$AX$48)='Intermediate Data'!$AY$48,DATA!$E119="Tier 1"),IF(OR($AX$49=0,$AX$48=1),DATA!A119,IF(AND($AX$49=1,INDEX('Intermediate Data'!$AY$25:$AY$44,MATCH(DATA!$B119,'Intermediate Data'!$AX$25:$AX$44,0))=TRUE),DATA!A119,"")),"")</f>
        <v/>
      </c>
      <c r="AV170" s="112" t="str">
        <f ca="1">IF($AU170="","",DATA!B119)</f>
        <v/>
      </c>
      <c r="AW170" s="112" t="str">
        <f ca="1">IF(OR($AU170="",DATA!BI119=""),"",DATA!BI119)</f>
        <v/>
      </c>
      <c r="AX170" s="112" t="str">
        <f ca="1">IF(OR($AU170="",OFFSET(DATA!BK119,0,$AX$48)=""),"",OFFSET(DATA!BK119,0,$AX$48))</f>
        <v/>
      </c>
      <c r="AY170" s="112" t="str">
        <f ca="1">IF(OR($AU170="",OFFSET(DATA!BM119,0,$AX$48)=""),"",OFFSET(DATA!BM119,0,$AX$48))</f>
        <v/>
      </c>
      <c r="AZ170" s="112" t="str">
        <f ca="1">IF(OR($AU170="",OFFSET(DATA!BO119,0,'Intermediate Data'!$AX$48)=""),"",OFFSET(DATA!BO119,0,$AX$48))</f>
        <v/>
      </c>
      <c r="BA170" s="112" t="str">
        <f ca="1">IF(OR($AU170="",DATA!BQ119=""),"",DATA!BQ119)</f>
        <v/>
      </c>
      <c r="BB170" s="112" t="str">
        <f ca="1">IF($AU170="","",OFFSET(DATA!BS119,0,$AX$48))</f>
        <v/>
      </c>
      <c r="BC170" s="112" t="str">
        <f ca="1">IF($AU170="","",OFFSET(DATA!BU119,0,$AX$48))</f>
        <v/>
      </c>
      <c r="BD170" s="112" t="str">
        <f ca="1">IF($AU170="","",OFFSET(DATA!BW119,0,$AX$48))</f>
        <v/>
      </c>
      <c r="BE170" s="112" t="str">
        <f ca="1">IF($AU170="","",OFFSET(DATA!BY119,0,$AX$48))</f>
        <v/>
      </c>
      <c r="BF170" s="112" t="str">
        <f ca="1">IF($AU170="","",OFFSET(DATA!CA119,0,$AX$48))</f>
        <v/>
      </c>
      <c r="BG170" s="112" t="str">
        <f ca="1">IF($AU170="","",DATA!CC119)</f>
        <v/>
      </c>
      <c r="BH170" s="112" t="str">
        <f ca="1">IF($AU170="","",OFFSET(DATA!CE119,0,$AX$48))</f>
        <v/>
      </c>
      <c r="BI170" s="112" t="str">
        <f ca="1">IF($AU170="","",OFFSET(DATA!CG119,0,$AX$48))</f>
        <v/>
      </c>
      <c r="BJ170" s="112" t="str">
        <f ca="1">IF($AU170="","",OFFSET(DATA!CI119,0,$AX$48))</f>
        <v/>
      </c>
      <c r="BK170" s="112" t="str">
        <f ca="1">IF($AU170="","",OFFSET(DATA!CK119,0,$AX$48))</f>
        <v/>
      </c>
      <c r="BL170" s="112" t="str">
        <f ca="1">IF($AU170="","",OFFSET(DATA!CM119,0,$AX$48))</f>
        <v/>
      </c>
      <c r="BM170" s="112" t="str">
        <f ca="1">IF($AU170="","",DATA!BH119)</f>
        <v/>
      </c>
      <c r="BN170" s="112" t="str">
        <f ca="1">IF($AU170="","",DATA!DS119)</f>
        <v/>
      </c>
      <c r="BO170" s="112" t="str">
        <f ca="1">IF($AU170="","",DATA!DU119)</f>
        <v/>
      </c>
      <c r="BP170" s="112" t="str">
        <f ca="1">IF($AU170="","",DATA!DV119)</f>
        <v/>
      </c>
      <c r="BQ170" s="112" t="str">
        <f ca="1">IF($AU170="","",DATA!DX119)</f>
        <v/>
      </c>
      <c r="BR170" s="112" t="str">
        <f ca="1">IF($AU170="","",DATA!DZ119)</f>
        <v/>
      </c>
      <c r="BS170" s="171" t="str">
        <f ca="1">IF($AU170="","",DATA!EA119)</f>
        <v/>
      </c>
      <c r="BT170" s="171" t="str">
        <f ca="1">IF($AU170="","",DATA!EC119)</f>
        <v/>
      </c>
      <c r="BU170" s="171" t="str">
        <f ca="1">IF($AU170="","",DATA!EF119)</f>
        <v/>
      </c>
      <c r="BV170" s="113" t="str">
        <f t="shared" ca="1" si="24"/>
        <v/>
      </c>
      <c r="BW170" s="680" t="str">
        <f ca="1">IF(AU170="","",OFFSET(DATA!DC119,0,'Intermediate Data'!$AX$48))</f>
        <v/>
      </c>
      <c r="BX170" s="681" t="str">
        <f ca="1">IF($AU170="","",DATA!DG119)</f>
        <v/>
      </c>
      <c r="BY170" s="680" t="str">
        <f ca="1">IF($AU170="","",OFFSET(DATA!DE119,0,'Intermediate Data'!$AX$48))</f>
        <v/>
      </c>
      <c r="BZ170" s="681" t="str">
        <f ca="1">IF($AU170="","",DATA!DH119)</f>
        <v/>
      </c>
      <c r="CA170" s="90" t="str">
        <f t="shared" ca="1" si="25"/>
        <v/>
      </c>
      <c r="CB170" s="99" t="str">
        <f t="shared" ca="1" si="26"/>
        <v/>
      </c>
      <c r="CC170" s="90" t="str">
        <f t="shared" ca="1" si="27"/>
        <v/>
      </c>
      <c r="CD170" s="90" t="str">
        <f t="shared" ca="1" si="28"/>
        <v/>
      </c>
      <c r="CF170" s="90" t="str">
        <f ca="1">IF($CD170="","",IF(OFFSET(AV$55,'Intermediate Data'!$CD170,0)=-98,"Unknown",IF(OFFSET(AV$55,'Intermediate Data'!$CD170,0)=-99,"N/A",OFFSET(AV$55,'Intermediate Data'!$CD170,0))))</f>
        <v/>
      </c>
      <c r="CG170" s="90" t="str">
        <f ca="1">IF($CD170="","",IF(OFFSET(AW$55,'Intermediate Data'!$CD170,0)=-98,"",IF(OFFSET(AW$55,'Intermediate Data'!$CD170,0)=-99,"N/A",OFFSET(AW$55,'Intermediate Data'!$CD170,0))))</f>
        <v/>
      </c>
      <c r="CH170" s="90" t="str">
        <f ca="1">IF($CD170="","",IF(OFFSET(AX$55,'Intermediate Data'!$CD170,0)=-98,"Unknown",IF(OFFSET(AX$55,'Intermediate Data'!$CD170,0)=-99,"N/A",OFFSET(AX$55,'Intermediate Data'!$CD170,0))))</f>
        <v/>
      </c>
      <c r="CI170" s="125" t="str">
        <f ca="1">IF($CD170="","",IF(OFFSET(AY$55,'Intermediate Data'!$CD170,0)=-98,"Unknown",IF(OFFSET(AY$55,'Intermediate Data'!$CD170,0)=-99,"No spec",OFFSET(AY$55,'Intermediate Data'!$CD170,0))))</f>
        <v/>
      </c>
      <c r="CJ170" s="125" t="str">
        <f ca="1">IF($CD170="","",IF(OFFSET(AZ$55,'Intermediate Data'!$CD170,0)=-98,"Unknown",IF(OFFSET(AZ$55,'Intermediate Data'!$CD170,0)=-99,"N/A",OFFSET(AZ$55,'Intermediate Data'!$CD170,0))))</f>
        <v/>
      </c>
      <c r="CK170" s="90" t="str">
        <f ca="1">IF($CD170="","",IF(OFFSET(BA$55,'Intermediate Data'!$CD170,0)=-98,"Unknown",IF(OFFSET(BA$55,'Intermediate Data'!$CD170,0)=-99,"N/A",OFFSET(BA$55,'Intermediate Data'!$CD170,0))))</f>
        <v/>
      </c>
      <c r="CL170" s="90" t="str">
        <f ca="1">IF($CD170="","",IF(OFFSET(BB$55,'Intermediate Data'!$CD170,$AX$50)=-98,"Unknown",IF(OFFSET(BB$55,'Intermediate Data'!$CD170,$AX$50)="N/A","",OFFSET(BB$55,'Intermediate Data'!$CD170,$AX$50))))</f>
        <v/>
      </c>
      <c r="CM170" s="90" t="str">
        <f ca="1">IF($CD170="","",IF(OFFSET(BG$55,'Intermediate Data'!$CD170,0)="ET","ET",""))</f>
        <v/>
      </c>
      <c r="CN170" s="90" t="str">
        <f ca="1">IF($CD170="","",IF(OFFSET(BH$55,'Intermediate Data'!$CD170,$AX$50)=-98,"Unknown",IF(OFFSET(BH$55,'Intermediate Data'!$CD170,$AX$50)="N/A","",OFFSET(BH$55,'Intermediate Data'!$CD170,$AX$50))))</f>
        <v/>
      </c>
      <c r="CO170" s="90" t="str">
        <f ca="1">IF($CD170="","",IF(OFFSET(BM$55,'Intermediate Data'!$CD170,0)=-98,"Not published",IF(OFFSET(BM$55,'Intermediate Data'!$CD170,0)=-99,"No spec",OFFSET(BM$55,'Intermediate Data'!$CD170,0))))</f>
        <v/>
      </c>
      <c r="CP170" s="114" t="str">
        <f ca="1">IF($CD170="","",IF(OFFSET(BN$55,'Intermediate Data'!$CD170,0)=-98,"Unknown",IF(OFFSET(BN$55,'Intermediate Data'!$CD170,0)=-99,"N/A",OFFSET(BN$55,'Intermediate Data'!$CD170,0))))</f>
        <v/>
      </c>
      <c r="CQ170" s="114" t="str">
        <f ca="1">IF($CD170="","",IF(OFFSET(BO$55,'Intermediate Data'!$CD170,0)=-98,"Unknown",IF(OFFSET(BO$55,'Intermediate Data'!$CD170,0)=-99,"N/A",OFFSET(BO$55,'Intermediate Data'!$CD170,0))))</f>
        <v/>
      </c>
      <c r="CR170" s="114" t="str">
        <f ca="1">IF($CD170="","",IF(OFFSET(BP$55,'Intermediate Data'!$CD170,0)=-98,"Unknown",IF(OFFSET(BP$55,'Intermediate Data'!$CD170,0)=-99,"N/A",OFFSET(BP$55,'Intermediate Data'!$CD170,0))))</f>
        <v/>
      </c>
      <c r="CS170" s="114" t="str">
        <f ca="1">IF($CD170="","",IF(OFFSET(BQ$55,'Intermediate Data'!$CD170,0)=-98,"Unknown",IF(OFFSET(BQ$55,'Intermediate Data'!$CD170,0)=-99,"N/A",OFFSET(BQ$55,'Intermediate Data'!$CD170,0))))</f>
        <v/>
      </c>
      <c r="CT170" s="114" t="str">
        <f ca="1">IF($CD170="","",IF(OFFSET(BR$55,'Intermediate Data'!$CD170,0)=-98,"Unknown",IF(OFFSET(BR$55,'Intermediate Data'!$CD170,0)=-99,"N/A",OFFSET(BR$55,'Intermediate Data'!$CD170,0))))</f>
        <v/>
      </c>
      <c r="CU170" s="114" t="str">
        <f ca="1">IF($CD170="","",IF(OFFSET(BS$55,'Intermediate Data'!$CD170,0)=-98,"Unknown",IF(OFFSET(BS$55,'Intermediate Data'!$CD170,0)=-99,"N/A",OFFSET(BS$55,'Intermediate Data'!$CD170,0))))</f>
        <v/>
      </c>
      <c r="CV170" s="114" t="str">
        <f ca="1">IF($CD170="","",IF(OFFSET(BT$55,'Intermediate Data'!$CD170,0)=-98,"Unknown",IF(OFFSET(BT$55,'Intermediate Data'!$CD170,0)=-99,"N/A",OFFSET(BT$55,'Intermediate Data'!$CD170,0))))</f>
        <v/>
      </c>
      <c r="CW170" s="114" t="str">
        <f ca="1">IF($CD170="","",IF(OFFSET(BU$55,'Intermediate Data'!$CD170,0)=-98,"Unknown",IF(OFFSET(BU$55,'Intermediate Data'!$CD170,0)=-99,"N/A",OFFSET(BU$55,'Intermediate Data'!$CD170,0))))</f>
        <v/>
      </c>
      <c r="CX170" s="114" t="str">
        <f ca="1">IF($CD170="","",IF(OFFSET(BV$55,'Intermediate Data'!$CD170,0)=-98,"Unknown",IF(OFFSET(BV$55,'Intermediate Data'!$CD170,0)=-99,"N/A",OFFSET(BV$55,'Intermediate Data'!$CD170,0))))</f>
        <v/>
      </c>
      <c r="CY170" s="682" t="str">
        <f ca="1">IF($CD170="","",IF(OFFSET(BW$55,'Intermediate Data'!$CD170,0)=-98,"Unknown",IF(OFFSET(BW$55,'Intermediate Data'!$CD170,0)="N/A","",OFFSET(BW$55,'Intermediate Data'!$CD170,0))))</f>
        <v/>
      </c>
      <c r="CZ170" s="682" t="str">
        <f ca="1">IF($CD170="","",IF(OFFSET(BX$55,'Intermediate Data'!$CD170,0)=-98,"Unknown",IF(OFFSET(BX$55,'Intermediate Data'!$CD170,0)="N/A","",OFFSET(BX$55,'Intermediate Data'!$CD170,0))))</f>
        <v/>
      </c>
      <c r="DA170" s="682" t="str">
        <f ca="1">IF($CD170="","",IF(OFFSET(BY$55,'Intermediate Data'!$CD170,0)=-98,"Unknown",IF(OFFSET(BY$55,'Intermediate Data'!$CD170,0)="N/A","",OFFSET(BY$55,'Intermediate Data'!$CD170,0))))</f>
        <v/>
      </c>
      <c r="DB170" s="682" t="str">
        <f ca="1">IF($CD170="","",IF(OFFSET(BZ$55,'Intermediate Data'!$CD170,0)=-98,"Unknown",IF(OFFSET(BZ$55,'Intermediate Data'!$CD170,0)="N/A","",OFFSET(BZ$55,'Intermediate Data'!$CD170,0))))</f>
        <v/>
      </c>
    </row>
    <row r="171" spans="1:106" x14ac:dyDescent="0.2">
      <c r="A171" s="90">
        <f ca="1">IF(OFFSET(DATA!F120,0,$D$48)='Intermediate Data'!$E$48,IF(OR($E$49=$C$27,$E$48=$B$4),DATA!A120,IF($G$49=DATA!D120,DATA!A120,"")),"")</f>
        <v>116</v>
      </c>
      <c r="B171" s="90">
        <f ca="1">IF($A171="","",DATA!EH120)</f>
        <v>18</v>
      </c>
      <c r="C171" s="90" t="str">
        <f ca="1">IF($A171="","",DATA!B120)</f>
        <v>Tooth brush</v>
      </c>
      <c r="D171" s="90">
        <f ca="1">IF($A171="","",OFFSET(DATA!$H120,0,($D$50*5)))</f>
        <v>-99</v>
      </c>
      <c r="E171" s="90">
        <f ca="1">IF($A171="","",OFFSET(DATA!$H120,0,($D$50*5)+1))</f>
        <v>-99</v>
      </c>
      <c r="F171" s="90">
        <f ca="1">IF($A171="","",OFFSET(DATA!$H120,0,($D$50*5)+2))</f>
        <v>-99</v>
      </c>
      <c r="G171" s="90">
        <f ca="1">IF($A171="","",OFFSET(DATA!$H120,0,($D$50*5)+3))</f>
        <v>-99</v>
      </c>
      <c r="H171" s="90">
        <f ca="1">IF($A171="","",OFFSET(DATA!$H120,0,($D$50*5)+4))</f>
        <v>-99</v>
      </c>
      <c r="I171" s="90">
        <f t="shared" ca="1" si="17"/>
        <v>-99</v>
      </c>
      <c r="J171" s="90" t="str">
        <f t="shared" ca="1" si="18"/>
        <v/>
      </c>
      <c r="K171" s="90">
        <f ca="1">IF($A171="","",OFFSET(DATA!$AG120,0,($D$50*5)))</f>
        <v>-99</v>
      </c>
      <c r="L171" s="90">
        <f ca="1">IF($A171="","",OFFSET(DATA!$AG120,0,($D$50*5)+1))</f>
        <v>-99</v>
      </c>
      <c r="M171" s="90">
        <f ca="1">IF($A171="","",OFFSET(DATA!$AG120,0,($D$50*5)+2))</f>
        <v>-99</v>
      </c>
      <c r="N171" s="90">
        <f ca="1">IF($A171="","",OFFSET(DATA!$AG120,0,($D$50*5)+3))</f>
        <v>-99</v>
      </c>
      <c r="O171" s="90">
        <f ca="1">IF($A171="","",OFFSET(DATA!$AG120,0,($D$50*5)+4))</f>
        <v>-99</v>
      </c>
      <c r="P171" s="90">
        <f t="shared" ca="1" si="19"/>
        <v>-99</v>
      </c>
      <c r="Q171" s="90" t="str">
        <f t="shared" ca="1" si="20"/>
        <v/>
      </c>
      <c r="R171" s="699">
        <f ca="1">IF($A171="","",IF(DATA!BF120="",-99,DATA!BF120))</f>
        <v>-99</v>
      </c>
      <c r="S171" s="90">
        <f ca="1">IF($A171="","",IF(DATA!BG120="",-99,DATA!BF120-DATA!BG120))</f>
        <v>-99</v>
      </c>
      <c r="T171" s="90">
        <f ca="1">IF($A171="","",DATA!BH120)</f>
        <v>-99</v>
      </c>
      <c r="U171" s="90">
        <f ca="1">IF($A171="","",OFFSET(DATA!BM120,0,$D$48))</f>
        <v>-99</v>
      </c>
      <c r="V171" s="90">
        <f t="shared" ca="1" si="29"/>
        <v>18</v>
      </c>
      <c r="W171" s="99">
        <f t="shared" ca="1" si="21"/>
        <v>17.99988120171</v>
      </c>
      <c r="X171" s="112">
        <f t="shared" ca="1" si="22"/>
        <v>12.999881200820001</v>
      </c>
      <c r="Y171" s="90">
        <f t="shared" ca="1" si="23"/>
        <v>27</v>
      </c>
      <c r="AA171" s="90" t="str">
        <f ca="1">IF($Y171="","",IF(OFFSET(C$55,'Intermediate Data'!$Y171,0)=-98,"Unknown",IF(OFFSET(C$55,'Intermediate Data'!$Y171,0)=-99,"N/A",OFFSET(C$55,'Intermediate Data'!$Y171,0))))</f>
        <v>Vacuum cleaner - Portable</v>
      </c>
      <c r="AB171" s="90" t="str">
        <f ca="1">IF($Y171="","",IF(OFFSET(D$55,'Intermediate Data'!$Y171,0)=-98,"N/A",IF(OFFSET(D$55,'Intermediate Data'!$Y171,0)=-99,"N/A",OFFSET(D$55,'Intermediate Data'!$Y171,0))))</f>
        <v>N/A</v>
      </c>
      <c r="AC171" s="90" t="str">
        <f ca="1">IF($Y171="","",IF(OFFSET(E$55,'Intermediate Data'!$Y171,0)=-98,"N/A",IF(OFFSET(E$55,'Intermediate Data'!$Y171,0)=-99,"N/A",OFFSET(E$55,'Intermediate Data'!$Y171,0))))</f>
        <v>N/A</v>
      </c>
      <c r="AD171" s="90" t="str">
        <f ca="1">IF($Y171="","",IF(OFFSET(F$55,'Intermediate Data'!$Y171,0)=-98,"N/A",IF(OFFSET(F$55,'Intermediate Data'!$Y171,0)=-99,"N/A",OFFSET(F$55,'Intermediate Data'!$Y171,0))))</f>
        <v>N/A</v>
      </c>
      <c r="AE171" s="90" t="str">
        <f ca="1">IF($Y171="","",IF(OFFSET(G$55,'Intermediate Data'!$Y171,0)=-98,"N/A",IF(OFFSET(G$55,'Intermediate Data'!$Y171,0)=-99,"N/A",OFFSET(G$55,'Intermediate Data'!$Y171,0))))</f>
        <v>N/A</v>
      </c>
      <c r="AF171" s="90" t="str">
        <f ca="1">IF($Y171="","",IF(OFFSET(H$55,'Intermediate Data'!$Y171,0)=-98,"N/A",IF(OFFSET(H$55,'Intermediate Data'!$Y171,0)=-99,"N/A",OFFSET(H$55,'Intermediate Data'!$Y171,0))))</f>
        <v>N/A</v>
      </c>
      <c r="AG171" s="90" t="str">
        <f ca="1">IF($Y171="","",IF(OFFSET(I$55,'Intermediate Data'!$Y171,0)=-98,"N/A",IF(OFFSET(I$55,'Intermediate Data'!$Y171,0)=-99,"N/A",OFFSET(I$55,'Intermediate Data'!$Y171,0))))</f>
        <v>N/A</v>
      </c>
      <c r="AH171" s="90" t="str">
        <f ca="1">IF($Y171="","",IF(OFFSET(J$55,'Intermediate Data'!$Y171,0)=-98,"N/A",IF(OFFSET(J$55,'Intermediate Data'!$Y171,0)=-99,"N/A",OFFSET(J$55,'Intermediate Data'!$Y171,0))))</f>
        <v/>
      </c>
      <c r="AI171" s="90" t="str">
        <f ca="1">IF($Y171="","",IF(OFFSET(K$55,'Intermediate Data'!$Y171,0)=-98,"N/A",IF(OFFSET(K$55,'Intermediate Data'!$Y171,0)=-99,"N/A",OFFSET(K$55,'Intermediate Data'!$Y171,0))))</f>
        <v>N/A</v>
      </c>
      <c r="AJ171" s="90" t="str">
        <f ca="1">IF($Y171="","",IF(OFFSET(L$55,'Intermediate Data'!$Y171,0)=-98,"N/A",IF(OFFSET(L$55,'Intermediate Data'!$Y171,0)=-99,"N/A",OFFSET(L$55,'Intermediate Data'!$Y171,0))))</f>
        <v>N/A</v>
      </c>
      <c r="AK171" s="90" t="str">
        <f ca="1">IF($Y171="","",IF(OFFSET(M$55,'Intermediate Data'!$Y171,0)=-98,"N/A",IF(OFFSET(M$55,'Intermediate Data'!$Y171,0)=-99,"N/A",OFFSET(M$55,'Intermediate Data'!$Y171,0))))</f>
        <v>N/A</v>
      </c>
      <c r="AL171" s="90" t="str">
        <f ca="1">IF($Y171="","",IF(OFFSET(N$55,'Intermediate Data'!$Y171,0)=-98,"N/A",IF(OFFSET(N$55,'Intermediate Data'!$Y171,0)=-99,"N/A",OFFSET(N$55,'Intermediate Data'!$Y171,0))))</f>
        <v>N/A</v>
      </c>
      <c r="AM171" s="90" t="str">
        <f ca="1">IF($Y171="","",IF(OFFSET(O$55,'Intermediate Data'!$Y171,0)=-98,"N/A",IF(OFFSET(O$55,'Intermediate Data'!$Y171,0)=-99,"N/A",OFFSET(O$55,'Intermediate Data'!$Y171,0))))</f>
        <v>N/A</v>
      </c>
      <c r="AN171" s="90" t="str">
        <f ca="1">IF($Y171="","",IF(OFFSET(P$55,'Intermediate Data'!$Y171,0)=-98,"N/A",IF(OFFSET(P$55,'Intermediate Data'!$Y171,0)=-99,"N/A",OFFSET(P$55,'Intermediate Data'!$Y171,0))))</f>
        <v>N/A</v>
      </c>
      <c r="AO171" s="90" t="str">
        <f ca="1">IF($Y171="","",IF(OFFSET(Q$55,'Intermediate Data'!$Y171,0)=-98,"N/A",IF(OFFSET(Q$55,'Intermediate Data'!$Y171,0)=-99,"N/A",OFFSET(Q$55,'Intermediate Data'!$Y171,0))))</f>
        <v/>
      </c>
      <c r="AP171" s="697" t="str">
        <f ca="1">IF($Y171="","",IF(OFFSET(S$55,'Intermediate Data'!$Y171,0)=-98,"",IF(OFFSET(S$55,'Intermediate Data'!$Y171,0)=-99,"",OFFSET(S$55,'Intermediate Data'!$Y171,0))))</f>
        <v/>
      </c>
      <c r="AQ171" s="90" t="str">
        <f ca="1">IF($Y171="","",IF(OFFSET(T$55,'Intermediate Data'!$Y171,0)=-98,"Not published",IF(OFFSET(T$55,'Intermediate Data'!$Y171,0)=-99,"",OFFSET(T$55,'Intermediate Data'!$Y171,0))))</f>
        <v/>
      </c>
      <c r="AR171" s="90" t="str">
        <f ca="1">IF($Y171="","",IF(OFFSET(U$55,'Intermediate Data'!$Y171,0)=-98,"Unknown",IF(OFFSET(U$55,'Intermediate Data'!$Y171,0)=-99,"",OFFSET(U$55,'Intermediate Data'!$Y171,0))))</f>
        <v/>
      </c>
      <c r="AU171" s="112" t="str">
        <f ca="1">IF(AND(OFFSET(DATA!$F120,0,$AX$48)='Intermediate Data'!$AY$48,DATA!$E120="Tier 1"),IF(OR($AX$49=0,$AX$48=1),DATA!A120,IF(AND($AX$49=1,INDEX('Intermediate Data'!$AY$25:$AY$44,MATCH(DATA!$B120,'Intermediate Data'!$AX$25:$AX$44,0))=TRUE),DATA!A120,"")),"")</f>
        <v/>
      </c>
      <c r="AV171" s="112" t="str">
        <f ca="1">IF($AU171="","",DATA!B120)</f>
        <v/>
      </c>
      <c r="AW171" s="112" t="str">
        <f ca="1">IF(OR($AU171="",DATA!BI120=""),"",DATA!BI120)</f>
        <v/>
      </c>
      <c r="AX171" s="112" t="str">
        <f ca="1">IF(OR($AU171="",OFFSET(DATA!BK120,0,$AX$48)=""),"",OFFSET(DATA!BK120,0,$AX$48))</f>
        <v/>
      </c>
      <c r="AY171" s="112" t="str">
        <f ca="1">IF(OR($AU171="",OFFSET(DATA!BM120,0,$AX$48)=""),"",OFFSET(DATA!BM120,0,$AX$48))</f>
        <v/>
      </c>
      <c r="AZ171" s="112" t="str">
        <f ca="1">IF(OR($AU171="",OFFSET(DATA!BO120,0,'Intermediate Data'!$AX$48)=""),"",OFFSET(DATA!BO120,0,$AX$48))</f>
        <v/>
      </c>
      <c r="BA171" s="112" t="str">
        <f ca="1">IF(OR($AU171="",DATA!BQ120=""),"",DATA!BQ120)</f>
        <v/>
      </c>
      <c r="BB171" s="112" t="str">
        <f ca="1">IF($AU171="","",OFFSET(DATA!BS120,0,$AX$48))</f>
        <v/>
      </c>
      <c r="BC171" s="112" t="str">
        <f ca="1">IF($AU171="","",OFFSET(DATA!BU120,0,$AX$48))</f>
        <v/>
      </c>
      <c r="BD171" s="112" t="str">
        <f ca="1">IF($AU171="","",OFFSET(DATA!BW120,0,$AX$48))</f>
        <v/>
      </c>
      <c r="BE171" s="112" t="str">
        <f ca="1">IF($AU171="","",OFFSET(DATA!BY120,0,$AX$48))</f>
        <v/>
      </c>
      <c r="BF171" s="112" t="str">
        <f ca="1">IF($AU171="","",OFFSET(DATA!CA120,0,$AX$48))</f>
        <v/>
      </c>
      <c r="BG171" s="112" t="str">
        <f ca="1">IF($AU171="","",DATA!CC120)</f>
        <v/>
      </c>
      <c r="BH171" s="112" t="str">
        <f ca="1">IF($AU171="","",OFFSET(DATA!CE120,0,$AX$48))</f>
        <v/>
      </c>
      <c r="BI171" s="112" t="str">
        <f ca="1">IF($AU171="","",OFFSET(DATA!CG120,0,$AX$48))</f>
        <v/>
      </c>
      <c r="BJ171" s="112" t="str">
        <f ca="1">IF($AU171="","",OFFSET(DATA!CI120,0,$AX$48))</f>
        <v/>
      </c>
      <c r="BK171" s="112" t="str">
        <f ca="1">IF($AU171="","",OFFSET(DATA!CK120,0,$AX$48))</f>
        <v/>
      </c>
      <c r="BL171" s="112" t="str">
        <f ca="1">IF($AU171="","",OFFSET(DATA!CM120,0,$AX$48))</f>
        <v/>
      </c>
      <c r="BM171" s="112" t="str">
        <f ca="1">IF($AU171="","",DATA!BH120)</f>
        <v/>
      </c>
      <c r="BN171" s="112" t="str">
        <f ca="1">IF($AU171="","",DATA!DS120)</f>
        <v/>
      </c>
      <c r="BO171" s="112" t="str">
        <f ca="1">IF($AU171="","",DATA!DU120)</f>
        <v/>
      </c>
      <c r="BP171" s="112" t="str">
        <f ca="1">IF($AU171="","",DATA!DV120)</f>
        <v/>
      </c>
      <c r="BQ171" s="112" t="str">
        <f ca="1">IF($AU171="","",DATA!DX120)</f>
        <v/>
      </c>
      <c r="BR171" s="112" t="str">
        <f ca="1">IF($AU171="","",DATA!DZ120)</f>
        <v/>
      </c>
      <c r="BS171" s="171" t="str">
        <f ca="1">IF($AU171="","",DATA!EA120)</f>
        <v/>
      </c>
      <c r="BT171" s="171" t="str">
        <f ca="1">IF($AU171="","",DATA!EC120)</f>
        <v/>
      </c>
      <c r="BU171" s="171" t="str">
        <f ca="1">IF($AU171="","",DATA!EF120)</f>
        <v/>
      </c>
      <c r="BV171" s="113" t="str">
        <f t="shared" ca="1" si="24"/>
        <v/>
      </c>
      <c r="BW171" s="680" t="str">
        <f ca="1">IF(AU171="","",OFFSET(DATA!DC120,0,'Intermediate Data'!$AX$48))</f>
        <v/>
      </c>
      <c r="BX171" s="681" t="str">
        <f ca="1">IF($AU171="","",DATA!DG120)</f>
        <v/>
      </c>
      <c r="BY171" s="680" t="str">
        <f ca="1">IF($AU171="","",OFFSET(DATA!DE120,0,'Intermediate Data'!$AX$48))</f>
        <v/>
      </c>
      <c r="BZ171" s="681" t="str">
        <f ca="1">IF($AU171="","",DATA!DH120)</f>
        <v/>
      </c>
      <c r="CA171" s="90" t="str">
        <f t="shared" ca="1" si="25"/>
        <v/>
      </c>
      <c r="CB171" s="99" t="str">
        <f t="shared" ca="1" si="26"/>
        <v/>
      </c>
      <c r="CC171" s="90" t="str">
        <f t="shared" ca="1" si="27"/>
        <v/>
      </c>
      <c r="CD171" s="90" t="str">
        <f t="shared" ca="1" si="28"/>
        <v/>
      </c>
      <c r="CF171" s="90" t="str">
        <f ca="1">IF($CD171="","",IF(OFFSET(AV$55,'Intermediate Data'!$CD171,0)=-98,"Unknown",IF(OFFSET(AV$55,'Intermediate Data'!$CD171,0)=-99,"N/A",OFFSET(AV$55,'Intermediate Data'!$CD171,0))))</f>
        <v/>
      </c>
      <c r="CG171" s="90" t="str">
        <f ca="1">IF($CD171="","",IF(OFFSET(AW$55,'Intermediate Data'!$CD171,0)=-98,"",IF(OFFSET(AW$55,'Intermediate Data'!$CD171,0)=-99,"N/A",OFFSET(AW$55,'Intermediate Data'!$CD171,0))))</f>
        <v/>
      </c>
      <c r="CH171" s="90" t="str">
        <f ca="1">IF($CD171="","",IF(OFFSET(AX$55,'Intermediate Data'!$CD171,0)=-98,"Unknown",IF(OFFSET(AX$55,'Intermediate Data'!$CD171,0)=-99,"N/A",OFFSET(AX$55,'Intermediate Data'!$CD171,0))))</f>
        <v/>
      </c>
      <c r="CI171" s="125" t="str">
        <f ca="1">IF($CD171="","",IF(OFFSET(AY$55,'Intermediate Data'!$CD171,0)=-98,"Unknown",IF(OFFSET(AY$55,'Intermediate Data'!$CD171,0)=-99,"No spec",OFFSET(AY$55,'Intermediate Data'!$CD171,0))))</f>
        <v/>
      </c>
      <c r="CJ171" s="125" t="str">
        <f ca="1">IF($CD171="","",IF(OFFSET(AZ$55,'Intermediate Data'!$CD171,0)=-98,"Unknown",IF(OFFSET(AZ$55,'Intermediate Data'!$CD171,0)=-99,"N/A",OFFSET(AZ$55,'Intermediate Data'!$CD171,0))))</f>
        <v/>
      </c>
      <c r="CK171" s="90" t="str">
        <f ca="1">IF($CD171="","",IF(OFFSET(BA$55,'Intermediate Data'!$CD171,0)=-98,"Unknown",IF(OFFSET(BA$55,'Intermediate Data'!$CD171,0)=-99,"N/A",OFFSET(BA$55,'Intermediate Data'!$CD171,0))))</f>
        <v/>
      </c>
      <c r="CL171" s="90" t="str">
        <f ca="1">IF($CD171="","",IF(OFFSET(BB$55,'Intermediate Data'!$CD171,$AX$50)=-98,"Unknown",IF(OFFSET(BB$55,'Intermediate Data'!$CD171,$AX$50)="N/A","",OFFSET(BB$55,'Intermediate Data'!$CD171,$AX$50))))</f>
        <v/>
      </c>
      <c r="CM171" s="90" t="str">
        <f ca="1">IF($CD171="","",IF(OFFSET(BG$55,'Intermediate Data'!$CD171,0)="ET","ET",""))</f>
        <v/>
      </c>
      <c r="CN171" s="90" t="str">
        <f ca="1">IF($CD171="","",IF(OFFSET(BH$55,'Intermediate Data'!$CD171,$AX$50)=-98,"Unknown",IF(OFFSET(BH$55,'Intermediate Data'!$CD171,$AX$50)="N/A","",OFFSET(BH$55,'Intermediate Data'!$CD171,$AX$50))))</f>
        <v/>
      </c>
      <c r="CO171" s="90" t="str">
        <f ca="1">IF($CD171="","",IF(OFFSET(BM$55,'Intermediate Data'!$CD171,0)=-98,"Not published",IF(OFFSET(BM$55,'Intermediate Data'!$CD171,0)=-99,"No spec",OFFSET(BM$55,'Intermediate Data'!$CD171,0))))</f>
        <v/>
      </c>
      <c r="CP171" s="114" t="str">
        <f ca="1">IF($CD171="","",IF(OFFSET(BN$55,'Intermediate Data'!$CD171,0)=-98,"Unknown",IF(OFFSET(BN$55,'Intermediate Data'!$CD171,0)=-99,"N/A",OFFSET(BN$55,'Intermediate Data'!$CD171,0))))</f>
        <v/>
      </c>
      <c r="CQ171" s="114" t="str">
        <f ca="1">IF($CD171="","",IF(OFFSET(BO$55,'Intermediate Data'!$CD171,0)=-98,"Unknown",IF(OFFSET(BO$55,'Intermediate Data'!$CD171,0)=-99,"N/A",OFFSET(BO$55,'Intermediate Data'!$CD171,0))))</f>
        <v/>
      </c>
      <c r="CR171" s="114" t="str">
        <f ca="1">IF($CD171="","",IF(OFFSET(BP$55,'Intermediate Data'!$CD171,0)=-98,"Unknown",IF(OFFSET(BP$55,'Intermediate Data'!$CD171,0)=-99,"N/A",OFFSET(BP$55,'Intermediate Data'!$CD171,0))))</f>
        <v/>
      </c>
      <c r="CS171" s="114" t="str">
        <f ca="1">IF($CD171="","",IF(OFFSET(BQ$55,'Intermediate Data'!$CD171,0)=-98,"Unknown",IF(OFFSET(BQ$55,'Intermediate Data'!$CD171,0)=-99,"N/A",OFFSET(BQ$55,'Intermediate Data'!$CD171,0))))</f>
        <v/>
      </c>
      <c r="CT171" s="114" t="str">
        <f ca="1">IF($CD171="","",IF(OFFSET(BR$55,'Intermediate Data'!$CD171,0)=-98,"Unknown",IF(OFFSET(BR$55,'Intermediate Data'!$CD171,0)=-99,"N/A",OFFSET(BR$55,'Intermediate Data'!$CD171,0))))</f>
        <v/>
      </c>
      <c r="CU171" s="114" t="str">
        <f ca="1">IF($CD171="","",IF(OFFSET(BS$55,'Intermediate Data'!$CD171,0)=-98,"Unknown",IF(OFFSET(BS$55,'Intermediate Data'!$CD171,0)=-99,"N/A",OFFSET(BS$55,'Intermediate Data'!$CD171,0))))</f>
        <v/>
      </c>
      <c r="CV171" s="114" t="str">
        <f ca="1">IF($CD171="","",IF(OFFSET(BT$55,'Intermediate Data'!$CD171,0)=-98,"Unknown",IF(OFFSET(BT$55,'Intermediate Data'!$CD171,0)=-99,"N/A",OFFSET(BT$55,'Intermediate Data'!$CD171,0))))</f>
        <v/>
      </c>
      <c r="CW171" s="114" t="str">
        <f ca="1">IF($CD171="","",IF(OFFSET(BU$55,'Intermediate Data'!$CD171,0)=-98,"Unknown",IF(OFFSET(BU$55,'Intermediate Data'!$CD171,0)=-99,"N/A",OFFSET(BU$55,'Intermediate Data'!$CD171,0))))</f>
        <v/>
      </c>
      <c r="CX171" s="114" t="str">
        <f ca="1">IF($CD171="","",IF(OFFSET(BV$55,'Intermediate Data'!$CD171,0)=-98,"Unknown",IF(OFFSET(BV$55,'Intermediate Data'!$CD171,0)=-99,"N/A",OFFSET(BV$55,'Intermediate Data'!$CD171,0))))</f>
        <v/>
      </c>
      <c r="CY171" s="682" t="str">
        <f ca="1">IF($CD171="","",IF(OFFSET(BW$55,'Intermediate Data'!$CD171,0)=-98,"Unknown",IF(OFFSET(BW$55,'Intermediate Data'!$CD171,0)="N/A","",OFFSET(BW$55,'Intermediate Data'!$CD171,0))))</f>
        <v/>
      </c>
      <c r="CZ171" s="682" t="str">
        <f ca="1">IF($CD171="","",IF(OFFSET(BX$55,'Intermediate Data'!$CD171,0)=-98,"Unknown",IF(OFFSET(BX$55,'Intermediate Data'!$CD171,0)="N/A","",OFFSET(BX$55,'Intermediate Data'!$CD171,0))))</f>
        <v/>
      </c>
      <c r="DA171" s="682" t="str">
        <f ca="1">IF($CD171="","",IF(OFFSET(BY$55,'Intermediate Data'!$CD171,0)=-98,"Unknown",IF(OFFSET(BY$55,'Intermediate Data'!$CD171,0)="N/A","",OFFSET(BY$55,'Intermediate Data'!$CD171,0))))</f>
        <v/>
      </c>
      <c r="DB171" s="682" t="str">
        <f ca="1">IF($CD171="","",IF(OFFSET(BZ$55,'Intermediate Data'!$CD171,0)=-98,"Unknown",IF(OFFSET(BZ$55,'Intermediate Data'!$CD171,0)="N/A","",OFFSET(BZ$55,'Intermediate Data'!$CD171,0))))</f>
        <v/>
      </c>
    </row>
    <row r="172" spans="1:106" x14ac:dyDescent="0.2">
      <c r="A172" s="90">
        <f ca="1">IF(OFFSET(DATA!F121,0,$D$48)='Intermediate Data'!$E$48,IF(OR($E$49=$C$27,$E$48=$B$4),DATA!A121,IF($G$49=DATA!D121,DATA!A121,"")),"")</f>
        <v>117</v>
      </c>
      <c r="B172" s="90">
        <f ca="1">IF($A172="","",DATA!EH121)</f>
        <v>17</v>
      </c>
      <c r="C172" s="90" t="str">
        <f ca="1">IF($A172="","",DATA!B121)</f>
        <v>Towel warmer</v>
      </c>
      <c r="D172" s="90">
        <f ca="1">IF($A172="","",OFFSET(DATA!$H121,0,($D$50*5)))</f>
        <v>-99</v>
      </c>
      <c r="E172" s="90">
        <f ca="1">IF($A172="","",OFFSET(DATA!$H121,0,($D$50*5)+1))</f>
        <v>-99</v>
      </c>
      <c r="F172" s="90">
        <f ca="1">IF($A172="","",OFFSET(DATA!$H121,0,($D$50*5)+2))</f>
        <v>-99</v>
      </c>
      <c r="G172" s="90">
        <f ca="1">IF($A172="","",OFFSET(DATA!$H121,0,($D$50*5)+3))</f>
        <v>-99</v>
      </c>
      <c r="H172" s="90">
        <f ca="1">IF($A172="","",OFFSET(DATA!$H121,0,($D$50*5)+4))</f>
        <v>-99</v>
      </c>
      <c r="I172" s="90">
        <f t="shared" ca="1" si="17"/>
        <v>-99</v>
      </c>
      <c r="J172" s="90" t="str">
        <f t="shared" ca="1" si="18"/>
        <v/>
      </c>
      <c r="K172" s="90">
        <f ca="1">IF($A172="","",OFFSET(DATA!$AG121,0,($D$50*5)))</f>
        <v>-99</v>
      </c>
      <c r="L172" s="90">
        <f ca="1">IF($A172="","",OFFSET(DATA!$AG121,0,($D$50*5)+1))</f>
        <v>-99</v>
      </c>
      <c r="M172" s="90">
        <f ca="1">IF($A172="","",OFFSET(DATA!$AG121,0,($D$50*5)+2))</f>
        <v>-99</v>
      </c>
      <c r="N172" s="90">
        <f ca="1">IF($A172="","",OFFSET(DATA!$AG121,0,($D$50*5)+3))</f>
        <v>-99</v>
      </c>
      <c r="O172" s="90">
        <f ca="1">IF($A172="","",OFFSET(DATA!$AG121,0,($D$50*5)+4))</f>
        <v>-99</v>
      </c>
      <c r="P172" s="90">
        <f t="shared" ca="1" si="19"/>
        <v>-99</v>
      </c>
      <c r="Q172" s="90" t="str">
        <f t="shared" ca="1" si="20"/>
        <v/>
      </c>
      <c r="R172" s="699">
        <f ca="1">IF($A172="","",IF(DATA!BF121="",-99,DATA!BF121))</f>
        <v>-99</v>
      </c>
      <c r="S172" s="90">
        <f ca="1">IF($A172="","",IF(DATA!BG121="",-99,DATA!BF121-DATA!BG121))</f>
        <v>-99</v>
      </c>
      <c r="T172" s="90">
        <f ca="1">IF($A172="","",DATA!BH121)</f>
        <v>-99</v>
      </c>
      <c r="U172" s="90">
        <f ca="1">IF($A172="","",OFFSET(DATA!BM121,0,$D$48))</f>
        <v>-99</v>
      </c>
      <c r="V172" s="90">
        <f t="shared" ca="1" si="29"/>
        <v>17</v>
      </c>
      <c r="W172" s="99">
        <f t="shared" ca="1" si="21"/>
        <v>16.999881201720001</v>
      </c>
      <c r="X172" s="112">
        <f t="shared" ca="1" si="22"/>
        <v>11.999906534380001</v>
      </c>
      <c r="Y172" s="90">
        <f t="shared" ca="1" si="23"/>
        <v>83</v>
      </c>
      <c r="AA172" s="90" t="str">
        <f ca="1">IF($Y172="","",IF(OFFSET(C$55,'Intermediate Data'!$Y172,0)=-98,"Unknown",IF(OFFSET(C$55,'Intermediate Data'!$Y172,0)=-99,"N/A",OFFSET(C$55,'Intermediate Data'!$Y172,0))))</f>
        <v>Ventilating fan</v>
      </c>
      <c r="AB172" s="90" t="str">
        <f ca="1">IF($Y172="","",IF(OFFSET(D$55,'Intermediate Data'!$Y172,0)=-98,"N/A",IF(OFFSET(D$55,'Intermediate Data'!$Y172,0)=-99,"N/A",OFFSET(D$55,'Intermediate Data'!$Y172,0))))</f>
        <v>N/A</v>
      </c>
      <c r="AC172" s="90" t="str">
        <f ca="1">IF($Y172="","",IF(OFFSET(E$55,'Intermediate Data'!$Y172,0)=-98,"N/A",IF(OFFSET(E$55,'Intermediate Data'!$Y172,0)=-99,"N/A",OFFSET(E$55,'Intermediate Data'!$Y172,0))))</f>
        <v>N/A</v>
      </c>
      <c r="AD172" s="90" t="str">
        <f ca="1">IF($Y172="","",IF(OFFSET(F$55,'Intermediate Data'!$Y172,0)=-98,"N/A",IF(OFFSET(F$55,'Intermediate Data'!$Y172,0)=-99,"N/A",OFFSET(F$55,'Intermediate Data'!$Y172,0))))</f>
        <v>N/A</v>
      </c>
      <c r="AE172" s="90" t="str">
        <f ca="1">IF($Y172="","",IF(OFFSET(G$55,'Intermediate Data'!$Y172,0)=-98,"N/A",IF(OFFSET(G$55,'Intermediate Data'!$Y172,0)=-99,"N/A",OFFSET(G$55,'Intermediate Data'!$Y172,0))))</f>
        <v>N/A</v>
      </c>
      <c r="AF172" s="90" t="str">
        <f ca="1">IF($Y172="","",IF(OFFSET(H$55,'Intermediate Data'!$Y172,0)=-98,"N/A",IF(OFFSET(H$55,'Intermediate Data'!$Y172,0)=-99,"N/A",OFFSET(H$55,'Intermediate Data'!$Y172,0))))</f>
        <v>N/A</v>
      </c>
      <c r="AG172" s="90" t="str">
        <f ca="1">IF($Y172="","",IF(OFFSET(I$55,'Intermediate Data'!$Y172,0)=-98,"N/A",IF(OFFSET(I$55,'Intermediate Data'!$Y172,0)=-99,"N/A",OFFSET(I$55,'Intermediate Data'!$Y172,0))))</f>
        <v>N/A</v>
      </c>
      <c r="AH172" s="90" t="str">
        <f ca="1">IF($Y172="","",IF(OFFSET(J$55,'Intermediate Data'!$Y172,0)=-98,"N/A",IF(OFFSET(J$55,'Intermediate Data'!$Y172,0)=-99,"N/A",OFFSET(J$55,'Intermediate Data'!$Y172,0))))</f>
        <v/>
      </c>
      <c r="AI172" s="90" t="str">
        <f ca="1">IF($Y172="","",IF(OFFSET(K$55,'Intermediate Data'!$Y172,0)=-98,"N/A",IF(OFFSET(K$55,'Intermediate Data'!$Y172,0)=-99,"N/A",OFFSET(K$55,'Intermediate Data'!$Y172,0))))</f>
        <v>N/A</v>
      </c>
      <c r="AJ172" s="90" t="str">
        <f ca="1">IF($Y172="","",IF(OFFSET(L$55,'Intermediate Data'!$Y172,0)=-98,"N/A",IF(OFFSET(L$55,'Intermediate Data'!$Y172,0)=-99,"N/A",OFFSET(L$55,'Intermediate Data'!$Y172,0))))</f>
        <v>N/A</v>
      </c>
      <c r="AK172" s="90" t="str">
        <f ca="1">IF($Y172="","",IF(OFFSET(M$55,'Intermediate Data'!$Y172,0)=-98,"N/A",IF(OFFSET(M$55,'Intermediate Data'!$Y172,0)=-99,"N/A",OFFSET(M$55,'Intermediate Data'!$Y172,0))))</f>
        <v>N/A</v>
      </c>
      <c r="AL172" s="90" t="str">
        <f ca="1">IF($Y172="","",IF(OFFSET(N$55,'Intermediate Data'!$Y172,0)=-98,"N/A",IF(OFFSET(N$55,'Intermediate Data'!$Y172,0)=-99,"N/A",OFFSET(N$55,'Intermediate Data'!$Y172,0))))</f>
        <v>N/A</v>
      </c>
      <c r="AM172" s="90" t="str">
        <f ca="1">IF($Y172="","",IF(OFFSET(O$55,'Intermediate Data'!$Y172,0)=-98,"N/A",IF(OFFSET(O$55,'Intermediate Data'!$Y172,0)=-99,"N/A",OFFSET(O$55,'Intermediate Data'!$Y172,0))))</f>
        <v>N/A</v>
      </c>
      <c r="AN172" s="90" t="str">
        <f ca="1">IF($Y172="","",IF(OFFSET(P$55,'Intermediate Data'!$Y172,0)=-98,"N/A",IF(OFFSET(P$55,'Intermediate Data'!$Y172,0)=-99,"N/A",OFFSET(P$55,'Intermediate Data'!$Y172,0))))</f>
        <v>N/A</v>
      </c>
      <c r="AO172" s="90" t="str">
        <f ca="1">IF($Y172="","",IF(OFFSET(Q$55,'Intermediate Data'!$Y172,0)=-98,"N/A",IF(OFFSET(Q$55,'Intermediate Data'!$Y172,0)=-99,"N/A",OFFSET(Q$55,'Intermediate Data'!$Y172,0))))</f>
        <v/>
      </c>
      <c r="AP172" s="697" t="str">
        <f ca="1">IF($Y172="","",IF(OFFSET(S$55,'Intermediate Data'!$Y172,0)=-98,"",IF(OFFSET(S$55,'Intermediate Data'!$Y172,0)=-99,"",OFFSET(S$55,'Intermediate Data'!$Y172,0))))</f>
        <v/>
      </c>
      <c r="AQ172" s="90">
        <f ca="1">IF($Y172="","",IF(OFFSET(T$55,'Intermediate Data'!$Y172,0)=-98,"Not published",IF(OFFSET(T$55,'Intermediate Data'!$Y172,0)=-99,"",OFFSET(T$55,'Intermediate Data'!$Y172,0))))</f>
        <v>0.33</v>
      </c>
      <c r="AR172" s="90">
        <f ca="1">IF($Y172="","",IF(OFFSET(U$55,'Intermediate Data'!$Y172,0)=-98,"Unknown",IF(OFFSET(U$55,'Intermediate Data'!$Y172,0)=-99,"",OFFSET(U$55,'Intermediate Data'!$Y172,0))))</f>
        <v>55</v>
      </c>
      <c r="AU172" s="112" t="str">
        <f ca="1">IF(AND(OFFSET(DATA!$F121,0,$AX$48)='Intermediate Data'!$AY$48,DATA!$E121="Tier 1"),IF(OR($AX$49=0,$AX$48=1),DATA!A121,IF(AND($AX$49=1,INDEX('Intermediate Data'!$AY$25:$AY$44,MATCH(DATA!$B121,'Intermediate Data'!$AX$25:$AX$44,0))=TRUE),DATA!A121,"")),"")</f>
        <v/>
      </c>
      <c r="AV172" s="112" t="str">
        <f ca="1">IF($AU172="","",DATA!B121)</f>
        <v/>
      </c>
      <c r="AW172" s="112" t="str">
        <f ca="1">IF(OR($AU172="",DATA!BI121=""),"",DATA!BI121)</f>
        <v/>
      </c>
      <c r="AX172" s="112" t="str">
        <f ca="1">IF(OR($AU172="",OFFSET(DATA!BK121,0,$AX$48)=""),"",OFFSET(DATA!BK121,0,$AX$48))</f>
        <v/>
      </c>
      <c r="AY172" s="112" t="str">
        <f ca="1">IF(OR($AU172="",OFFSET(DATA!BM121,0,$AX$48)=""),"",OFFSET(DATA!BM121,0,$AX$48))</f>
        <v/>
      </c>
      <c r="AZ172" s="112" t="str">
        <f ca="1">IF(OR($AU172="",OFFSET(DATA!BO121,0,'Intermediate Data'!$AX$48)=""),"",OFFSET(DATA!BO121,0,$AX$48))</f>
        <v/>
      </c>
      <c r="BA172" s="112" t="str">
        <f ca="1">IF(OR($AU172="",DATA!BQ121=""),"",DATA!BQ121)</f>
        <v/>
      </c>
      <c r="BB172" s="112" t="str">
        <f ca="1">IF($AU172="","",OFFSET(DATA!BS121,0,$AX$48))</f>
        <v/>
      </c>
      <c r="BC172" s="112" t="str">
        <f ca="1">IF($AU172="","",OFFSET(DATA!BU121,0,$AX$48))</f>
        <v/>
      </c>
      <c r="BD172" s="112" t="str">
        <f ca="1">IF($AU172="","",OFFSET(DATA!BW121,0,$AX$48))</f>
        <v/>
      </c>
      <c r="BE172" s="112" t="str">
        <f ca="1">IF($AU172="","",OFFSET(DATA!BY121,0,$AX$48))</f>
        <v/>
      </c>
      <c r="BF172" s="112" t="str">
        <f ca="1">IF($AU172="","",OFFSET(DATA!CA121,0,$AX$48))</f>
        <v/>
      </c>
      <c r="BG172" s="112" t="str">
        <f ca="1">IF($AU172="","",DATA!CC121)</f>
        <v/>
      </c>
      <c r="BH172" s="112" t="str">
        <f ca="1">IF($AU172="","",OFFSET(DATA!CE121,0,$AX$48))</f>
        <v/>
      </c>
      <c r="BI172" s="112" t="str">
        <f ca="1">IF($AU172="","",OFFSET(DATA!CG121,0,$AX$48))</f>
        <v/>
      </c>
      <c r="BJ172" s="112" t="str">
        <f ca="1">IF($AU172="","",OFFSET(DATA!CI121,0,$AX$48))</f>
        <v/>
      </c>
      <c r="BK172" s="112" t="str">
        <f ca="1">IF($AU172="","",OFFSET(DATA!CK121,0,$AX$48))</f>
        <v/>
      </c>
      <c r="BL172" s="112" t="str">
        <f ca="1">IF($AU172="","",OFFSET(DATA!CM121,0,$AX$48))</f>
        <v/>
      </c>
      <c r="BM172" s="112" t="str">
        <f ca="1">IF($AU172="","",DATA!BH121)</f>
        <v/>
      </c>
      <c r="BN172" s="112" t="str">
        <f ca="1">IF($AU172="","",DATA!DS121)</f>
        <v/>
      </c>
      <c r="BO172" s="112" t="str">
        <f ca="1">IF($AU172="","",DATA!DU121)</f>
        <v/>
      </c>
      <c r="BP172" s="112" t="str">
        <f ca="1">IF($AU172="","",DATA!DV121)</f>
        <v/>
      </c>
      <c r="BQ172" s="112" t="str">
        <f ca="1">IF($AU172="","",DATA!DX121)</f>
        <v/>
      </c>
      <c r="BR172" s="112" t="str">
        <f ca="1">IF($AU172="","",DATA!DZ121)</f>
        <v/>
      </c>
      <c r="BS172" s="171" t="str">
        <f ca="1">IF($AU172="","",DATA!EA121)</f>
        <v/>
      </c>
      <c r="BT172" s="171" t="str">
        <f ca="1">IF($AU172="","",DATA!EC121)</f>
        <v/>
      </c>
      <c r="BU172" s="171" t="str">
        <f ca="1">IF($AU172="","",DATA!EF121)</f>
        <v/>
      </c>
      <c r="BV172" s="113" t="str">
        <f t="shared" ca="1" si="24"/>
        <v/>
      </c>
      <c r="BW172" s="680" t="str">
        <f ca="1">IF(AU172="","",OFFSET(DATA!DC121,0,'Intermediate Data'!$AX$48))</f>
        <v/>
      </c>
      <c r="BX172" s="681" t="str">
        <f ca="1">IF($AU172="","",DATA!DG121)</f>
        <v/>
      </c>
      <c r="BY172" s="680" t="str">
        <f ca="1">IF($AU172="","",OFFSET(DATA!DE121,0,'Intermediate Data'!$AX$48))</f>
        <v/>
      </c>
      <c r="BZ172" s="681" t="str">
        <f ca="1">IF($AU172="","",DATA!DH121)</f>
        <v/>
      </c>
      <c r="CA172" s="90" t="str">
        <f t="shared" ca="1" si="25"/>
        <v/>
      </c>
      <c r="CB172" s="99" t="str">
        <f t="shared" ca="1" si="26"/>
        <v/>
      </c>
      <c r="CC172" s="90" t="str">
        <f t="shared" ca="1" si="27"/>
        <v/>
      </c>
      <c r="CD172" s="90" t="str">
        <f t="shared" ca="1" si="28"/>
        <v/>
      </c>
      <c r="CF172" s="90" t="str">
        <f ca="1">IF($CD172="","",IF(OFFSET(AV$55,'Intermediate Data'!$CD172,0)=-98,"Unknown",IF(OFFSET(AV$55,'Intermediate Data'!$CD172,0)=-99,"N/A",OFFSET(AV$55,'Intermediate Data'!$CD172,0))))</f>
        <v/>
      </c>
      <c r="CG172" s="90" t="str">
        <f ca="1">IF($CD172="","",IF(OFFSET(AW$55,'Intermediate Data'!$CD172,0)=-98,"",IF(OFFSET(AW$55,'Intermediate Data'!$CD172,0)=-99,"N/A",OFFSET(AW$55,'Intermediate Data'!$CD172,0))))</f>
        <v/>
      </c>
      <c r="CH172" s="90" t="str">
        <f ca="1">IF($CD172="","",IF(OFFSET(AX$55,'Intermediate Data'!$CD172,0)=-98,"Unknown",IF(OFFSET(AX$55,'Intermediate Data'!$CD172,0)=-99,"N/A",OFFSET(AX$55,'Intermediate Data'!$CD172,0))))</f>
        <v/>
      </c>
      <c r="CI172" s="125" t="str">
        <f ca="1">IF($CD172="","",IF(OFFSET(AY$55,'Intermediate Data'!$CD172,0)=-98,"Unknown",IF(OFFSET(AY$55,'Intermediate Data'!$CD172,0)=-99,"No spec",OFFSET(AY$55,'Intermediate Data'!$CD172,0))))</f>
        <v/>
      </c>
      <c r="CJ172" s="125" t="str">
        <f ca="1">IF($CD172="","",IF(OFFSET(AZ$55,'Intermediate Data'!$CD172,0)=-98,"Unknown",IF(OFFSET(AZ$55,'Intermediate Data'!$CD172,0)=-99,"N/A",OFFSET(AZ$55,'Intermediate Data'!$CD172,0))))</f>
        <v/>
      </c>
      <c r="CK172" s="90" t="str">
        <f ca="1">IF($CD172="","",IF(OFFSET(BA$55,'Intermediate Data'!$CD172,0)=-98,"Unknown",IF(OFFSET(BA$55,'Intermediate Data'!$CD172,0)=-99,"N/A",OFFSET(BA$55,'Intermediate Data'!$CD172,0))))</f>
        <v/>
      </c>
      <c r="CL172" s="90" t="str">
        <f ca="1">IF($CD172="","",IF(OFFSET(BB$55,'Intermediate Data'!$CD172,$AX$50)=-98,"Unknown",IF(OFFSET(BB$55,'Intermediate Data'!$CD172,$AX$50)="N/A","",OFFSET(BB$55,'Intermediate Data'!$CD172,$AX$50))))</f>
        <v/>
      </c>
      <c r="CM172" s="90" t="str">
        <f ca="1">IF($CD172="","",IF(OFFSET(BG$55,'Intermediate Data'!$CD172,0)="ET","ET",""))</f>
        <v/>
      </c>
      <c r="CN172" s="90" t="str">
        <f ca="1">IF($CD172="","",IF(OFFSET(BH$55,'Intermediate Data'!$CD172,$AX$50)=-98,"Unknown",IF(OFFSET(BH$55,'Intermediate Data'!$CD172,$AX$50)="N/A","",OFFSET(BH$55,'Intermediate Data'!$CD172,$AX$50))))</f>
        <v/>
      </c>
      <c r="CO172" s="90" t="str">
        <f ca="1">IF($CD172="","",IF(OFFSET(BM$55,'Intermediate Data'!$CD172,0)=-98,"Not published",IF(OFFSET(BM$55,'Intermediate Data'!$CD172,0)=-99,"No spec",OFFSET(BM$55,'Intermediate Data'!$CD172,0))))</f>
        <v/>
      </c>
      <c r="CP172" s="114" t="str">
        <f ca="1">IF($CD172="","",IF(OFFSET(BN$55,'Intermediate Data'!$CD172,0)=-98,"Unknown",IF(OFFSET(BN$55,'Intermediate Data'!$CD172,0)=-99,"N/A",OFFSET(BN$55,'Intermediate Data'!$CD172,0))))</f>
        <v/>
      </c>
      <c r="CQ172" s="114" t="str">
        <f ca="1">IF($CD172="","",IF(OFFSET(BO$55,'Intermediate Data'!$CD172,0)=-98,"Unknown",IF(OFFSET(BO$55,'Intermediate Data'!$CD172,0)=-99,"N/A",OFFSET(BO$55,'Intermediate Data'!$CD172,0))))</f>
        <v/>
      </c>
      <c r="CR172" s="114" t="str">
        <f ca="1">IF($CD172="","",IF(OFFSET(BP$55,'Intermediate Data'!$CD172,0)=-98,"Unknown",IF(OFFSET(BP$55,'Intermediate Data'!$CD172,0)=-99,"N/A",OFFSET(BP$55,'Intermediate Data'!$CD172,0))))</f>
        <v/>
      </c>
      <c r="CS172" s="114" t="str">
        <f ca="1">IF($CD172="","",IF(OFFSET(BQ$55,'Intermediate Data'!$CD172,0)=-98,"Unknown",IF(OFFSET(BQ$55,'Intermediate Data'!$CD172,0)=-99,"N/A",OFFSET(BQ$55,'Intermediate Data'!$CD172,0))))</f>
        <v/>
      </c>
      <c r="CT172" s="114" t="str">
        <f ca="1">IF($CD172="","",IF(OFFSET(BR$55,'Intermediate Data'!$CD172,0)=-98,"Unknown",IF(OFFSET(BR$55,'Intermediate Data'!$CD172,0)=-99,"N/A",OFFSET(BR$55,'Intermediate Data'!$CD172,0))))</f>
        <v/>
      </c>
      <c r="CU172" s="114" t="str">
        <f ca="1">IF($CD172="","",IF(OFFSET(BS$55,'Intermediate Data'!$CD172,0)=-98,"Unknown",IF(OFFSET(BS$55,'Intermediate Data'!$CD172,0)=-99,"N/A",OFFSET(BS$55,'Intermediate Data'!$CD172,0))))</f>
        <v/>
      </c>
      <c r="CV172" s="114" t="str">
        <f ca="1">IF($CD172="","",IF(OFFSET(BT$55,'Intermediate Data'!$CD172,0)=-98,"Unknown",IF(OFFSET(BT$55,'Intermediate Data'!$CD172,0)=-99,"N/A",OFFSET(BT$55,'Intermediate Data'!$CD172,0))))</f>
        <v/>
      </c>
      <c r="CW172" s="114" t="str">
        <f ca="1">IF($CD172="","",IF(OFFSET(BU$55,'Intermediate Data'!$CD172,0)=-98,"Unknown",IF(OFFSET(BU$55,'Intermediate Data'!$CD172,0)=-99,"N/A",OFFSET(BU$55,'Intermediate Data'!$CD172,0))))</f>
        <v/>
      </c>
      <c r="CX172" s="114" t="str">
        <f ca="1">IF($CD172="","",IF(OFFSET(BV$55,'Intermediate Data'!$CD172,0)=-98,"Unknown",IF(OFFSET(BV$55,'Intermediate Data'!$CD172,0)=-99,"N/A",OFFSET(BV$55,'Intermediate Data'!$CD172,0))))</f>
        <v/>
      </c>
      <c r="CY172" s="682" t="str">
        <f ca="1">IF($CD172="","",IF(OFFSET(BW$55,'Intermediate Data'!$CD172,0)=-98,"Unknown",IF(OFFSET(BW$55,'Intermediate Data'!$CD172,0)="N/A","",OFFSET(BW$55,'Intermediate Data'!$CD172,0))))</f>
        <v/>
      </c>
      <c r="CZ172" s="682" t="str">
        <f ca="1">IF($CD172="","",IF(OFFSET(BX$55,'Intermediate Data'!$CD172,0)=-98,"Unknown",IF(OFFSET(BX$55,'Intermediate Data'!$CD172,0)="N/A","",OFFSET(BX$55,'Intermediate Data'!$CD172,0))))</f>
        <v/>
      </c>
      <c r="DA172" s="682" t="str">
        <f ca="1">IF($CD172="","",IF(OFFSET(BY$55,'Intermediate Data'!$CD172,0)=-98,"Unknown",IF(OFFSET(BY$55,'Intermediate Data'!$CD172,0)="N/A","",OFFSET(BY$55,'Intermediate Data'!$CD172,0))))</f>
        <v/>
      </c>
      <c r="DB172" s="682" t="str">
        <f ca="1">IF($CD172="","",IF(OFFSET(BZ$55,'Intermediate Data'!$CD172,0)=-98,"Unknown",IF(OFFSET(BZ$55,'Intermediate Data'!$CD172,0)="N/A","",OFFSET(BZ$55,'Intermediate Data'!$CD172,0))))</f>
        <v/>
      </c>
    </row>
    <row r="173" spans="1:106" x14ac:dyDescent="0.2">
      <c r="A173" s="90">
        <f ca="1">IF(OFFSET(DATA!F122,0,$D$48)='Intermediate Data'!$E$48,IF(OR($E$49=$C$27,$E$48=$B$4),DATA!A122,IF($G$49=DATA!D122,DATA!A122,"")),"")</f>
        <v>118</v>
      </c>
      <c r="B173" s="90">
        <f ca="1">IF($A173="","",DATA!EH122)</f>
        <v>6</v>
      </c>
      <c r="C173" s="90" t="str">
        <f ca="1">IF($A173="","",DATA!B122)</f>
        <v>Water pik</v>
      </c>
      <c r="D173" s="90">
        <f ca="1">IF($A173="","",OFFSET(DATA!$H122,0,($D$50*5)))</f>
        <v>-99</v>
      </c>
      <c r="E173" s="90">
        <f ca="1">IF($A173="","",OFFSET(DATA!$H122,0,($D$50*5)+1))</f>
        <v>-99</v>
      </c>
      <c r="F173" s="90">
        <f ca="1">IF($A173="","",OFFSET(DATA!$H122,0,($D$50*5)+2))</f>
        <v>-99</v>
      </c>
      <c r="G173" s="90">
        <f ca="1">IF($A173="","",OFFSET(DATA!$H122,0,($D$50*5)+3))</f>
        <v>-99</v>
      </c>
      <c r="H173" s="90">
        <f ca="1">IF($A173="","",OFFSET(DATA!$H122,0,($D$50*5)+4))</f>
        <v>-99</v>
      </c>
      <c r="I173" s="90">
        <f t="shared" ca="1" si="17"/>
        <v>-99</v>
      </c>
      <c r="J173" s="90" t="str">
        <f t="shared" ca="1" si="18"/>
        <v/>
      </c>
      <c r="K173" s="90">
        <f ca="1">IF($A173="","",OFFSET(DATA!$AG122,0,($D$50*5)))</f>
        <v>-99</v>
      </c>
      <c r="L173" s="90">
        <f ca="1">IF($A173="","",OFFSET(DATA!$AG122,0,($D$50*5)+1))</f>
        <v>-99</v>
      </c>
      <c r="M173" s="90">
        <f ca="1">IF($A173="","",OFFSET(DATA!$AG122,0,($D$50*5)+2))</f>
        <v>-99</v>
      </c>
      <c r="N173" s="90">
        <f ca="1">IF($A173="","",OFFSET(DATA!$AG122,0,($D$50*5)+3))</f>
        <v>-99</v>
      </c>
      <c r="O173" s="90">
        <f ca="1">IF($A173="","",OFFSET(DATA!$AG122,0,($D$50*5)+4))</f>
        <v>-99</v>
      </c>
      <c r="P173" s="90">
        <f t="shared" ca="1" si="19"/>
        <v>-99</v>
      </c>
      <c r="Q173" s="90" t="str">
        <f t="shared" ca="1" si="20"/>
        <v/>
      </c>
      <c r="R173" s="699">
        <f ca="1">IF($A173="","",IF(DATA!BF122="",-99,DATA!BF122))</f>
        <v>-99</v>
      </c>
      <c r="S173" s="90">
        <f ca="1">IF($A173="","",IF(DATA!BG122="",-99,DATA!BF122-DATA!BG122))</f>
        <v>-99</v>
      </c>
      <c r="T173" s="90">
        <f ca="1">IF($A173="","",DATA!BH122)</f>
        <v>-99</v>
      </c>
      <c r="U173" s="90">
        <f ca="1">IF($A173="","",OFFSET(DATA!BM122,0,$D$48))</f>
        <v>-99</v>
      </c>
      <c r="V173" s="90">
        <f t="shared" ca="1" si="29"/>
        <v>6</v>
      </c>
      <c r="W173" s="99">
        <f t="shared" ca="1" si="21"/>
        <v>5.9998812017300001</v>
      </c>
      <c r="X173" s="112">
        <f t="shared" ca="1" si="22"/>
        <v>10.9999109228532</v>
      </c>
      <c r="Y173" s="90">
        <f t="shared" ca="1" si="23"/>
        <v>58</v>
      </c>
      <c r="AA173" s="90" t="str">
        <f ca="1">IF($Y173="","",IF(OFFSET(C$55,'Intermediate Data'!$Y173,0)=-98,"Unknown",IF(OFFSET(C$55,'Intermediate Data'!$Y173,0)=-99,"N/A",OFFSET(C$55,'Intermediate Data'!$Y173,0))))</f>
        <v>Video streaming/OTT device</v>
      </c>
      <c r="AB173" s="90" t="str">
        <f ca="1">IF($Y173="","",IF(OFFSET(D$55,'Intermediate Data'!$Y173,0)=-98,"N/A",IF(OFFSET(D$55,'Intermediate Data'!$Y173,0)=-99,"N/A",OFFSET(D$55,'Intermediate Data'!$Y173,0))))</f>
        <v>N/A</v>
      </c>
      <c r="AC173" s="90" t="str">
        <f ca="1">IF($Y173="","",IF(OFFSET(E$55,'Intermediate Data'!$Y173,0)=-98,"N/A",IF(OFFSET(E$55,'Intermediate Data'!$Y173,0)=-99,"N/A",OFFSET(E$55,'Intermediate Data'!$Y173,0))))</f>
        <v>N/A</v>
      </c>
      <c r="AD173" s="90" t="str">
        <f ca="1">IF($Y173="","",IF(OFFSET(F$55,'Intermediate Data'!$Y173,0)=-98,"N/A",IF(OFFSET(F$55,'Intermediate Data'!$Y173,0)=-99,"N/A",OFFSET(F$55,'Intermediate Data'!$Y173,0))))</f>
        <v>N/A</v>
      </c>
      <c r="AE173" s="90" t="str">
        <f ca="1">IF($Y173="","",IF(OFFSET(G$55,'Intermediate Data'!$Y173,0)=-98,"N/A",IF(OFFSET(G$55,'Intermediate Data'!$Y173,0)=-99,"N/A",OFFSET(G$55,'Intermediate Data'!$Y173,0))))</f>
        <v>N/A</v>
      </c>
      <c r="AF173" s="90">
        <f ca="1">IF($Y173="","",IF(OFFSET(H$55,'Intermediate Data'!$Y173,0)=-98,"N/A",IF(OFFSET(H$55,'Intermediate Data'!$Y173,0)=-99,"N/A",OFFSET(H$55,'Intermediate Data'!$Y173,0))))</f>
        <v>6.7116000000000009E-2</v>
      </c>
      <c r="AG173" s="90">
        <f ca="1">IF($Y173="","",IF(OFFSET(I$55,'Intermediate Data'!$Y173,0)=-98,"N/A",IF(OFFSET(I$55,'Intermediate Data'!$Y173,0)=-99,"N/A",OFFSET(I$55,'Intermediate Data'!$Y173,0))))</f>
        <v>6.7116000000000009E-2</v>
      </c>
      <c r="AH173" s="90" t="str">
        <f ca="1">IF($Y173="","",IF(OFFSET(J$55,'Intermediate Data'!$Y173,0)=-98,"N/A",IF(OFFSET(J$55,'Intermediate Data'!$Y173,0)=-99,"N/A",OFFSET(J$55,'Intermediate Data'!$Y173,0))))</f>
        <v>CLASS</v>
      </c>
      <c r="AI173" s="90" t="str">
        <f ca="1">IF($Y173="","",IF(OFFSET(K$55,'Intermediate Data'!$Y173,0)=-98,"N/A",IF(OFFSET(K$55,'Intermediate Data'!$Y173,0)=-99,"N/A",OFFSET(K$55,'Intermediate Data'!$Y173,0))))</f>
        <v>N/A</v>
      </c>
      <c r="AJ173" s="90" t="str">
        <f ca="1">IF($Y173="","",IF(OFFSET(L$55,'Intermediate Data'!$Y173,0)=-98,"N/A",IF(OFFSET(L$55,'Intermediate Data'!$Y173,0)=-99,"N/A",OFFSET(L$55,'Intermediate Data'!$Y173,0))))</f>
        <v>N/A</v>
      </c>
      <c r="AK173" s="90" t="str">
        <f ca="1">IF($Y173="","",IF(OFFSET(M$55,'Intermediate Data'!$Y173,0)=-98,"N/A",IF(OFFSET(M$55,'Intermediate Data'!$Y173,0)=-99,"N/A",OFFSET(M$55,'Intermediate Data'!$Y173,0))))</f>
        <v>N/A</v>
      </c>
      <c r="AL173" s="90" t="str">
        <f ca="1">IF($Y173="","",IF(OFFSET(N$55,'Intermediate Data'!$Y173,0)=-98,"N/A",IF(OFFSET(N$55,'Intermediate Data'!$Y173,0)=-99,"N/A",OFFSET(N$55,'Intermediate Data'!$Y173,0))))</f>
        <v>N/A</v>
      </c>
      <c r="AM173" s="90">
        <f ca="1">IF($Y173="","",IF(OFFSET(O$55,'Intermediate Data'!$Y173,0)=-98,"N/A",IF(OFFSET(O$55,'Intermediate Data'!$Y173,0)=-99,"N/A",OFFSET(O$55,'Intermediate Data'!$Y173,0))))</f>
        <v>8.3000000000000004E-2</v>
      </c>
      <c r="AN173" s="90">
        <f ca="1">IF($Y173="","",IF(OFFSET(P$55,'Intermediate Data'!$Y173,0)=-98,"N/A",IF(OFFSET(P$55,'Intermediate Data'!$Y173,0)=-99,"N/A",OFFSET(P$55,'Intermediate Data'!$Y173,0))))</f>
        <v>8.3000000000000004E-2</v>
      </c>
      <c r="AO173" s="90" t="str">
        <f ca="1">IF($Y173="","",IF(OFFSET(Q$55,'Intermediate Data'!$Y173,0)=-98,"N/A",IF(OFFSET(Q$55,'Intermediate Data'!$Y173,0)=-99,"N/A",OFFSET(Q$55,'Intermediate Data'!$Y173,0))))</f>
        <v>CLASS</v>
      </c>
      <c r="AP173" s="697" t="str">
        <f ca="1">IF($Y173="","",IF(OFFSET(S$55,'Intermediate Data'!$Y173,0)=-98,"",IF(OFFSET(S$55,'Intermediate Data'!$Y173,0)=-99,"",OFFSET(S$55,'Intermediate Data'!$Y173,0))))</f>
        <v/>
      </c>
      <c r="AQ173" s="90" t="str">
        <f ca="1">IF($Y173="","",IF(OFFSET(T$55,'Intermediate Data'!$Y173,0)=-98,"Not published",IF(OFFSET(T$55,'Intermediate Data'!$Y173,0)=-99,"",OFFSET(T$55,'Intermediate Data'!$Y173,0))))</f>
        <v/>
      </c>
      <c r="AR173" s="90" t="str">
        <f ca="1">IF($Y173="","",IF(OFFSET(U$55,'Intermediate Data'!$Y173,0)=-98,"Unknown",IF(OFFSET(U$55,'Intermediate Data'!$Y173,0)=-99,"",OFFSET(U$55,'Intermediate Data'!$Y173,0))))</f>
        <v/>
      </c>
      <c r="AU173" s="112" t="str">
        <f ca="1">IF(AND(OFFSET(DATA!$F122,0,$AX$48)='Intermediate Data'!$AY$48,DATA!$E122="Tier 1"),IF(OR($AX$49=0,$AX$48=1),DATA!A122,IF(AND($AX$49=1,INDEX('Intermediate Data'!$AY$25:$AY$44,MATCH(DATA!$B122,'Intermediate Data'!$AX$25:$AX$44,0))=TRUE),DATA!A122,"")),"")</f>
        <v/>
      </c>
      <c r="AV173" s="112" t="str">
        <f ca="1">IF($AU173="","",DATA!B122)</f>
        <v/>
      </c>
      <c r="AW173" s="112" t="str">
        <f ca="1">IF(OR($AU173="",DATA!BI122=""),"",DATA!BI122)</f>
        <v/>
      </c>
      <c r="AX173" s="112" t="str">
        <f ca="1">IF(OR($AU173="",OFFSET(DATA!BK122,0,$AX$48)=""),"",OFFSET(DATA!BK122,0,$AX$48))</f>
        <v/>
      </c>
      <c r="AY173" s="112" t="str">
        <f ca="1">IF(OR($AU173="",OFFSET(DATA!BM122,0,$AX$48)=""),"",OFFSET(DATA!BM122,0,$AX$48))</f>
        <v/>
      </c>
      <c r="AZ173" s="112" t="str">
        <f ca="1">IF(OR($AU173="",OFFSET(DATA!BO122,0,'Intermediate Data'!$AX$48)=""),"",OFFSET(DATA!BO122,0,$AX$48))</f>
        <v/>
      </c>
      <c r="BA173" s="112" t="str">
        <f ca="1">IF(OR($AU173="",DATA!BQ122=""),"",DATA!BQ122)</f>
        <v/>
      </c>
      <c r="BB173" s="112" t="str">
        <f ca="1">IF($AU173="","",OFFSET(DATA!BS122,0,$AX$48))</f>
        <v/>
      </c>
      <c r="BC173" s="112" t="str">
        <f ca="1">IF($AU173="","",OFFSET(DATA!BU122,0,$AX$48))</f>
        <v/>
      </c>
      <c r="BD173" s="112" t="str">
        <f ca="1">IF($AU173="","",OFFSET(DATA!BW122,0,$AX$48))</f>
        <v/>
      </c>
      <c r="BE173" s="112" t="str">
        <f ca="1">IF($AU173="","",OFFSET(DATA!BY122,0,$AX$48))</f>
        <v/>
      </c>
      <c r="BF173" s="112" t="str">
        <f ca="1">IF($AU173="","",OFFSET(DATA!CA122,0,$AX$48))</f>
        <v/>
      </c>
      <c r="BG173" s="112" t="str">
        <f ca="1">IF($AU173="","",DATA!CC122)</f>
        <v/>
      </c>
      <c r="BH173" s="112" t="str">
        <f ca="1">IF($AU173="","",OFFSET(DATA!CE122,0,$AX$48))</f>
        <v/>
      </c>
      <c r="BI173" s="112" t="str">
        <f ca="1">IF($AU173="","",OFFSET(DATA!CG122,0,$AX$48))</f>
        <v/>
      </c>
      <c r="BJ173" s="112" t="str">
        <f ca="1">IF($AU173="","",OFFSET(DATA!CI122,0,$AX$48))</f>
        <v/>
      </c>
      <c r="BK173" s="112" t="str">
        <f ca="1">IF($AU173="","",OFFSET(DATA!CK122,0,$AX$48))</f>
        <v/>
      </c>
      <c r="BL173" s="112" t="str">
        <f ca="1">IF($AU173="","",OFFSET(DATA!CM122,0,$AX$48))</f>
        <v/>
      </c>
      <c r="BM173" s="112" t="str">
        <f ca="1">IF($AU173="","",DATA!BH122)</f>
        <v/>
      </c>
      <c r="BN173" s="112" t="str">
        <f ca="1">IF($AU173="","",DATA!DS122)</f>
        <v/>
      </c>
      <c r="BO173" s="112" t="str">
        <f ca="1">IF($AU173="","",DATA!DU122)</f>
        <v/>
      </c>
      <c r="BP173" s="112" t="str">
        <f ca="1">IF($AU173="","",DATA!DV122)</f>
        <v/>
      </c>
      <c r="BQ173" s="112" t="str">
        <f ca="1">IF($AU173="","",DATA!DX122)</f>
        <v/>
      </c>
      <c r="BR173" s="112" t="str">
        <f ca="1">IF($AU173="","",DATA!DZ122)</f>
        <v/>
      </c>
      <c r="BS173" s="171" t="str">
        <f ca="1">IF($AU173="","",DATA!EA122)</f>
        <v/>
      </c>
      <c r="BT173" s="171" t="str">
        <f ca="1">IF($AU173="","",DATA!EC122)</f>
        <v/>
      </c>
      <c r="BU173" s="171" t="str">
        <f ca="1">IF($AU173="","",DATA!EF122)</f>
        <v/>
      </c>
      <c r="BV173" s="113" t="str">
        <f t="shared" ca="1" si="24"/>
        <v/>
      </c>
      <c r="BW173" s="680" t="str">
        <f ca="1">IF(AU173="","",OFFSET(DATA!DC122,0,'Intermediate Data'!$AX$48))</f>
        <v/>
      </c>
      <c r="BX173" s="681" t="str">
        <f ca="1">IF($AU173="","",DATA!DG122)</f>
        <v/>
      </c>
      <c r="BY173" s="680" t="str">
        <f ca="1">IF($AU173="","",OFFSET(DATA!DE122,0,'Intermediate Data'!$AX$48))</f>
        <v/>
      </c>
      <c r="BZ173" s="681" t="str">
        <f ca="1">IF($AU173="","",DATA!DH122)</f>
        <v/>
      </c>
      <c r="CA173" s="90" t="str">
        <f t="shared" ca="1" si="25"/>
        <v/>
      </c>
      <c r="CB173" s="99" t="str">
        <f t="shared" ca="1" si="26"/>
        <v/>
      </c>
      <c r="CC173" s="90" t="str">
        <f t="shared" ca="1" si="27"/>
        <v/>
      </c>
      <c r="CD173" s="90" t="str">
        <f t="shared" ca="1" si="28"/>
        <v/>
      </c>
      <c r="CF173" s="90" t="str">
        <f ca="1">IF($CD173="","",IF(OFFSET(AV$55,'Intermediate Data'!$CD173,0)=-98,"Unknown",IF(OFFSET(AV$55,'Intermediate Data'!$CD173,0)=-99,"N/A",OFFSET(AV$55,'Intermediate Data'!$CD173,0))))</f>
        <v/>
      </c>
      <c r="CG173" s="90" t="str">
        <f ca="1">IF($CD173="","",IF(OFFSET(AW$55,'Intermediate Data'!$CD173,0)=-98,"",IF(OFFSET(AW$55,'Intermediate Data'!$CD173,0)=-99,"N/A",OFFSET(AW$55,'Intermediate Data'!$CD173,0))))</f>
        <v/>
      </c>
      <c r="CH173" s="90" t="str">
        <f ca="1">IF($CD173="","",IF(OFFSET(AX$55,'Intermediate Data'!$CD173,0)=-98,"Unknown",IF(OFFSET(AX$55,'Intermediate Data'!$CD173,0)=-99,"N/A",OFFSET(AX$55,'Intermediate Data'!$CD173,0))))</f>
        <v/>
      </c>
      <c r="CI173" s="125" t="str">
        <f ca="1">IF($CD173="","",IF(OFFSET(AY$55,'Intermediate Data'!$CD173,0)=-98,"Unknown",IF(OFFSET(AY$55,'Intermediate Data'!$CD173,0)=-99,"No spec",OFFSET(AY$55,'Intermediate Data'!$CD173,0))))</f>
        <v/>
      </c>
      <c r="CJ173" s="125" t="str">
        <f ca="1">IF($CD173="","",IF(OFFSET(AZ$55,'Intermediate Data'!$CD173,0)=-98,"Unknown",IF(OFFSET(AZ$55,'Intermediate Data'!$CD173,0)=-99,"N/A",OFFSET(AZ$55,'Intermediate Data'!$CD173,0))))</f>
        <v/>
      </c>
      <c r="CK173" s="90" t="str">
        <f ca="1">IF($CD173="","",IF(OFFSET(BA$55,'Intermediate Data'!$CD173,0)=-98,"Unknown",IF(OFFSET(BA$55,'Intermediate Data'!$CD173,0)=-99,"N/A",OFFSET(BA$55,'Intermediate Data'!$CD173,0))))</f>
        <v/>
      </c>
      <c r="CL173" s="90" t="str">
        <f ca="1">IF($CD173="","",IF(OFFSET(BB$55,'Intermediate Data'!$CD173,$AX$50)=-98,"Unknown",IF(OFFSET(BB$55,'Intermediate Data'!$CD173,$AX$50)="N/A","",OFFSET(BB$55,'Intermediate Data'!$CD173,$AX$50))))</f>
        <v/>
      </c>
      <c r="CM173" s="90" t="str">
        <f ca="1">IF($CD173="","",IF(OFFSET(BG$55,'Intermediate Data'!$CD173,0)="ET","ET",""))</f>
        <v/>
      </c>
      <c r="CN173" s="90" t="str">
        <f ca="1">IF($CD173="","",IF(OFFSET(BH$55,'Intermediate Data'!$CD173,$AX$50)=-98,"Unknown",IF(OFFSET(BH$55,'Intermediate Data'!$CD173,$AX$50)="N/A","",OFFSET(BH$55,'Intermediate Data'!$CD173,$AX$50))))</f>
        <v/>
      </c>
      <c r="CO173" s="90" t="str">
        <f ca="1">IF($CD173="","",IF(OFFSET(BM$55,'Intermediate Data'!$CD173,0)=-98,"Not published",IF(OFFSET(BM$55,'Intermediate Data'!$CD173,0)=-99,"No spec",OFFSET(BM$55,'Intermediate Data'!$CD173,0))))</f>
        <v/>
      </c>
      <c r="CP173" s="114" t="str">
        <f ca="1">IF($CD173="","",IF(OFFSET(BN$55,'Intermediate Data'!$CD173,0)=-98,"Unknown",IF(OFFSET(BN$55,'Intermediate Data'!$CD173,0)=-99,"N/A",OFFSET(BN$55,'Intermediate Data'!$CD173,0))))</f>
        <v/>
      </c>
      <c r="CQ173" s="114" t="str">
        <f ca="1">IF($CD173="","",IF(OFFSET(BO$55,'Intermediate Data'!$CD173,0)=-98,"Unknown",IF(OFFSET(BO$55,'Intermediate Data'!$CD173,0)=-99,"N/A",OFFSET(BO$55,'Intermediate Data'!$CD173,0))))</f>
        <v/>
      </c>
      <c r="CR173" s="114" t="str">
        <f ca="1">IF($CD173="","",IF(OFFSET(BP$55,'Intermediate Data'!$CD173,0)=-98,"Unknown",IF(OFFSET(BP$55,'Intermediate Data'!$CD173,0)=-99,"N/A",OFFSET(BP$55,'Intermediate Data'!$CD173,0))))</f>
        <v/>
      </c>
      <c r="CS173" s="114" t="str">
        <f ca="1">IF($CD173="","",IF(OFFSET(BQ$55,'Intermediate Data'!$CD173,0)=-98,"Unknown",IF(OFFSET(BQ$55,'Intermediate Data'!$CD173,0)=-99,"N/A",OFFSET(BQ$55,'Intermediate Data'!$CD173,0))))</f>
        <v/>
      </c>
      <c r="CT173" s="114" t="str">
        <f ca="1">IF($CD173="","",IF(OFFSET(BR$55,'Intermediate Data'!$CD173,0)=-98,"Unknown",IF(OFFSET(BR$55,'Intermediate Data'!$CD173,0)=-99,"N/A",OFFSET(BR$55,'Intermediate Data'!$CD173,0))))</f>
        <v/>
      </c>
      <c r="CU173" s="114" t="str">
        <f ca="1">IF($CD173="","",IF(OFFSET(BS$55,'Intermediate Data'!$CD173,0)=-98,"Unknown",IF(OFFSET(BS$55,'Intermediate Data'!$CD173,0)=-99,"N/A",OFFSET(BS$55,'Intermediate Data'!$CD173,0))))</f>
        <v/>
      </c>
      <c r="CV173" s="114" t="str">
        <f ca="1">IF($CD173="","",IF(OFFSET(BT$55,'Intermediate Data'!$CD173,0)=-98,"Unknown",IF(OFFSET(BT$55,'Intermediate Data'!$CD173,0)=-99,"N/A",OFFSET(BT$55,'Intermediate Data'!$CD173,0))))</f>
        <v/>
      </c>
      <c r="CW173" s="114" t="str">
        <f ca="1">IF($CD173="","",IF(OFFSET(BU$55,'Intermediate Data'!$CD173,0)=-98,"Unknown",IF(OFFSET(BU$55,'Intermediate Data'!$CD173,0)=-99,"N/A",OFFSET(BU$55,'Intermediate Data'!$CD173,0))))</f>
        <v/>
      </c>
      <c r="CX173" s="114" t="str">
        <f ca="1">IF($CD173="","",IF(OFFSET(BV$55,'Intermediate Data'!$CD173,0)=-98,"Unknown",IF(OFFSET(BV$55,'Intermediate Data'!$CD173,0)=-99,"N/A",OFFSET(BV$55,'Intermediate Data'!$CD173,0))))</f>
        <v/>
      </c>
      <c r="CY173" s="682" t="str">
        <f ca="1">IF($CD173="","",IF(OFFSET(BW$55,'Intermediate Data'!$CD173,0)=-98,"Unknown",IF(OFFSET(BW$55,'Intermediate Data'!$CD173,0)="N/A","",OFFSET(BW$55,'Intermediate Data'!$CD173,0))))</f>
        <v/>
      </c>
      <c r="CZ173" s="682" t="str">
        <f ca="1">IF($CD173="","",IF(OFFSET(BX$55,'Intermediate Data'!$CD173,0)=-98,"Unknown",IF(OFFSET(BX$55,'Intermediate Data'!$CD173,0)="N/A","",OFFSET(BX$55,'Intermediate Data'!$CD173,0))))</f>
        <v/>
      </c>
      <c r="DA173" s="682" t="str">
        <f ca="1">IF($CD173="","",IF(OFFSET(BY$55,'Intermediate Data'!$CD173,0)=-98,"Unknown",IF(OFFSET(BY$55,'Intermediate Data'!$CD173,0)="N/A","",OFFSET(BY$55,'Intermediate Data'!$CD173,0))))</f>
        <v/>
      </c>
      <c r="DB173" s="682" t="str">
        <f ca="1">IF($CD173="","",IF(OFFSET(BZ$55,'Intermediate Data'!$CD173,0)=-98,"Unknown",IF(OFFSET(BZ$55,'Intermediate Data'!$CD173,0)="N/A","",OFFSET(BZ$55,'Intermediate Data'!$CD173,0))))</f>
        <v/>
      </c>
    </row>
    <row r="174" spans="1:106" x14ac:dyDescent="0.2">
      <c r="A174" s="90">
        <f ca="1">IF(OFFSET(DATA!F123,0,$D$48)='Intermediate Data'!$E$48,IF(OR($E$49=$C$27,$E$48=$B$4),DATA!A123,IF($G$49=DATA!D123,DATA!A123,"")),"")</f>
        <v>119</v>
      </c>
      <c r="B174" s="90">
        <f ca="1">IF($A174="","",DATA!EH123)</f>
        <v>129</v>
      </c>
      <c r="C174" s="90" t="str">
        <f ca="1">IF($A174="","",DATA!B123)</f>
        <v>Beverage cooler</v>
      </c>
      <c r="D174" s="90">
        <f ca="1">IF($A174="","",OFFSET(DATA!$H123,0,($D$50*5)))</f>
        <v>-99</v>
      </c>
      <c r="E174" s="90">
        <f ca="1">IF($A174="","",OFFSET(DATA!$H123,0,($D$50*5)+1))</f>
        <v>-99</v>
      </c>
      <c r="F174" s="90">
        <f ca="1">IF($A174="","",OFFSET(DATA!$H123,0,($D$50*5)+2))</f>
        <v>-99</v>
      </c>
      <c r="G174" s="90">
        <f ca="1">IF($A174="","",OFFSET(DATA!$H123,0,($D$50*5)+3))</f>
        <v>5.7195024349907107E-2</v>
      </c>
      <c r="H174" s="90">
        <f ca="1">IF($A174="","",OFFSET(DATA!$H123,0,($D$50*5)+4))</f>
        <v>-99</v>
      </c>
      <c r="I174" s="90">
        <f t="shared" ca="1" si="17"/>
        <v>5.7195024349907107E-2</v>
      </c>
      <c r="J174" s="90" t="str">
        <f t="shared" ca="1" si="18"/>
        <v>RASS</v>
      </c>
      <c r="K174" s="90">
        <f ca="1">IF($A174="","",OFFSET(DATA!$AG123,0,($D$50*5)))</f>
        <v>-99</v>
      </c>
      <c r="L174" s="90">
        <f ca="1">IF($A174="","",OFFSET(DATA!$AG123,0,($D$50*5)+1))</f>
        <v>-99</v>
      </c>
      <c r="M174" s="90">
        <f ca="1">IF($A174="","",OFFSET(DATA!$AG123,0,($D$50*5)+2))</f>
        <v>-99</v>
      </c>
      <c r="N174" s="90">
        <f ca="1">IF($A174="","",OFFSET(DATA!$AG123,0,($D$50*5)+3))</f>
        <v>6.1477262868794992E-2</v>
      </c>
      <c r="O174" s="90">
        <f ca="1">IF($A174="","",OFFSET(DATA!$AG123,0,($D$50*5)+4))</f>
        <v>-99</v>
      </c>
      <c r="P174" s="90">
        <f t="shared" ca="1" si="19"/>
        <v>6.1477262868794992E-2</v>
      </c>
      <c r="Q174" s="90" t="str">
        <f t="shared" ca="1" si="20"/>
        <v>RASS</v>
      </c>
      <c r="R174" s="699">
        <f ca="1">IF($A174="","",IF(DATA!BF123="",-99,DATA!BF123))</f>
        <v>-99</v>
      </c>
      <c r="S174" s="90">
        <f ca="1">IF($A174="","",IF(DATA!BG123="",-99,DATA!BF123-DATA!BG123))</f>
        <v>-99</v>
      </c>
      <c r="T174" s="90">
        <f ca="1">IF($A174="","",DATA!BH123)</f>
        <v>-99</v>
      </c>
      <c r="U174" s="90">
        <f ca="1">IF($A174="","",OFFSET(DATA!BM123,0,$D$48))</f>
        <v>-99</v>
      </c>
      <c r="V174" s="90">
        <f t="shared" ca="1" si="29"/>
        <v>129</v>
      </c>
      <c r="W174" s="99">
        <f t="shared" ca="1" si="21"/>
        <v>128.99991091932674</v>
      </c>
      <c r="X174" s="112">
        <f t="shared" ca="1" si="22"/>
        <v>9.99988120101</v>
      </c>
      <c r="Y174" s="90">
        <f t="shared" ca="1" si="23"/>
        <v>46</v>
      </c>
      <c r="AA174" s="90" t="str">
        <f ca="1">IF($Y174="","",IF(OFFSET(C$55,'Intermediate Data'!$Y174,0)=-98,"Unknown",IF(OFFSET(C$55,'Intermediate Data'!$Y174,0)=-99,"N/A",OFFSET(C$55,'Intermediate Data'!$Y174,0))))</f>
        <v>Waffle maker</v>
      </c>
      <c r="AB174" s="90" t="str">
        <f ca="1">IF($Y174="","",IF(OFFSET(D$55,'Intermediate Data'!$Y174,0)=-98,"N/A",IF(OFFSET(D$55,'Intermediate Data'!$Y174,0)=-99,"N/A",OFFSET(D$55,'Intermediate Data'!$Y174,0))))</f>
        <v>N/A</v>
      </c>
      <c r="AC174" s="90" t="str">
        <f ca="1">IF($Y174="","",IF(OFFSET(E$55,'Intermediate Data'!$Y174,0)=-98,"N/A",IF(OFFSET(E$55,'Intermediate Data'!$Y174,0)=-99,"N/A",OFFSET(E$55,'Intermediate Data'!$Y174,0))))</f>
        <v>N/A</v>
      </c>
      <c r="AD174" s="90" t="str">
        <f ca="1">IF($Y174="","",IF(OFFSET(F$55,'Intermediate Data'!$Y174,0)=-98,"N/A",IF(OFFSET(F$55,'Intermediate Data'!$Y174,0)=-99,"N/A",OFFSET(F$55,'Intermediate Data'!$Y174,0))))</f>
        <v>N/A</v>
      </c>
      <c r="AE174" s="90" t="str">
        <f ca="1">IF($Y174="","",IF(OFFSET(G$55,'Intermediate Data'!$Y174,0)=-98,"N/A",IF(OFFSET(G$55,'Intermediate Data'!$Y174,0)=-99,"N/A",OFFSET(G$55,'Intermediate Data'!$Y174,0))))</f>
        <v>N/A</v>
      </c>
      <c r="AF174" s="90" t="str">
        <f ca="1">IF($Y174="","",IF(OFFSET(H$55,'Intermediate Data'!$Y174,0)=-98,"N/A",IF(OFFSET(H$55,'Intermediate Data'!$Y174,0)=-99,"N/A",OFFSET(H$55,'Intermediate Data'!$Y174,0))))</f>
        <v>N/A</v>
      </c>
      <c r="AG174" s="90" t="str">
        <f ca="1">IF($Y174="","",IF(OFFSET(I$55,'Intermediate Data'!$Y174,0)=-98,"N/A",IF(OFFSET(I$55,'Intermediate Data'!$Y174,0)=-99,"N/A",OFFSET(I$55,'Intermediate Data'!$Y174,0))))</f>
        <v>N/A</v>
      </c>
      <c r="AH174" s="90" t="str">
        <f ca="1">IF($Y174="","",IF(OFFSET(J$55,'Intermediate Data'!$Y174,0)=-98,"N/A",IF(OFFSET(J$55,'Intermediate Data'!$Y174,0)=-99,"N/A",OFFSET(J$55,'Intermediate Data'!$Y174,0))))</f>
        <v/>
      </c>
      <c r="AI174" s="90" t="str">
        <f ca="1">IF($Y174="","",IF(OFFSET(K$55,'Intermediate Data'!$Y174,0)=-98,"N/A",IF(OFFSET(K$55,'Intermediate Data'!$Y174,0)=-99,"N/A",OFFSET(K$55,'Intermediate Data'!$Y174,0))))</f>
        <v>N/A</v>
      </c>
      <c r="AJ174" s="90" t="str">
        <f ca="1">IF($Y174="","",IF(OFFSET(L$55,'Intermediate Data'!$Y174,0)=-98,"N/A",IF(OFFSET(L$55,'Intermediate Data'!$Y174,0)=-99,"N/A",OFFSET(L$55,'Intermediate Data'!$Y174,0))))</f>
        <v>N/A</v>
      </c>
      <c r="AK174" s="90" t="str">
        <f ca="1">IF($Y174="","",IF(OFFSET(M$55,'Intermediate Data'!$Y174,0)=-98,"N/A",IF(OFFSET(M$55,'Intermediate Data'!$Y174,0)=-99,"N/A",OFFSET(M$55,'Intermediate Data'!$Y174,0))))</f>
        <v>N/A</v>
      </c>
      <c r="AL174" s="90" t="str">
        <f ca="1">IF($Y174="","",IF(OFFSET(N$55,'Intermediate Data'!$Y174,0)=-98,"N/A",IF(OFFSET(N$55,'Intermediate Data'!$Y174,0)=-99,"N/A",OFFSET(N$55,'Intermediate Data'!$Y174,0))))</f>
        <v>N/A</v>
      </c>
      <c r="AM174" s="90" t="str">
        <f ca="1">IF($Y174="","",IF(OFFSET(O$55,'Intermediate Data'!$Y174,0)=-98,"N/A",IF(OFFSET(O$55,'Intermediate Data'!$Y174,0)=-99,"N/A",OFFSET(O$55,'Intermediate Data'!$Y174,0))))</f>
        <v>N/A</v>
      </c>
      <c r="AN174" s="90" t="str">
        <f ca="1">IF($Y174="","",IF(OFFSET(P$55,'Intermediate Data'!$Y174,0)=-98,"N/A",IF(OFFSET(P$55,'Intermediate Data'!$Y174,0)=-99,"N/A",OFFSET(P$55,'Intermediate Data'!$Y174,0))))</f>
        <v>N/A</v>
      </c>
      <c r="AO174" s="90" t="str">
        <f ca="1">IF($Y174="","",IF(OFFSET(Q$55,'Intermediate Data'!$Y174,0)=-98,"N/A",IF(OFFSET(Q$55,'Intermediate Data'!$Y174,0)=-99,"N/A",OFFSET(Q$55,'Intermediate Data'!$Y174,0))))</f>
        <v/>
      </c>
      <c r="AP174" s="697" t="str">
        <f ca="1">IF($Y174="","",IF(OFFSET(S$55,'Intermediate Data'!$Y174,0)=-98,"",IF(OFFSET(S$55,'Intermediate Data'!$Y174,0)=-99,"",OFFSET(S$55,'Intermediate Data'!$Y174,0))))</f>
        <v/>
      </c>
      <c r="AQ174" s="90" t="str">
        <f ca="1">IF($Y174="","",IF(OFFSET(T$55,'Intermediate Data'!$Y174,0)=-98,"Not published",IF(OFFSET(T$55,'Intermediate Data'!$Y174,0)=-99,"",OFFSET(T$55,'Intermediate Data'!$Y174,0))))</f>
        <v/>
      </c>
      <c r="AR174" s="90" t="str">
        <f ca="1">IF($Y174="","",IF(OFFSET(U$55,'Intermediate Data'!$Y174,0)=-98,"Unknown",IF(OFFSET(U$55,'Intermediate Data'!$Y174,0)=-99,"",OFFSET(U$55,'Intermediate Data'!$Y174,0))))</f>
        <v/>
      </c>
      <c r="AU174" s="112" t="str">
        <f ca="1">IF(AND(OFFSET(DATA!$F123,0,$AX$48)='Intermediate Data'!$AY$48,DATA!$E123="Tier 1"),IF(OR($AX$49=0,$AX$48=1),DATA!A123,IF(AND($AX$49=1,INDEX('Intermediate Data'!$AY$25:$AY$44,MATCH(DATA!$B123,'Intermediate Data'!$AX$25:$AX$44,0))=TRUE),DATA!A123,"")),"")</f>
        <v/>
      </c>
      <c r="AV174" s="112" t="str">
        <f ca="1">IF($AU174="","",DATA!B123)</f>
        <v/>
      </c>
      <c r="AW174" s="112" t="str">
        <f ca="1">IF(OR($AU174="",DATA!BI123=""),"",DATA!BI123)</f>
        <v/>
      </c>
      <c r="AX174" s="112" t="str">
        <f ca="1">IF(OR($AU174="",OFFSET(DATA!BK123,0,$AX$48)=""),"",OFFSET(DATA!BK123,0,$AX$48))</f>
        <v/>
      </c>
      <c r="AY174" s="112" t="str">
        <f ca="1">IF(OR($AU174="",OFFSET(DATA!BM123,0,$AX$48)=""),"",OFFSET(DATA!BM123,0,$AX$48))</f>
        <v/>
      </c>
      <c r="AZ174" s="112" t="str">
        <f ca="1">IF(OR($AU174="",OFFSET(DATA!BO123,0,'Intermediate Data'!$AX$48)=""),"",OFFSET(DATA!BO123,0,$AX$48))</f>
        <v/>
      </c>
      <c r="BA174" s="112" t="str">
        <f ca="1">IF(OR($AU174="",DATA!BQ123=""),"",DATA!BQ123)</f>
        <v/>
      </c>
      <c r="BB174" s="112" t="str">
        <f ca="1">IF($AU174="","",OFFSET(DATA!BS123,0,$AX$48))</f>
        <v/>
      </c>
      <c r="BC174" s="112" t="str">
        <f ca="1">IF($AU174="","",OFFSET(DATA!BU123,0,$AX$48))</f>
        <v/>
      </c>
      <c r="BD174" s="112" t="str">
        <f ca="1">IF($AU174="","",OFFSET(DATA!BW123,0,$AX$48))</f>
        <v/>
      </c>
      <c r="BE174" s="112" t="str">
        <f ca="1">IF($AU174="","",OFFSET(DATA!BY123,0,$AX$48))</f>
        <v/>
      </c>
      <c r="BF174" s="112" t="str">
        <f ca="1">IF($AU174="","",OFFSET(DATA!CA123,0,$AX$48))</f>
        <v/>
      </c>
      <c r="BG174" s="112" t="str">
        <f ca="1">IF($AU174="","",DATA!CC123)</f>
        <v/>
      </c>
      <c r="BH174" s="112" t="str">
        <f ca="1">IF($AU174="","",OFFSET(DATA!CE123,0,$AX$48))</f>
        <v/>
      </c>
      <c r="BI174" s="112" t="str">
        <f ca="1">IF($AU174="","",OFFSET(DATA!CG123,0,$AX$48))</f>
        <v/>
      </c>
      <c r="BJ174" s="112" t="str">
        <f ca="1">IF($AU174="","",OFFSET(DATA!CI123,0,$AX$48))</f>
        <v/>
      </c>
      <c r="BK174" s="112" t="str">
        <f ca="1">IF($AU174="","",OFFSET(DATA!CK123,0,$AX$48))</f>
        <v/>
      </c>
      <c r="BL174" s="112" t="str">
        <f ca="1">IF($AU174="","",OFFSET(DATA!CM123,0,$AX$48))</f>
        <v/>
      </c>
      <c r="BM174" s="112" t="str">
        <f ca="1">IF($AU174="","",DATA!BH123)</f>
        <v/>
      </c>
      <c r="BN174" s="112" t="str">
        <f ca="1">IF($AU174="","",DATA!DS123)</f>
        <v/>
      </c>
      <c r="BO174" s="112" t="str">
        <f ca="1">IF($AU174="","",DATA!DU123)</f>
        <v/>
      </c>
      <c r="BP174" s="112" t="str">
        <f ca="1">IF($AU174="","",DATA!DV123)</f>
        <v/>
      </c>
      <c r="BQ174" s="112" t="str">
        <f ca="1">IF($AU174="","",DATA!DX123)</f>
        <v/>
      </c>
      <c r="BR174" s="112" t="str">
        <f ca="1">IF($AU174="","",DATA!DZ123)</f>
        <v/>
      </c>
      <c r="BS174" s="171" t="str">
        <f ca="1">IF($AU174="","",DATA!EA123)</f>
        <v/>
      </c>
      <c r="BT174" s="171" t="str">
        <f ca="1">IF($AU174="","",DATA!EC123)</f>
        <v/>
      </c>
      <c r="BU174" s="171" t="str">
        <f ca="1">IF($AU174="","",DATA!EF123)</f>
        <v/>
      </c>
      <c r="BV174" s="113" t="str">
        <f t="shared" ca="1" si="24"/>
        <v/>
      </c>
      <c r="BW174" s="680" t="str">
        <f ca="1">IF(AU174="","",OFFSET(DATA!DC123,0,'Intermediate Data'!$AX$48))</f>
        <v/>
      </c>
      <c r="BX174" s="681" t="str">
        <f ca="1">IF($AU174="","",DATA!DG123)</f>
        <v/>
      </c>
      <c r="BY174" s="680" t="str">
        <f ca="1">IF($AU174="","",OFFSET(DATA!DE123,0,'Intermediate Data'!$AX$48))</f>
        <v/>
      </c>
      <c r="BZ174" s="681" t="str">
        <f ca="1">IF($AU174="","",DATA!DH123)</f>
        <v/>
      </c>
      <c r="CA174" s="90" t="str">
        <f t="shared" ca="1" si="25"/>
        <v/>
      </c>
      <c r="CB174" s="99" t="str">
        <f t="shared" ca="1" si="26"/>
        <v/>
      </c>
      <c r="CC174" s="90" t="str">
        <f t="shared" ca="1" si="27"/>
        <v/>
      </c>
      <c r="CD174" s="90" t="str">
        <f t="shared" ca="1" si="28"/>
        <v/>
      </c>
      <c r="CF174" s="90" t="str">
        <f ca="1">IF($CD174="","",IF(OFFSET(AV$55,'Intermediate Data'!$CD174,0)=-98,"Unknown",IF(OFFSET(AV$55,'Intermediate Data'!$CD174,0)=-99,"N/A",OFFSET(AV$55,'Intermediate Data'!$CD174,0))))</f>
        <v/>
      </c>
      <c r="CG174" s="90" t="str">
        <f ca="1">IF($CD174="","",IF(OFFSET(AW$55,'Intermediate Data'!$CD174,0)=-98,"",IF(OFFSET(AW$55,'Intermediate Data'!$CD174,0)=-99,"N/A",OFFSET(AW$55,'Intermediate Data'!$CD174,0))))</f>
        <v/>
      </c>
      <c r="CH174" s="90" t="str">
        <f ca="1">IF($CD174="","",IF(OFFSET(AX$55,'Intermediate Data'!$CD174,0)=-98,"Unknown",IF(OFFSET(AX$55,'Intermediate Data'!$CD174,0)=-99,"N/A",OFFSET(AX$55,'Intermediate Data'!$CD174,0))))</f>
        <v/>
      </c>
      <c r="CI174" s="125" t="str">
        <f ca="1">IF($CD174="","",IF(OFFSET(AY$55,'Intermediate Data'!$CD174,0)=-98,"Unknown",IF(OFFSET(AY$55,'Intermediate Data'!$CD174,0)=-99,"No spec",OFFSET(AY$55,'Intermediate Data'!$CD174,0))))</f>
        <v/>
      </c>
      <c r="CJ174" s="125" t="str">
        <f ca="1">IF($CD174="","",IF(OFFSET(AZ$55,'Intermediate Data'!$CD174,0)=-98,"Unknown",IF(OFFSET(AZ$55,'Intermediate Data'!$CD174,0)=-99,"N/A",OFFSET(AZ$55,'Intermediate Data'!$CD174,0))))</f>
        <v/>
      </c>
      <c r="CK174" s="90" t="str">
        <f ca="1">IF($CD174="","",IF(OFFSET(BA$55,'Intermediate Data'!$CD174,0)=-98,"Unknown",IF(OFFSET(BA$55,'Intermediate Data'!$CD174,0)=-99,"N/A",OFFSET(BA$55,'Intermediate Data'!$CD174,0))))</f>
        <v/>
      </c>
      <c r="CL174" s="90" t="str">
        <f ca="1">IF($CD174="","",IF(OFFSET(BB$55,'Intermediate Data'!$CD174,$AX$50)=-98,"Unknown",IF(OFFSET(BB$55,'Intermediate Data'!$CD174,$AX$50)="N/A","",OFFSET(BB$55,'Intermediate Data'!$CD174,$AX$50))))</f>
        <v/>
      </c>
      <c r="CM174" s="90" t="str">
        <f ca="1">IF($CD174="","",IF(OFFSET(BG$55,'Intermediate Data'!$CD174,0)="ET","ET",""))</f>
        <v/>
      </c>
      <c r="CN174" s="90" t="str">
        <f ca="1">IF($CD174="","",IF(OFFSET(BH$55,'Intermediate Data'!$CD174,$AX$50)=-98,"Unknown",IF(OFFSET(BH$55,'Intermediate Data'!$CD174,$AX$50)="N/A","",OFFSET(BH$55,'Intermediate Data'!$CD174,$AX$50))))</f>
        <v/>
      </c>
      <c r="CO174" s="90" t="str">
        <f ca="1">IF($CD174="","",IF(OFFSET(BM$55,'Intermediate Data'!$CD174,0)=-98,"Not published",IF(OFFSET(BM$55,'Intermediate Data'!$CD174,0)=-99,"No spec",OFFSET(BM$55,'Intermediate Data'!$CD174,0))))</f>
        <v/>
      </c>
      <c r="CP174" s="114" t="str">
        <f ca="1">IF($CD174="","",IF(OFFSET(BN$55,'Intermediate Data'!$CD174,0)=-98,"Unknown",IF(OFFSET(BN$55,'Intermediate Data'!$CD174,0)=-99,"N/A",OFFSET(BN$55,'Intermediate Data'!$CD174,0))))</f>
        <v/>
      </c>
      <c r="CQ174" s="114" t="str">
        <f ca="1">IF($CD174="","",IF(OFFSET(BO$55,'Intermediate Data'!$CD174,0)=-98,"Unknown",IF(OFFSET(BO$55,'Intermediate Data'!$CD174,0)=-99,"N/A",OFFSET(BO$55,'Intermediate Data'!$CD174,0))))</f>
        <v/>
      </c>
      <c r="CR174" s="114" t="str">
        <f ca="1">IF($CD174="","",IF(OFFSET(BP$55,'Intermediate Data'!$CD174,0)=-98,"Unknown",IF(OFFSET(BP$55,'Intermediate Data'!$CD174,0)=-99,"N/A",OFFSET(BP$55,'Intermediate Data'!$CD174,0))))</f>
        <v/>
      </c>
      <c r="CS174" s="114" t="str">
        <f ca="1">IF($CD174="","",IF(OFFSET(BQ$55,'Intermediate Data'!$CD174,0)=-98,"Unknown",IF(OFFSET(BQ$55,'Intermediate Data'!$CD174,0)=-99,"N/A",OFFSET(BQ$55,'Intermediate Data'!$CD174,0))))</f>
        <v/>
      </c>
      <c r="CT174" s="114" t="str">
        <f ca="1">IF($CD174="","",IF(OFFSET(BR$55,'Intermediate Data'!$CD174,0)=-98,"Unknown",IF(OFFSET(BR$55,'Intermediate Data'!$CD174,0)=-99,"N/A",OFFSET(BR$55,'Intermediate Data'!$CD174,0))))</f>
        <v/>
      </c>
      <c r="CU174" s="114" t="str">
        <f ca="1">IF($CD174="","",IF(OFFSET(BS$55,'Intermediate Data'!$CD174,0)=-98,"Unknown",IF(OFFSET(BS$55,'Intermediate Data'!$CD174,0)=-99,"N/A",OFFSET(BS$55,'Intermediate Data'!$CD174,0))))</f>
        <v/>
      </c>
      <c r="CV174" s="114" t="str">
        <f ca="1">IF($CD174="","",IF(OFFSET(BT$55,'Intermediate Data'!$CD174,0)=-98,"Unknown",IF(OFFSET(BT$55,'Intermediate Data'!$CD174,0)=-99,"N/A",OFFSET(BT$55,'Intermediate Data'!$CD174,0))))</f>
        <v/>
      </c>
      <c r="CW174" s="114" t="str">
        <f ca="1">IF($CD174="","",IF(OFFSET(BU$55,'Intermediate Data'!$CD174,0)=-98,"Unknown",IF(OFFSET(BU$55,'Intermediate Data'!$CD174,0)=-99,"N/A",OFFSET(BU$55,'Intermediate Data'!$CD174,0))))</f>
        <v/>
      </c>
      <c r="CX174" s="114" t="str">
        <f ca="1">IF($CD174="","",IF(OFFSET(BV$55,'Intermediate Data'!$CD174,0)=-98,"Unknown",IF(OFFSET(BV$55,'Intermediate Data'!$CD174,0)=-99,"N/A",OFFSET(BV$55,'Intermediate Data'!$CD174,0))))</f>
        <v/>
      </c>
      <c r="CY174" s="682" t="str">
        <f ca="1">IF($CD174="","",IF(OFFSET(BW$55,'Intermediate Data'!$CD174,0)=-98,"Unknown",IF(OFFSET(BW$55,'Intermediate Data'!$CD174,0)="N/A","",OFFSET(BW$55,'Intermediate Data'!$CD174,0))))</f>
        <v/>
      </c>
      <c r="CZ174" s="682" t="str">
        <f ca="1">IF($CD174="","",IF(OFFSET(BX$55,'Intermediate Data'!$CD174,0)=-98,"Unknown",IF(OFFSET(BX$55,'Intermediate Data'!$CD174,0)="N/A","",OFFSET(BX$55,'Intermediate Data'!$CD174,0))))</f>
        <v/>
      </c>
      <c r="DA174" s="682" t="str">
        <f ca="1">IF($CD174="","",IF(OFFSET(BY$55,'Intermediate Data'!$CD174,0)=-98,"Unknown",IF(OFFSET(BY$55,'Intermediate Data'!$CD174,0)="N/A","",OFFSET(BY$55,'Intermediate Data'!$CD174,0))))</f>
        <v/>
      </c>
      <c r="DB174" s="682" t="str">
        <f ca="1">IF($CD174="","",IF(OFFSET(BZ$55,'Intermediate Data'!$CD174,0)=-98,"Unknown",IF(OFFSET(BZ$55,'Intermediate Data'!$CD174,0)="N/A","",OFFSET(BZ$55,'Intermediate Data'!$CD174,0))))</f>
        <v/>
      </c>
    </row>
    <row r="175" spans="1:106" x14ac:dyDescent="0.2">
      <c r="A175" s="90">
        <f ca="1">IF(OFFSET(DATA!F124,0,$D$48)='Intermediate Data'!$E$48,IF(OR($E$49=$C$27,$E$48=$B$4),DATA!A124,IF($G$49=DATA!D124,DATA!A124,"")),"")</f>
        <v>120</v>
      </c>
      <c r="B175" s="90">
        <f ca="1">IF($A175="","",DATA!EH124)</f>
        <v>72</v>
      </c>
      <c r="C175" s="90" t="str">
        <f ca="1">IF($A175="","",DATA!B124)</f>
        <v>Ice maker</v>
      </c>
      <c r="D175" s="90">
        <f ca="1">IF($A175="","",OFFSET(DATA!$H124,0,($D$50*5)))</f>
        <v>-99</v>
      </c>
      <c r="E175" s="90">
        <f ca="1">IF($A175="","",OFFSET(DATA!$H124,0,($D$50*5)+1))</f>
        <v>-99</v>
      </c>
      <c r="F175" s="90">
        <f ca="1">IF($A175="","",OFFSET(DATA!$H124,0,($D$50*5)+2))</f>
        <v>-99</v>
      </c>
      <c r="G175" s="90">
        <f ca="1">IF($A175="","",OFFSET(DATA!$H124,0,($D$50*5)+3))</f>
        <v>-99</v>
      </c>
      <c r="H175" s="90">
        <f ca="1">IF($A175="","",OFFSET(DATA!$H124,0,($D$50*5)+4))</f>
        <v>-99</v>
      </c>
      <c r="I175" s="90">
        <f t="shared" ca="1" si="17"/>
        <v>-99</v>
      </c>
      <c r="J175" s="90" t="str">
        <f t="shared" ca="1" si="18"/>
        <v/>
      </c>
      <c r="K175" s="90">
        <f ca="1">IF($A175="","",OFFSET(DATA!$AG124,0,($D$50*5)))</f>
        <v>-99</v>
      </c>
      <c r="L175" s="90">
        <f ca="1">IF($A175="","",OFFSET(DATA!$AG124,0,($D$50*5)+1))</f>
        <v>-99</v>
      </c>
      <c r="M175" s="90">
        <f ca="1">IF($A175="","",OFFSET(DATA!$AG124,0,($D$50*5)+2))</f>
        <v>-99</v>
      </c>
      <c r="N175" s="90">
        <f ca="1">IF($A175="","",OFFSET(DATA!$AG124,0,($D$50*5)+3))</f>
        <v>-99</v>
      </c>
      <c r="O175" s="90">
        <f ca="1">IF($A175="","",OFFSET(DATA!$AG124,0,($D$50*5)+4))</f>
        <v>-99</v>
      </c>
      <c r="P175" s="90">
        <f t="shared" ca="1" si="19"/>
        <v>-99</v>
      </c>
      <c r="Q175" s="90" t="str">
        <f t="shared" ca="1" si="20"/>
        <v/>
      </c>
      <c r="R175" s="699">
        <f ca="1">IF($A175="","",IF(DATA!BF124="",-99,DATA!BF124))</f>
        <v>-99</v>
      </c>
      <c r="S175" s="90">
        <f ca="1">IF($A175="","",IF(DATA!BG124="",-99,DATA!BF124-DATA!BG124))</f>
        <v>-99</v>
      </c>
      <c r="T175" s="90">
        <f ca="1">IF($A175="","",DATA!BH124)</f>
        <v>-99</v>
      </c>
      <c r="U175" s="90">
        <f ca="1">IF($A175="","",OFFSET(DATA!BM124,0,$D$48))</f>
        <v>-99</v>
      </c>
      <c r="V175" s="90">
        <f t="shared" ca="1" si="29"/>
        <v>72</v>
      </c>
      <c r="W175" s="99">
        <f t="shared" ca="1" si="21"/>
        <v>71.99988120175</v>
      </c>
      <c r="X175" s="112">
        <f t="shared" ca="1" si="22"/>
        <v>8.9998812010200009</v>
      </c>
      <c r="Y175" s="90">
        <f t="shared" ca="1" si="23"/>
        <v>47</v>
      </c>
      <c r="AA175" s="90" t="str">
        <f ca="1">IF($Y175="","",IF(OFFSET(C$55,'Intermediate Data'!$Y175,0)=-98,"Unknown",IF(OFFSET(C$55,'Intermediate Data'!$Y175,0)=-99,"N/A",OFFSET(C$55,'Intermediate Data'!$Y175,0))))</f>
        <v>Warmer - Baby bottle/Food</v>
      </c>
      <c r="AB175" s="90" t="str">
        <f ca="1">IF($Y175="","",IF(OFFSET(D$55,'Intermediate Data'!$Y175,0)=-98,"N/A",IF(OFFSET(D$55,'Intermediate Data'!$Y175,0)=-99,"N/A",OFFSET(D$55,'Intermediate Data'!$Y175,0))))</f>
        <v>N/A</v>
      </c>
      <c r="AC175" s="90" t="str">
        <f ca="1">IF($Y175="","",IF(OFFSET(E$55,'Intermediate Data'!$Y175,0)=-98,"N/A",IF(OFFSET(E$55,'Intermediate Data'!$Y175,0)=-99,"N/A",OFFSET(E$55,'Intermediate Data'!$Y175,0))))</f>
        <v>N/A</v>
      </c>
      <c r="AD175" s="90" t="str">
        <f ca="1">IF($Y175="","",IF(OFFSET(F$55,'Intermediate Data'!$Y175,0)=-98,"N/A",IF(OFFSET(F$55,'Intermediate Data'!$Y175,0)=-99,"N/A",OFFSET(F$55,'Intermediate Data'!$Y175,0))))</f>
        <v>N/A</v>
      </c>
      <c r="AE175" s="90" t="str">
        <f ca="1">IF($Y175="","",IF(OFFSET(G$55,'Intermediate Data'!$Y175,0)=-98,"N/A",IF(OFFSET(G$55,'Intermediate Data'!$Y175,0)=-99,"N/A",OFFSET(G$55,'Intermediate Data'!$Y175,0))))</f>
        <v>N/A</v>
      </c>
      <c r="AF175" s="90" t="str">
        <f ca="1">IF($Y175="","",IF(OFFSET(H$55,'Intermediate Data'!$Y175,0)=-98,"N/A",IF(OFFSET(H$55,'Intermediate Data'!$Y175,0)=-99,"N/A",OFFSET(H$55,'Intermediate Data'!$Y175,0))))</f>
        <v>N/A</v>
      </c>
      <c r="AG175" s="90" t="str">
        <f ca="1">IF($Y175="","",IF(OFFSET(I$55,'Intermediate Data'!$Y175,0)=-98,"N/A",IF(OFFSET(I$55,'Intermediate Data'!$Y175,0)=-99,"N/A",OFFSET(I$55,'Intermediate Data'!$Y175,0))))</f>
        <v>N/A</v>
      </c>
      <c r="AH175" s="90" t="str">
        <f ca="1">IF($Y175="","",IF(OFFSET(J$55,'Intermediate Data'!$Y175,0)=-98,"N/A",IF(OFFSET(J$55,'Intermediate Data'!$Y175,0)=-99,"N/A",OFFSET(J$55,'Intermediate Data'!$Y175,0))))</f>
        <v/>
      </c>
      <c r="AI175" s="90" t="str">
        <f ca="1">IF($Y175="","",IF(OFFSET(K$55,'Intermediate Data'!$Y175,0)=-98,"N/A",IF(OFFSET(K$55,'Intermediate Data'!$Y175,0)=-99,"N/A",OFFSET(K$55,'Intermediate Data'!$Y175,0))))</f>
        <v>N/A</v>
      </c>
      <c r="AJ175" s="90" t="str">
        <f ca="1">IF($Y175="","",IF(OFFSET(L$55,'Intermediate Data'!$Y175,0)=-98,"N/A",IF(OFFSET(L$55,'Intermediate Data'!$Y175,0)=-99,"N/A",OFFSET(L$55,'Intermediate Data'!$Y175,0))))</f>
        <v>N/A</v>
      </c>
      <c r="AK175" s="90" t="str">
        <f ca="1">IF($Y175="","",IF(OFFSET(M$55,'Intermediate Data'!$Y175,0)=-98,"N/A",IF(OFFSET(M$55,'Intermediate Data'!$Y175,0)=-99,"N/A",OFFSET(M$55,'Intermediate Data'!$Y175,0))))</f>
        <v>N/A</v>
      </c>
      <c r="AL175" s="90" t="str">
        <f ca="1">IF($Y175="","",IF(OFFSET(N$55,'Intermediate Data'!$Y175,0)=-98,"N/A",IF(OFFSET(N$55,'Intermediate Data'!$Y175,0)=-99,"N/A",OFFSET(N$55,'Intermediate Data'!$Y175,0))))</f>
        <v>N/A</v>
      </c>
      <c r="AM175" s="90" t="str">
        <f ca="1">IF($Y175="","",IF(OFFSET(O$55,'Intermediate Data'!$Y175,0)=-98,"N/A",IF(OFFSET(O$55,'Intermediate Data'!$Y175,0)=-99,"N/A",OFFSET(O$55,'Intermediate Data'!$Y175,0))))</f>
        <v>N/A</v>
      </c>
      <c r="AN175" s="90" t="str">
        <f ca="1">IF($Y175="","",IF(OFFSET(P$55,'Intermediate Data'!$Y175,0)=-98,"N/A",IF(OFFSET(P$55,'Intermediate Data'!$Y175,0)=-99,"N/A",OFFSET(P$55,'Intermediate Data'!$Y175,0))))</f>
        <v>N/A</v>
      </c>
      <c r="AO175" s="90" t="str">
        <f ca="1">IF($Y175="","",IF(OFFSET(Q$55,'Intermediate Data'!$Y175,0)=-98,"N/A",IF(OFFSET(Q$55,'Intermediate Data'!$Y175,0)=-99,"N/A",OFFSET(Q$55,'Intermediate Data'!$Y175,0))))</f>
        <v/>
      </c>
      <c r="AP175" s="697" t="str">
        <f ca="1">IF($Y175="","",IF(OFFSET(S$55,'Intermediate Data'!$Y175,0)=-98,"",IF(OFFSET(S$55,'Intermediate Data'!$Y175,0)=-99,"",OFFSET(S$55,'Intermediate Data'!$Y175,0))))</f>
        <v/>
      </c>
      <c r="AQ175" s="90" t="str">
        <f ca="1">IF($Y175="","",IF(OFFSET(T$55,'Intermediate Data'!$Y175,0)=-98,"Not published",IF(OFFSET(T$55,'Intermediate Data'!$Y175,0)=-99,"",OFFSET(T$55,'Intermediate Data'!$Y175,0))))</f>
        <v/>
      </c>
      <c r="AR175" s="90" t="str">
        <f ca="1">IF($Y175="","",IF(OFFSET(U$55,'Intermediate Data'!$Y175,0)=-98,"Unknown",IF(OFFSET(U$55,'Intermediate Data'!$Y175,0)=-99,"",OFFSET(U$55,'Intermediate Data'!$Y175,0))))</f>
        <v/>
      </c>
      <c r="AU175" s="112" t="str">
        <f ca="1">IF(AND(OFFSET(DATA!$F124,0,$AX$48)='Intermediate Data'!$AY$48,DATA!$E124="Tier 1"),IF(OR($AX$49=0,$AX$48=1),DATA!A124,IF(AND($AX$49=1,INDEX('Intermediate Data'!$AY$25:$AY$44,MATCH(DATA!$B124,'Intermediate Data'!$AX$25:$AX$44,0))=TRUE),DATA!A124,"")),"")</f>
        <v/>
      </c>
      <c r="AV175" s="112" t="str">
        <f ca="1">IF($AU175="","",DATA!B124)</f>
        <v/>
      </c>
      <c r="AW175" s="112" t="str">
        <f ca="1">IF(OR($AU175="",DATA!BI124=""),"",DATA!BI124)</f>
        <v/>
      </c>
      <c r="AX175" s="112" t="str">
        <f ca="1">IF(OR($AU175="",OFFSET(DATA!BK124,0,$AX$48)=""),"",OFFSET(DATA!BK124,0,$AX$48))</f>
        <v/>
      </c>
      <c r="AY175" s="112" t="str">
        <f ca="1">IF(OR($AU175="",OFFSET(DATA!BM124,0,$AX$48)=""),"",OFFSET(DATA!BM124,0,$AX$48))</f>
        <v/>
      </c>
      <c r="AZ175" s="112" t="str">
        <f ca="1">IF(OR($AU175="",OFFSET(DATA!BO124,0,'Intermediate Data'!$AX$48)=""),"",OFFSET(DATA!BO124,0,$AX$48))</f>
        <v/>
      </c>
      <c r="BA175" s="112" t="str">
        <f ca="1">IF(OR($AU175="",DATA!BQ124=""),"",DATA!BQ124)</f>
        <v/>
      </c>
      <c r="BB175" s="112" t="str">
        <f ca="1">IF($AU175="","",OFFSET(DATA!BS124,0,$AX$48))</f>
        <v/>
      </c>
      <c r="BC175" s="112" t="str">
        <f ca="1">IF($AU175="","",OFFSET(DATA!BU124,0,$AX$48))</f>
        <v/>
      </c>
      <c r="BD175" s="112" t="str">
        <f ca="1">IF($AU175="","",OFFSET(DATA!BW124,0,$AX$48))</f>
        <v/>
      </c>
      <c r="BE175" s="112" t="str">
        <f ca="1">IF($AU175="","",OFFSET(DATA!BY124,0,$AX$48))</f>
        <v/>
      </c>
      <c r="BF175" s="112" t="str">
        <f ca="1">IF($AU175="","",OFFSET(DATA!CA124,0,$AX$48))</f>
        <v/>
      </c>
      <c r="BG175" s="112" t="str">
        <f ca="1">IF($AU175="","",DATA!CC124)</f>
        <v/>
      </c>
      <c r="BH175" s="112" t="str">
        <f ca="1">IF($AU175="","",OFFSET(DATA!CE124,0,$AX$48))</f>
        <v/>
      </c>
      <c r="BI175" s="112" t="str">
        <f ca="1">IF($AU175="","",OFFSET(DATA!CG124,0,$AX$48))</f>
        <v/>
      </c>
      <c r="BJ175" s="112" t="str">
        <f ca="1">IF($AU175="","",OFFSET(DATA!CI124,0,$AX$48))</f>
        <v/>
      </c>
      <c r="BK175" s="112" t="str">
        <f ca="1">IF($AU175="","",OFFSET(DATA!CK124,0,$AX$48))</f>
        <v/>
      </c>
      <c r="BL175" s="112" t="str">
        <f ca="1">IF($AU175="","",OFFSET(DATA!CM124,0,$AX$48))</f>
        <v/>
      </c>
      <c r="BM175" s="112" t="str">
        <f ca="1">IF($AU175="","",DATA!BH124)</f>
        <v/>
      </c>
      <c r="BN175" s="112" t="str">
        <f ca="1">IF($AU175="","",DATA!DS124)</f>
        <v/>
      </c>
      <c r="BO175" s="112" t="str">
        <f ca="1">IF($AU175="","",DATA!DU124)</f>
        <v/>
      </c>
      <c r="BP175" s="112" t="str">
        <f ca="1">IF($AU175="","",DATA!DV124)</f>
        <v/>
      </c>
      <c r="BQ175" s="112" t="str">
        <f ca="1">IF($AU175="","",DATA!DX124)</f>
        <v/>
      </c>
      <c r="BR175" s="112" t="str">
        <f ca="1">IF($AU175="","",DATA!DZ124)</f>
        <v/>
      </c>
      <c r="BS175" s="171" t="str">
        <f ca="1">IF($AU175="","",DATA!EA124)</f>
        <v/>
      </c>
      <c r="BT175" s="171" t="str">
        <f ca="1">IF($AU175="","",DATA!EC124)</f>
        <v/>
      </c>
      <c r="BU175" s="171" t="str">
        <f ca="1">IF($AU175="","",DATA!EF124)</f>
        <v/>
      </c>
      <c r="BV175" s="113" t="str">
        <f t="shared" ca="1" si="24"/>
        <v/>
      </c>
      <c r="BW175" s="680" t="str">
        <f ca="1">IF(AU175="","",OFFSET(DATA!DC124,0,'Intermediate Data'!$AX$48))</f>
        <v/>
      </c>
      <c r="BX175" s="681" t="str">
        <f ca="1">IF($AU175="","",DATA!DG124)</f>
        <v/>
      </c>
      <c r="BY175" s="680" t="str">
        <f ca="1">IF($AU175="","",OFFSET(DATA!DE124,0,'Intermediate Data'!$AX$48))</f>
        <v/>
      </c>
      <c r="BZ175" s="681" t="str">
        <f ca="1">IF($AU175="","",DATA!DH124)</f>
        <v/>
      </c>
      <c r="CA175" s="90" t="str">
        <f t="shared" ca="1" si="25"/>
        <v/>
      </c>
      <c r="CB175" s="99" t="str">
        <f t="shared" ca="1" si="26"/>
        <v/>
      </c>
      <c r="CC175" s="90" t="str">
        <f t="shared" ca="1" si="27"/>
        <v/>
      </c>
      <c r="CD175" s="90" t="str">
        <f t="shared" ca="1" si="28"/>
        <v/>
      </c>
      <c r="CF175" s="90" t="str">
        <f ca="1">IF($CD175="","",IF(OFFSET(AV$55,'Intermediate Data'!$CD175,0)=-98,"Unknown",IF(OFFSET(AV$55,'Intermediate Data'!$CD175,0)=-99,"N/A",OFFSET(AV$55,'Intermediate Data'!$CD175,0))))</f>
        <v/>
      </c>
      <c r="CG175" s="90" t="str">
        <f ca="1">IF($CD175="","",IF(OFFSET(AW$55,'Intermediate Data'!$CD175,0)=-98,"",IF(OFFSET(AW$55,'Intermediate Data'!$CD175,0)=-99,"N/A",OFFSET(AW$55,'Intermediate Data'!$CD175,0))))</f>
        <v/>
      </c>
      <c r="CH175" s="90" t="str">
        <f ca="1">IF($CD175="","",IF(OFFSET(AX$55,'Intermediate Data'!$CD175,0)=-98,"Unknown",IF(OFFSET(AX$55,'Intermediate Data'!$CD175,0)=-99,"N/A",OFFSET(AX$55,'Intermediate Data'!$CD175,0))))</f>
        <v/>
      </c>
      <c r="CI175" s="125" t="str">
        <f ca="1">IF($CD175="","",IF(OFFSET(AY$55,'Intermediate Data'!$CD175,0)=-98,"Unknown",IF(OFFSET(AY$55,'Intermediate Data'!$CD175,0)=-99,"No spec",OFFSET(AY$55,'Intermediate Data'!$CD175,0))))</f>
        <v/>
      </c>
      <c r="CJ175" s="125" t="str">
        <f ca="1">IF($CD175="","",IF(OFFSET(AZ$55,'Intermediate Data'!$CD175,0)=-98,"Unknown",IF(OFFSET(AZ$55,'Intermediate Data'!$CD175,0)=-99,"N/A",OFFSET(AZ$55,'Intermediate Data'!$CD175,0))))</f>
        <v/>
      </c>
      <c r="CK175" s="90" t="str">
        <f ca="1">IF($CD175="","",IF(OFFSET(BA$55,'Intermediate Data'!$CD175,0)=-98,"Unknown",IF(OFFSET(BA$55,'Intermediate Data'!$CD175,0)=-99,"N/A",OFFSET(BA$55,'Intermediate Data'!$CD175,0))))</f>
        <v/>
      </c>
      <c r="CL175" s="90" t="str">
        <f ca="1">IF($CD175="","",IF(OFFSET(BB$55,'Intermediate Data'!$CD175,$AX$50)=-98,"Unknown",IF(OFFSET(BB$55,'Intermediate Data'!$CD175,$AX$50)="N/A","",OFFSET(BB$55,'Intermediate Data'!$CD175,$AX$50))))</f>
        <v/>
      </c>
      <c r="CM175" s="90" t="str">
        <f ca="1">IF($CD175="","",IF(OFFSET(BG$55,'Intermediate Data'!$CD175,0)="ET","ET",""))</f>
        <v/>
      </c>
      <c r="CN175" s="90" t="str">
        <f ca="1">IF($CD175="","",IF(OFFSET(BH$55,'Intermediate Data'!$CD175,$AX$50)=-98,"Unknown",IF(OFFSET(BH$55,'Intermediate Data'!$CD175,$AX$50)="N/A","",OFFSET(BH$55,'Intermediate Data'!$CD175,$AX$50))))</f>
        <v/>
      </c>
      <c r="CO175" s="90" t="str">
        <f ca="1">IF($CD175="","",IF(OFFSET(BM$55,'Intermediate Data'!$CD175,0)=-98,"Not published",IF(OFFSET(BM$55,'Intermediate Data'!$CD175,0)=-99,"No spec",OFFSET(BM$55,'Intermediate Data'!$CD175,0))))</f>
        <v/>
      </c>
      <c r="CP175" s="114" t="str">
        <f ca="1">IF($CD175="","",IF(OFFSET(BN$55,'Intermediate Data'!$CD175,0)=-98,"Unknown",IF(OFFSET(BN$55,'Intermediate Data'!$CD175,0)=-99,"N/A",OFFSET(BN$55,'Intermediate Data'!$CD175,0))))</f>
        <v/>
      </c>
      <c r="CQ175" s="114" t="str">
        <f ca="1">IF($CD175="","",IF(OFFSET(BO$55,'Intermediate Data'!$CD175,0)=-98,"Unknown",IF(OFFSET(BO$55,'Intermediate Data'!$CD175,0)=-99,"N/A",OFFSET(BO$55,'Intermediate Data'!$CD175,0))))</f>
        <v/>
      </c>
      <c r="CR175" s="114" t="str">
        <f ca="1">IF($CD175="","",IF(OFFSET(BP$55,'Intermediate Data'!$CD175,0)=-98,"Unknown",IF(OFFSET(BP$55,'Intermediate Data'!$CD175,0)=-99,"N/A",OFFSET(BP$55,'Intermediate Data'!$CD175,0))))</f>
        <v/>
      </c>
      <c r="CS175" s="114" t="str">
        <f ca="1">IF($CD175="","",IF(OFFSET(BQ$55,'Intermediate Data'!$CD175,0)=-98,"Unknown",IF(OFFSET(BQ$55,'Intermediate Data'!$CD175,0)=-99,"N/A",OFFSET(BQ$55,'Intermediate Data'!$CD175,0))))</f>
        <v/>
      </c>
      <c r="CT175" s="114" t="str">
        <f ca="1">IF($CD175="","",IF(OFFSET(BR$55,'Intermediate Data'!$CD175,0)=-98,"Unknown",IF(OFFSET(BR$55,'Intermediate Data'!$CD175,0)=-99,"N/A",OFFSET(BR$55,'Intermediate Data'!$CD175,0))))</f>
        <v/>
      </c>
      <c r="CU175" s="114" t="str">
        <f ca="1">IF($CD175="","",IF(OFFSET(BS$55,'Intermediate Data'!$CD175,0)=-98,"Unknown",IF(OFFSET(BS$55,'Intermediate Data'!$CD175,0)=-99,"N/A",OFFSET(BS$55,'Intermediate Data'!$CD175,0))))</f>
        <v/>
      </c>
      <c r="CV175" s="114" t="str">
        <f ca="1">IF($CD175="","",IF(OFFSET(BT$55,'Intermediate Data'!$CD175,0)=-98,"Unknown",IF(OFFSET(BT$55,'Intermediate Data'!$CD175,0)=-99,"N/A",OFFSET(BT$55,'Intermediate Data'!$CD175,0))))</f>
        <v/>
      </c>
      <c r="CW175" s="114" t="str">
        <f ca="1">IF($CD175="","",IF(OFFSET(BU$55,'Intermediate Data'!$CD175,0)=-98,"Unknown",IF(OFFSET(BU$55,'Intermediate Data'!$CD175,0)=-99,"N/A",OFFSET(BU$55,'Intermediate Data'!$CD175,0))))</f>
        <v/>
      </c>
      <c r="CX175" s="114" t="str">
        <f ca="1">IF($CD175="","",IF(OFFSET(BV$55,'Intermediate Data'!$CD175,0)=-98,"Unknown",IF(OFFSET(BV$55,'Intermediate Data'!$CD175,0)=-99,"N/A",OFFSET(BV$55,'Intermediate Data'!$CD175,0))))</f>
        <v/>
      </c>
      <c r="CY175" s="682" t="str">
        <f ca="1">IF($CD175="","",IF(OFFSET(BW$55,'Intermediate Data'!$CD175,0)=-98,"Unknown",IF(OFFSET(BW$55,'Intermediate Data'!$CD175,0)="N/A","",OFFSET(BW$55,'Intermediate Data'!$CD175,0))))</f>
        <v/>
      </c>
      <c r="CZ175" s="682" t="str">
        <f ca="1">IF($CD175="","",IF(OFFSET(BX$55,'Intermediate Data'!$CD175,0)=-98,"Unknown",IF(OFFSET(BX$55,'Intermediate Data'!$CD175,0)="N/A","",OFFSET(BX$55,'Intermediate Data'!$CD175,0))))</f>
        <v/>
      </c>
      <c r="DA175" s="682" t="str">
        <f ca="1">IF($CD175="","",IF(OFFSET(BY$55,'Intermediate Data'!$CD175,0)=-98,"Unknown",IF(OFFSET(BY$55,'Intermediate Data'!$CD175,0)="N/A","",OFFSET(BY$55,'Intermediate Data'!$CD175,0))))</f>
        <v/>
      </c>
      <c r="DB175" s="682" t="str">
        <f ca="1">IF($CD175="","",IF(OFFSET(BZ$55,'Intermediate Data'!$CD175,0)=-98,"Unknown",IF(OFFSET(BZ$55,'Intermediate Data'!$CD175,0)="N/A","",OFFSET(BZ$55,'Intermediate Data'!$CD175,0))))</f>
        <v/>
      </c>
    </row>
    <row r="176" spans="1:106" x14ac:dyDescent="0.2">
      <c r="A176" s="90">
        <f ca="1">IF(OFFSET(DATA!F125,0,$D$48)='Intermediate Data'!$E$48,IF(OR($E$49=$C$27,$E$48=$B$4),DATA!A125,IF($G$49=DATA!D125,DATA!A125,"")),"")</f>
        <v>121</v>
      </c>
      <c r="B176" s="90">
        <f ca="1">IF($A176="","",DATA!EH125)</f>
        <v>7</v>
      </c>
      <c r="C176" s="90" t="str">
        <f ca="1">IF($A176="","",DATA!B125)</f>
        <v>Water cooler</v>
      </c>
      <c r="D176" s="90">
        <f ca="1">IF($A176="","",OFFSET(DATA!$H125,0,($D$50*5)))</f>
        <v>-99</v>
      </c>
      <c r="E176" s="90">
        <f ca="1">IF($A176="","",OFFSET(DATA!$H125,0,($D$50*5)+1))</f>
        <v>-99</v>
      </c>
      <c r="F176" s="90">
        <f ca="1">IF($A176="","",OFFSET(DATA!$H125,0,($D$50*5)+2))</f>
        <v>-99</v>
      </c>
      <c r="G176" s="90">
        <f ca="1">IF($A176="","",OFFSET(DATA!$H125,0,($D$50*5)+3))</f>
        <v>-99</v>
      </c>
      <c r="H176" s="90">
        <f ca="1">IF($A176="","",OFFSET(DATA!$H125,0,($D$50*5)+4))</f>
        <v>-99</v>
      </c>
      <c r="I176" s="90">
        <f t="shared" ca="1" si="17"/>
        <v>-99</v>
      </c>
      <c r="J176" s="90" t="str">
        <f t="shared" ca="1" si="18"/>
        <v/>
      </c>
      <c r="K176" s="90">
        <f ca="1">IF($A176="","",OFFSET(DATA!$AG125,0,($D$50*5)))</f>
        <v>-99</v>
      </c>
      <c r="L176" s="90">
        <f ca="1">IF($A176="","",OFFSET(DATA!$AG125,0,($D$50*5)+1))</f>
        <v>-99</v>
      </c>
      <c r="M176" s="90">
        <f ca="1">IF($A176="","",OFFSET(DATA!$AG125,0,($D$50*5)+2))</f>
        <v>-99</v>
      </c>
      <c r="N176" s="90">
        <f ca="1">IF($A176="","",OFFSET(DATA!$AG125,0,($D$50*5)+3))</f>
        <v>-99</v>
      </c>
      <c r="O176" s="90">
        <f ca="1">IF($A176="","",OFFSET(DATA!$AG125,0,($D$50*5)+4))</f>
        <v>-99</v>
      </c>
      <c r="P176" s="90">
        <f t="shared" ca="1" si="19"/>
        <v>-99</v>
      </c>
      <c r="Q176" s="90" t="str">
        <f t="shared" ca="1" si="20"/>
        <v/>
      </c>
      <c r="R176" s="699">
        <f ca="1">IF($A176="","",IF(DATA!BF125="",-99,DATA!BF125))</f>
        <v>-99</v>
      </c>
      <c r="S176" s="90">
        <f ca="1">IF($A176="","",IF(DATA!BG125="",-99,DATA!BF125-DATA!BG125))</f>
        <v>-99</v>
      </c>
      <c r="T176" s="90">
        <f ca="1">IF($A176="","",DATA!BH125)</f>
        <v>0.86</v>
      </c>
      <c r="U176" s="90">
        <f ca="1">IF($A176="","",OFFSET(DATA!BM125,0,$D$48))</f>
        <v>-99</v>
      </c>
      <c r="V176" s="90">
        <f t="shared" ca="1" si="29"/>
        <v>7</v>
      </c>
      <c r="W176" s="99">
        <f t="shared" ca="1" si="21"/>
        <v>6.9998911877600003</v>
      </c>
      <c r="X176" s="112">
        <f t="shared" ca="1" si="22"/>
        <v>7.99988120083</v>
      </c>
      <c r="Y176" s="90">
        <f t="shared" ca="1" si="23"/>
        <v>28</v>
      </c>
      <c r="AA176" s="90" t="str">
        <f ca="1">IF($Y176="","",IF(OFFSET(C$55,'Intermediate Data'!$Y176,0)=-98,"Unknown",IF(OFFSET(C$55,'Intermediate Data'!$Y176,0)=-99,"N/A",OFFSET(C$55,'Intermediate Data'!$Y176,0))))</f>
        <v>Waste disposal/Insink-erator</v>
      </c>
      <c r="AB176" s="90" t="str">
        <f ca="1">IF($Y176="","",IF(OFFSET(D$55,'Intermediate Data'!$Y176,0)=-98,"N/A",IF(OFFSET(D$55,'Intermediate Data'!$Y176,0)=-99,"N/A",OFFSET(D$55,'Intermediate Data'!$Y176,0))))</f>
        <v>N/A</v>
      </c>
      <c r="AC176" s="90" t="str">
        <f ca="1">IF($Y176="","",IF(OFFSET(E$55,'Intermediate Data'!$Y176,0)=-98,"N/A",IF(OFFSET(E$55,'Intermediate Data'!$Y176,0)=-99,"N/A",OFFSET(E$55,'Intermediate Data'!$Y176,0))))</f>
        <v>N/A</v>
      </c>
      <c r="AD176" s="90" t="str">
        <f ca="1">IF($Y176="","",IF(OFFSET(F$55,'Intermediate Data'!$Y176,0)=-98,"N/A",IF(OFFSET(F$55,'Intermediate Data'!$Y176,0)=-99,"N/A",OFFSET(F$55,'Intermediate Data'!$Y176,0))))</f>
        <v>N/A</v>
      </c>
      <c r="AE176" s="90" t="str">
        <f ca="1">IF($Y176="","",IF(OFFSET(G$55,'Intermediate Data'!$Y176,0)=-98,"N/A",IF(OFFSET(G$55,'Intermediate Data'!$Y176,0)=-99,"N/A",OFFSET(G$55,'Intermediate Data'!$Y176,0))))</f>
        <v>N/A</v>
      </c>
      <c r="AF176" s="90" t="str">
        <f ca="1">IF($Y176="","",IF(OFFSET(H$55,'Intermediate Data'!$Y176,0)=-98,"N/A",IF(OFFSET(H$55,'Intermediate Data'!$Y176,0)=-99,"N/A",OFFSET(H$55,'Intermediate Data'!$Y176,0))))</f>
        <v>N/A</v>
      </c>
      <c r="AG176" s="90" t="str">
        <f ca="1">IF($Y176="","",IF(OFFSET(I$55,'Intermediate Data'!$Y176,0)=-98,"N/A",IF(OFFSET(I$55,'Intermediate Data'!$Y176,0)=-99,"N/A",OFFSET(I$55,'Intermediate Data'!$Y176,0))))</f>
        <v>N/A</v>
      </c>
      <c r="AH176" s="90" t="str">
        <f ca="1">IF($Y176="","",IF(OFFSET(J$55,'Intermediate Data'!$Y176,0)=-98,"N/A",IF(OFFSET(J$55,'Intermediate Data'!$Y176,0)=-99,"N/A",OFFSET(J$55,'Intermediate Data'!$Y176,0))))</f>
        <v/>
      </c>
      <c r="AI176" s="90" t="str">
        <f ca="1">IF($Y176="","",IF(OFFSET(K$55,'Intermediate Data'!$Y176,0)=-98,"N/A",IF(OFFSET(K$55,'Intermediate Data'!$Y176,0)=-99,"N/A",OFFSET(K$55,'Intermediate Data'!$Y176,0))))</f>
        <v>N/A</v>
      </c>
      <c r="AJ176" s="90" t="str">
        <f ca="1">IF($Y176="","",IF(OFFSET(L$55,'Intermediate Data'!$Y176,0)=-98,"N/A",IF(OFFSET(L$55,'Intermediate Data'!$Y176,0)=-99,"N/A",OFFSET(L$55,'Intermediate Data'!$Y176,0))))</f>
        <v>N/A</v>
      </c>
      <c r="AK176" s="90" t="str">
        <f ca="1">IF($Y176="","",IF(OFFSET(M$55,'Intermediate Data'!$Y176,0)=-98,"N/A",IF(OFFSET(M$55,'Intermediate Data'!$Y176,0)=-99,"N/A",OFFSET(M$55,'Intermediate Data'!$Y176,0))))</f>
        <v>N/A</v>
      </c>
      <c r="AL176" s="90" t="str">
        <f ca="1">IF($Y176="","",IF(OFFSET(N$55,'Intermediate Data'!$Y176,0)=-98,"N/A",IF(OFFSET(N$55,'Intermediate Data'!$Y176,0)=-99,"N/A",OFFSET(N$55,'Intermediate Data'!$Y176,0))))</f>
        <v>N/A</v>
      </c>
      <c r="AM176" s="90" t="str">
        <f ca="1">IF($Y176="","",IF(OFFSET(O$55,'Intermediate Data'!$Y176,0)=-98,"N/A",IF(OFFSET(O$55,'Intermediate Data'!$Y176,0)=-99,"N/A",OFFSET(O$55,'Intermediate Data'!$Y176,0))))</f>
        <v>N/A</v>
      </c>
      <c r="AN176" s="90" t="str">
        <f ca="1">IF($Y176="","",IF(OFFSET(P$55,'Intermediate Data'!$Y176,0)=-98,"N/A",IF(OFFSET(P$55,'Intermediate Data'!$Y176,0)=-99,"N/A",OFFSET(P$55,'Intermediate Data'!$Y176,0))))</f>
        <v>N/A</v>
      </c>
      <c r="AO176" s="90" t="str">
        <f ca="1">IF($Y176="","",IF(OFFSET(Q$55,'Intermediate Data'!$Y176,0)=-98,"N/A",IF(OFFSET(Q$55,'Intermediate Data'!$Y176,0)=-99,"N/A",OFFSET(Q$55,'Intermediate Data'!$Y176,0))))</f>
        <v/>
      </c>
      <c r="AP176" s="697" t="str">
        <f ca="1">IF($Y176="","",IF(OFFSET(S$55,'Intermediate Data'!$Y176,0)=-98,"",IF(OFFSET(S$55,'Intermediate Data'!$Y176,0)=-99,"",OFFSET(S$55,'Intermediate Data'!$Y176,0))))</f>
        <v/>
      </c>
      <c r="AQ176" s="90" t="str">
        <f ca="1">IF($Y176="","",IF(OFFSET(T$55,'Intermediate Data'!$Y176,0)=-98,"Not published",IF(OFFSET(T$55,'Intermediate Data'!$Y176,0)=-99,"",OFFSET(T$55,'Intermediate Data'!$Y176,0))))</f>
        <v/>
      </c>
      <c r="AR176" s="90" t="str">
        <f ca="1">IF($Y176="","",IF(OFFSET(U$55,'Intermediate Data'!$Y176,0)=-98,"Unknown",IF(OFFSET(U$55,'Intermediate Data'!$Y176,0)=-99,"",OFFSET(U$55,'Intermediate Data'!$Y176,0))))</f>
        <v/>
      </c>
      <c r="AU176" s="112" t="str">
        <f ca="1">IF(AND(OFFSET(DATA!$F125,0,$AX$48)='Intermediate Data'!$AY$48,DATA!$E125="Tier 1"),IF(OR($AX$49=0,$AX$48=1),DATA!A125,IF(AND($AX$49=1,INDEX('Intermediate Data'!$AY$25:$AY$44,MATCH(DATA!$B125,'Intermediate Data'!$AX$25:$AX$44,0))=TRUE),DATA!A125,"")),"")</f>
        <v/>
      </c>
      <c r="AV176" s="112" t="str">
        <f ca="1">IF($AU176="","",DATA!B125)</f>
        <v/>
      </c>
      <c r="AW176" s="112" t="str">
        <f ca="1">IF(OR($AU176="",DATA!BI125=""),"",DATA!BI125)</f>
        <v/>
      </c>
      <c r="AX176" s="112" t="str">
        <f ca="1">IF(OR($AU176="",OFFSET(DATA!BK125,0,$AX$48)=""),"",OFFSET(DATA!BK125,0,$AX$48))</f>
        <v/>
      </c>
      <c r="AY176" s="112" t="str">
        <f ca="1">IF(OR($AU176="",OFFSET(DATA!BM125,0,$AX$48)=""),"",OFFSET(DATA!BM125,0,$AX$48))</f>
        <v/>
      </c>
      <c r="AZ176" s="112" t="str">
        <f ca="1">IF(OR($AU176="",OFFSET(DATA!BO125,0,'Intermediate Data'!$AX$48)=""),"",OFFSET(DATA!BO125,0,$AX$48))</f>
        <v/>
      </c>
      <c r="BA176" s="112" t="str">
        <f ca="1">IF(OR($AU176="",DATA!BQ125=""),"",DATA!BQ125)</f>
        <v/>
      </c>
      <c r="BB176" s="112" t="str">
        <f ca="1">IF($AU176="","",OFFSET(DATA!BS125,0,$AX$48))</f>
        <v/>
      </c>
      <c r="BC176" s="112" t="str">
        <f ca="1">IF($AU176="","",OFFSET(DATA!BU125,0,$AX$48))</f>
        <v/>
      </c>
      <c r="BD176" s="112" t="str">
        <f ca="1">IF($AU176="","",OFFSET(DATA!BW125,0,$AX$48))</f>
        <v/>
      </c>
      <c r="BE176" s="112" t="str">
        <f ca="1">IF($AU176="","",OFFSET(DATA!BY125,0,$AX$48))</f>
        <v/>
      </c>
      <c r="BF176" s="112" t="str">
        <f ca="1">IF($AU176="","",OFFSET(DATA!CA125,0,$AX$48))</f>
        <v/>
      </c>
      <c r="BG176" s="112" t="str">
        <f ca="1">IF($AU176="","",DATA!CC125)</f>
        <v/>
      </c>
      <c r="BH176" s="112" t="str">
        <f ca="1">IF($AU176="","",OFFSET(DATA!CE125,0,$AX$48))</f>
        <v/>
      </c>
      <c r="BI176" s="112" t="str">
        <f ca="1">IF($AU176="","",OFFSET(DATA!CG125,0,$AX$48))</f>
        <v/>
      </c>
      <c r="BJ176" s="112" t="str">
        <f ca="1">IF($AU176="","",OFFSET(DATA!CI125,0,$AX$48))</f>
        <v/>
      </c>
      <c r="BK176" s="112" t="str">
        <f ca="1">IF($AU176="","",OFFSET(DATA!CK125,0,$AX$48))</f>
        <v/>
      </c>
      <c r="BL176" s="112" t="str">
        <f ca="1">IF($AU176="","",OFFSET(DATA!CM125,0,$AX$48))</f>
        <v/>
      </c>
      <c r="BM176" s="112" t="str">
        <f ca="1">IF($AU176="","",DATA!BH125)</f>
        <v/>
      </c>
      <c r="BN176" s="112" t="str">
        <f ca="1">IF($AU176="","",DATA!DS125)</f>
        <v/>
      </c>
      <c r="BO176" s="112" t="str">
        <f ca="1">IF($AU176="","",DATA!DU125)</f>
        <v/>
      </c>
      <c r="BP176" s="112" t="str">
        <f ca="1">IF($AU176="","",DATA!DV125)</f>
        <v/>
      </c>
      <c r="BQ176" s="112" t="str">
        <f ca="1">IF($AU176="","",DATA!DX125)</f>
        <v/>
      </c>
      <c r="BR176" s="112" t="str">
        <f ca="1">IF($AU176="","",DATA!DZ125)</f>
        <v/>
      </c>
      <c r="BS176" s="171" t="str">
        <f ca="1">IF($AU176="","",DATA!EA125)</f>
        <v/>
      </c>
      <c r="BT176" s="171" t="str">
        <f ca="1">IF($AU176="","",DATA!EC125)</f>
        <v/>
      </c>
      <c r="BU176" s="171" t="str">
        <f ca="1">IF($AU176="","",DATA!EF125)</f>
        <v/>
      </c>
      <c r="BV176" s="113" t="str">
        <f t="shared" ca="1" si="24"/>
        <v/>
      </c>
      <c r="BW176" s="680" t="str">
        <f ca="1">IF(AU176="","",OFFSET(DATA!DC125,0,'Intermediate Data'!$AX$48))</f>
        <v/>
      </c>
      <c r="BX176" s="681" t="str">
        <f ca="1">IF($AU176="","",DATA!DG125)</f>
        <v/>
      </c>
      <c r="BY176" s="680" t="str">
        <f ca="1">IF($AU176="","",OFFSET(DATA!DE125,0,'Intermediate Data'!$AX$48))</f>
        <v/>
      </c>
      <c r="BZ176" s="681" t="str">
        <f ca="1">IF($AU176="","",DATA!DH125)</f>
        <v/>
      </c>
      <c r="CA176" s="90" t="str">
        <f t="shared" ca="1" si="25"/>
        <v/>
      </c>
      <c r="CB176" s="99" t="str">
        <f t="shared" ca="1" si="26"/>
        <v/>
      </c>
      <c r="CC176" s="90" t="str">
        <f t="shared" ca="1" si="27"/>
        <v/>
      </c>
      <c r="CD176" s="90" t="str">
        <f t="shared" ca="1" si="28"/>
        <v/>
      </c>
      <c r="CF176" s="90" t="str">
        <f ca="1">IF($CD176="","",IF(OFFSET(AV$55,'Intermediate Data'!$CD176,0)=-98,"Unknown",IF(OFFSET(AV$55,'Intermediate Data'!$CD176,0)=-99,"N/A",OFFSET(AV$55,'Intermediate Data'!$CD176,0))))</f>
        <v/>
      </c>
      <c r="CG176" s="90" t="str">
        <f ca="1">IF($CD176="","",IF(OFFSET(AW$55,'Intermediate Data'!$CD176,0)=-98,"",IF(OFFSET(AW$55,'Intermediate Data'!$CD176,0)=-99,"N/A",OFFSET(AW$55,'Intermediate Data'!$CD176,0))))</f>
        <v/>
      </c>
      <c r="CH176" s="90" t="str">
        <f ca="1">IF($CD176="","",IF(OFFSET(AX$55,'Intermediate Data'!$CD176,0)=-98,"Unknown",IF(OFFSET(AX$55,'Intermediate Data'!$CD176,0)=-99,"N/A",OFFSET(AX$55,'Intermediate Data'!$CD176,0))))</f>
        <v/>
      </c>
      <c r="CI176" s="125" t="str">
        <f ca="1">IF($CD176="","",IF(OFFSET(AY$55,'Intermediate Data'!$CD176,0)=-98,"Unknown",IF(OFFSET(AY$55,'Intermediate Data'!$CD176,0)=-99,"No spec",OFFSET(AY$55,'Intermediate Data'!$CD176,0))))</f>
        <v/>
      </c>
      <c r="CJ176" s="125" t="str">
        <f ca="1">IF($CD176="","",IF(OFFSET(AZ$55,'Intermediate Data'!$CD176,0)=-98,"Unknown",IF(OFFSET(AZ$55,'Intermediate Data'!$CD176,0)=-99,"N/A",OFFSET(AZ$55,'Intermediate Data'!$CD176,0))))</f>
        <v/>
      </c>
      <c r="CK176" s="90" t="str">
        <f ca="1">IF($CD176="","",IF(OFFSET(BA$55,'Intermediate Data'!$CD176,0)=-98,"Unknown",IF(OFFSET(BA$55,'Intermediate Data'!$CD176,0)=-99,"N/A",OFFSET(BA$55,'Intermediate Data'!$CD176,0))))</f>
        <v/>
      </c>
      <c r="CL176" s="90" t="str">
        <f ca="1">IF($CD176="","",IF(OFFSET(BB$55,'Intermediate Data'!$CD176,$AX$50)=-98,"Unknown",IF(OFFSET(BB$55,'Intermediate Data'!$CD176,$AX$50)="N/A","",OFFSET(BB$55,'Intermediate Data'!$CD176,$AX$50))))</f>
        <v/>
      </c>
      <c r="CM176" s="90" t="str">
        <f ca="1">IF($CD176="","",IF(OFFSET(BG$55,'Intermediate Data'!$CD176,0)="ET","ET",""))</f>
        <v/>
      </c>
      <c r="CN176" s="90" t="str">
        <f ca="1">IF($CD176="","",IF(OFFSET(BH$55,'Intermediate Data'!$CD176,$AX$50)=-98,"Unknown",IF(OFFSET(BH$55,'Intermediate Data'!$CD176,$AX$50)="N/A","",OFFSET(BH$55,'Intermediate Data'!$CD176,$AX$50))))</f>
        <v/>
      </c>
      <c r="CO176" s="90" t="str">
        <f ca="1">IF($CD176="","",IF(OFFSET(BM$55,'Intermediate Data'!$CD176,0)=-98,"Not published",IF(OFFSET(BM$55,'Intermediate Data'!$CD176,0)=-99,"No spec",OFFSET(BM$55,'Intermediate Data'!$CD176,0))))</f>
        <v/>
      </c>
      <c r="CP176" s="114" t="str">
        <f ca="1">IF($CD176="","",IF(OFFSET(BN$55,'Intermediate Data'!$CD176,0)=-98,"Unknown",IF(OFFSET(BN$55,'Intermediate Data'!$CD176,0)=-99,"N/A",OFFSET(BN$55,'Intermediate Data'!$CD176,0))))</f>
        <v/>
      </c>
      <c r="CQ176" s="114" t="str">
        <f ca="1">IF($CD176="","",IF(OFFSET(BO$55,'Intermediate Data'!$CD176,0)=-98,"Unknown",IF(OFFSET(BO$55,'Intermediate Data'!$CD176,0)=-99,"N/A",OFFSET(BO$55,'Intermediate Data'!$CD176,0))))</f>
        <v/>
      </c>
      <c r="CR176" s="114" t="str">
        <f ca="1">IF($CD176="","",IF(OFFSET(BP$55,'Intermediate Data'!$CD176,0)=-98,"Unknown",IF(OFFSET(BP$55,'Intermediate Data'!$CD176,0)=-99,"N/A",OFFSET(BP$55,'Intermediate Data'!$CD176,0))))</f>
        <v/>
      </c>
      <c r="CS176" s="114" t="str">
        <f ca="1">IF($CD176="","",IF(OFFSET(BQ$55,'Intermediate Data'!$CD176,0)=-98,"Unknown",IF(OFFSET(BQ$55,'Intermediate Data'!$CD176,0)=-99,"N/A",OFFSET(BQ$55,'Intermediate Data'!$CD176,0))))</f>
        <v/>
      </c>
      <c r="CT176" s="114" t="str">
        <f ca="1">IF($CD176="","",IF(OFFSET(BR$55,'Intermediate Data'!$CD176,0)=-98,"Unknown",IF(OFFSET(BR$55,'Intermediate Data'!$CD176,0)=-99,"N/A",OFFSET(BR$55,'Intermediate Data'!$CD176,0))))</f>
        <v/>
      </c>
      <c r="CU176" s="114" t="str">
        <f ca="1">IF($CD176="","",IF(OFFSET(BS$55,'Intermediate Data'!$CD176,0)=-98,"Unknown",IF(OFFSET(BS$55,'Intermediate Data'!$CD176,0)=-99,"N/A",OFFSET(BS$55,'Intermediate Data'!$CD176,0))))</f>
        <v/>
      </c>
      <c r="CV176" s="114" t="str">
        <f ca="1">IF($CD176="","",IF(OFFSET(BT$55,'Intermediate Data'!$CD176,0)=-98,"Unknown",IF(OFFSET(BT$55,'Intermediate Data'!$CD176,0)=-99,"N/A",OFFSET(BT$55,'Intermediate Data'!$CD176,0))))</f>
        <v/>
      </c>
      <c r="CW176" s="114" t="str">
        <f ca="1">IF($CD176="","",IF(OFFSET(BU$55,'Intermediate Data'!$CD176,0)=-98,"Unknown",IF(OFFSET(BU$55,'Intermediate Data'!$CD176,0)=-99,"N/A",OFFSET(BU$55,'Intermediate Data'!$CD176,0))))</f>
        <v/>
      </c>
      <c r="CX176" s="114" t="str">
        <f ca="1">IF($CD176="","",IF(OFFSET(BV$55,'Intermediate Data'!$CD176,0)=-98,"Unknown",IF(OFFSET(BV$55,'Intermediate Data'!$CD176,0)=-99,"N/A",OFFSET(BV$55,'Intermediate Data'!$CD176,0))))</f>
        <v/>
      </c>
      <c r="CY176" s="682" t="str">
        <f ca="1">IF($CD176="","",IF(OFFSET(BW$55,'Intermediate Data'!$CD176,0)=-98,"Unknown",IF(OFFSET(BW$55,'Intermediate Data'!$CD176,0)="N/A","",OFFSET(BW$55,'Intermediate Data'!$CD176,0))))</f>
        <v/>
      </c>
      <c r="CZ176" s="682" t="str">
        <f ca="1">IF($CD176="","",IF(OFFSET(BX$55,'Intermediate Data'!$CD176,0)=-98,"Unknown",IF(OFFSET(BX$55,'Intermediate Data'!$CD176,0)="N/A","",OFFSET(BX$55,'Intermediate Data'!$CD176,0))))</f>
        <v/>
      </c>
      <c r="DA176" s="682" t="str">
        <f ca="1">IF($CD176="","",IF(OFFSET(BY$55,'Intermediate Data'!$CD176,0)=-98,"Unknown",IF(OFFSET(BY$55,'Intermediate Data'!$CD176,0)="N/A","",OFFSET(BY$55,'Intermediate Data'!$CD176,0))))</f>
        <v/>
      </c>
      <c r="DB176" s="682" t="str">
        <f ca="1">IF($CD176="","",IF(OFFSET(BZ$55,'Intermediate Data'!$CD176,0)=-98,"Unknown",IF(OFFSET(BZ$55,'Intermediate Data'!$CD176,0)="N/A","",OFFSET(BZ$55,'Intermediate Data'!$CD176,0))))</f>
        <v/>
      </c>
    </row>
    <row r="177" spans="1:106" x14ac:dyDescent="0.2">
      <c r="A177" s="90">
        <f ca="1">IF(OFFSET(DATA!F126,0,$D$48)='Intermediate Data'!$E$48,IF(OR($E$49=$C$27,$E$48=$B$4),DATA!A126,IF($G$49=DATA!D126,DATA!A126,"")),"")</f>
        <v>122</v>
      </c>
      <c r="B177" s="90">
        <f ca="1">IF($A177="","",DATA!EH126)</f>
        <v>127</v>
      </c>
      <c r="C177" s="90" t="str">
        <f ca="1">IF($A177="","",DATA!B126)</f>
        <v>Carbon monoxide detector</v>
      </c>
      <c r="D177" s="90">
        <f ca="1">IF($A177="","",OFFSET(DATA!$H126,0,($D$50*5)))</f>
        <v>-99</v>
      </c>
      <c r="E177" s="90">
        <f ca="1">IF($A177="","",OFFSET(DATA!$H126,0,($D$50*5)+1))</f>
        <v>-99</v>
      </c>
      <c r="F177" s="90">
        <f ca="1">IF($A177="","",OFFSET(DATA!$H126,0,($D$50*5)+2))</f>
        <v>-99</v>
      </c>
      <c r="G177" s="90">
        <f ca="1">IF($A177="","",OFFSET(DATA!$H126,0,($D$50*5)+3))</f>
        <v>-99</v>
      </c>
      <c r="H177" s="90">
        <f ca="1">IF($A177="","",OFFSET(DATA!$H126,0,($D$50*5)+4))</f>
        <v>-99</v>
      </c>
      <c r="I177" s="90">
        <f t="shared" ca="1" si="17"/>
        <v>-99</v>
      </c>
      <c r="J177" s="90" t="str">
        <f t="shared" ca="1" si="18"/>
        <v/>
      </c>
      <c r="K177" s="90">
        <f ca="1">IF($A177="","",OFFSET(DATA!$AG126,0,($D$50*5)))</f>
        <v>-99</v>
      </c>
      <c r="L177" s="90">
        <f ca="1">IF($A177="","",OFFSET(DATA!$AG126,0,($D$50*5)+1))</f>
        <v>-99</v>
      </c>
      <c r="M177" s="90">
        <f ca="1">IF($A177="","",OFFSET(DATA!$AG126,0,($D$50*5)+2))</f>
        <v>-99</v>
      </c>
      <c r="N177" s="90">
        <f ca="1">IF($A177="","",OFFSET(DATA!$AG126,0,($D$50*5)+3))</f>
        <v>-99</v>
      </c>
      <c r="O177" s="90">
        <f ca="1">IF($A177="","",OFFSET(DATA!$AG126,0,($D$50*5)+4))</f>
        <v>-99</v>
      </c>
      <c r="P177" s="90">
        <f t="shared" ca="1" si="19"/>
        <v>-99</v>
      </c>
      <c r="Q177" s="90" t="str">
        <f t="shared" ca="1" si="20"/>
        <v/>
      </c>
      <c r="R177" s="699">
        <f ca="1">IF($A177="","",IF(DATA!BF126="",-99,DATA!BF126))</f>
        <v>-99</v>
      </c>
      <c r="S177" s="90">
        <f ca="1">IF($A177="","",IF(DATA!BG126="",-99,DATA!BF126-DATA!BG126))</f>
        <v>-99</v>
      </c>
      <c r="T177" s="90">
        <f ca="1">IF($A177="","",DATA!BH126)</f>
        <v>-99</v>
      </c>
      <c r="U177" s="90">
        <f ca="1">IF($A177="","",OFFSET(DATA!BM126,0,$D$48))</f>
        <v>-99</v>
      </c>
      <c r="V177" s="90">
        <f t="shared" ca="1" si="29"/>
        <v>127</v>
      </c>
      <c r="W177" s="99">
        <f t="shared" ca="1" si="21"/>
        <v>126.99988120177001</v>
      </c>
      <c r="X177" s="112">
        <f t="shared" ca="1" si="22"/>
        <v>6.9998911877600003</v>
      </c>
      <c r="Y177" s="90">
        <f t="shared" ca="1" si="23"/>
        <v>121</v>
      </c>
      <c r="AA177" s="90" t="str">
        <f ca="1">IF($Y177="","",IF(OFFSET(C$55,'Intermediate Data'!$Y177,0)=-98,"Unknown",IF(OFFSET(C$55,'Intermediate Data'!$Y177,0)=-99,"N/A",OFFSET(C$55,'Intermediate Data'!$Y177,0))))</f>
        <v>Water cooler</v>
      </c>
      <c r="AB177" s="90" t="str">
        <f ca="1">IF($Y177="","",IF(OFFSET(D$55,'Intermediate Data'!$Y177,0)=-98,"N/A",IF(OFFSET(D$55,'Intermediate Data'!$Y177,0)=-99,"N/A",OFFSET(D$55,'Intermediate Data'!$Y177,0))))</f>
        <v>N/A</v>
      </c>
      <c r="AC177" s="90" t="str">
        <f ca="1">IF($Y177="","",IF(OFFSET(E$55,'Intermediate Data'!$Y177,0)=-98,"N/A",IF(OFFSET(E$55,'Intermediate Data'!$Y177,0)=-99,"N/A",OFFSET(E$55,'Intermediate Data'!$Y177,0))))</f>
        <v>N/A</v>
      </c>
      <c r="AD177" s="90" t="str">
        <f ca="1">IF($Y177="","",IF(OFFSET(F$55,'Intermediate Data'!$Y177,0)=-98,"N/A",IF(OFFSET(F$55,'Intermediate Data'!$Y177,0)=-99,"N/A",OFFSET(F$55,'Intermediate Data'!$Y177,0))))</f>
        <v>N/A</v>
      </c>
      <c r="AE177" s="90" t="str">
        <f ca="1">IF($Y177="","",IF(OFFSET(G$55,'Intermediate Data'!$Y177,0)=-98,"N/A",IF(OFFSET(G$55,'Intermediate Data'!$Y177,0)=-99,"N/A",OFFSET(G$55,'Intermediate Data'!$Y177,0))))</f>
        <v>N/A</v>
      </c>
      <c r="AF177" s="90" t="str">
        <f ca="1">IF($Y177="","",IF(OFFSET(H$55,'Intermediate Data'!$Y177,0)=-98,"N/A",IF(OFFSET(H$55,'Intermediate Data'!$Y177,0)=-99,"N/A",OFFSET(H$55,'Intermediate Data'!$Y177,0))))</f>
        <v>N/A</v>
      </c>
      <c r="AG177" s="90" t="str">
        <f ca="1">IF($Y177="","",IF(OFFSET(I$55,'Intermediate Data'!$Y177,0)=-98,"N/A",IF(OFFSET(I$55,'Intermediate Data'!$Y177,0)=-99,"N/A",OFFSET(I$55,'Intermediate Data'!$Y177,0))))</f>
        <v>N/A</v>
      </c>
      <c r="AH177" s="90" t="str">
        <f ca="1">IF($Y177="","",IF(OFFSET(J$55,'Intermediate Data'!$Y177,0)=-98,"N/A",IF(OFFSET(J$55,'Intermediate Data'!$Y177,0)=-99,"N/A",OFFSET(J$55,'Intermediate Data'!$Y177,0))))</f>
        <v/>
      </c>
      <c r="AI177" s="90" t="str">
        <f ca="1">IF($Y177="","",IF(OFFSET(K$55,'Intermediate Data'!$Y177,0)=-98,"N/A",IF(OFFSET(K$55,'Intermediate Data'!$Y177,0)=-99,"N/A",OFFSET(K$55,'Intermediate Data'!$Y177,0))))</f>
        <v>N/A</v>
      </c>
      <c r="AJ177" s="90" t="str">
        <f ca="1">IF($Y177="","",IF(OFFSET(L$55,'Intermediate Data'!$Y177,0)=-98,"N/A",IF(OFFSET(L$55,'Intermediate Data'!$Y177,0)=-99,"N/A",OFFSET(L$55,'Intermediate Data'!$Y177,0))))</f>
        <v>N/A</v>
      </c>
      <c r="AK177" s="90" t="str">
        <f ca="1">IF($Y177="","",IF(OFFSET(M$55,'Intermediate Data'!$Y177,0)=-98,"N/A",IF(OFFSET(M$55,'Intermediate Data'!$Y177,0)=-99,"N/A",OFFSET(M$55,'Intermediate Data'!$Y177,0))))</f>
        <v>N/A</v>
      </c>
      <c r="AL177" s="90" t="str">
        <f ca="1">IF($Y177="","",IF(OFFSET(N$55,'Intermediate Data'!$Y177,0)=-98,"N/A",IF(OFFSET(N$55,'Intermediate Data'!$Y177,0)=-99,"N/A",OFFSET(N$55,'Intermediate Data'!$Y177,0))))</f>
        <v>N/A</v>
      </c>
      <c r="AM177" s="90" t="str">
        <f ca="1">IF($Y177="","",IF(OFFSET(O$55,'Intermediate Data'!$Y177,0)=-98,"N/A",IF(OFFSET(O$55,'Intermediate Data'!$Y177,0)=-99,"N/A",OFFSET(O$55,'Intermediate Data'!$Y177,0))))</f>
        <v>N/A</v>
      </c>
      <c r="AN177" s="90" t="str">
        <f ca="1">IF($Y177="","",IF(OFFSET(P$55,'Intermediate Data'!$Y177,0)=-98,"N/A",IF(OFFSET(P$55,'Intermediate Data'!$Y177,0)=-99,"N/A",OFFSET(P$55,'Intermediate Data'!$Y177,0))))</f>
        <v>N/A</v>
      </c>
      <c r="AO177" s="90" t="str">
        <f ca="1">IF($Y177="","",IF(OFFSET(Q$55,'Intermediate Data'!$Y177,0)=-98,"N/A",IF(OFFSET(Q$55,'Intermediate Data'!$Y177,0)=-99,"N/A",OFFSET(Q$55,'Intermediate Data'!$Y177,0))))</f>
        <v/>
      </c>
      <c r="AP177" s="697" t="str">
        <f ca="1">IF($Y177="","",IF(OFFSET(S$55,'Intermediate Data'!$Y177,0)=-98,"",IF(OFFSET(S$55,'Intermediate Data'!$Y177,0)=-99,"",OFFSET(S$55,'Intermediate Data'!$Y177,0))))</f>
        <v/>
      </c>
      <c r="AQ177" s="90">
        <f ca="1">IF($Y177="","",IF(OFFSET(T$55,'Intermediate Data'!$Y177,0)=-98,"Not published",IF(OFFSET(T$55,'Intermediate Data'!$Y177,0)=-99,"",OFFSET(T$55,'Intermediate Data'!$Y177,0))))</f>
        <v>0.86</v>
      </c>
      <c r="AR177" s="90" t="str">
        <f ca="1">IF($Y177="","",IF(OFFSET(U$55,'Intermediate Data'!$Y177,0)=-98,"Unknown",IF(OFFSET(U$55,'Intermediate Data'!$Y177,0)=-99,"",OFFSET(U$55,'Intermediate Data'!$Y177,0))))</f>
        <v/>
      </c>
      <c r="AU177" s="112" t="str">
        <f ca="1">IF(AND(OFFSET(DATA!$F126,0,$AX$48)='Intermediate Data'!$AY$48,DATA!$E126="Tier 1"),IF(OR($AX$49=0,$AX$48=1),DATA!A126,IF(AND($AX$49=1,INDEX('Intermediate Data'!$AY$25:$AY$44,MATCH(DATA!$B126,'Intermediate Data'!$AX$25:$AX$44,0))=TRUE),DATA!A126,"")),"")</f>
        <v/>
      </c>
      <c r="AV177" s="112" t="str">
        <f ca="1">IF($AU177="","",DATA!B126)</f>
        <v/>
      </c>
      <c r="AW177" s="112" t="str">
        <f ca="1">IF(OR($AU177="",DATA!BI126=""),"",DATA!BI126)</f>
        <v/>
      </c>
      <c r="AX177" s="112" t="str">
        <f ca="1">IF(OR($AU177="",OFFSET(DATA!BK126,0,$AX$48)=""),"",OFFSET(DATA!BK126,0,$AX$48))</f>
        <v/>
      </c>
      <c r="AY177" s="112" t="str">
        <f ca="1">IF(OR($AU177="",OFFSET(DATA!BM126,0,$AX$48)=""),"",OFFSET(DATA!BM126,0,$AX$48))</f>
        <v/>
      </c>
      <c r="AZ177" s="112" t="str">
        <f ca="1">IF(OR($AU177="",OFFSET(DATA!BO126,0,'Intermediate Data'!$AX$48)=""),"",OFFSET(DATA!BO126,0,$AX$48))</f>
        <v/>
      </c>
      <c r="BA177" s="112" t="str">
        <f ca="1">IF(OR($AU177="",DATA!BQ126=""),"",DATA!BQ126)</f>
        <v/>
      </c>
      <c r="BB177" s="112" t="str">
        <f ca="1">IF($AU177="","",OFFSET(DATA!BS126,0,$AX$48))</f>
        <v/>
      </c>
      <c r="BC177" s="112" t="str">
        <f ca="1">IF($AU177="","",OFFSET(DATA!BU126,0,$AX$48))</f>
        <v/>
      </c>
      <c r="BD177" s="112" t="str">
        <f ca="1">IF($AU177="","",OFFSET(DATA!BW126,0,$AX$48))</f>
        <v/>
      </c>
      <c r="BE177" s="112" t="str">
        <f ca="1">IF($AU177="","",OFFSET(DATA!BY126,0,$AX$48))</f>
        <v/>
      </c>
      <c r="BF177" s="112" t="str">
        <f ca="1">IF($AU177="","",OFFSET(DATA!CA126,0,$AX$48))</f>
        <v/>
      </c>
      <c r="BG177" s="112" t="str">
        <f ca="1">IF($AU177="","",DATA!CC126)</f>
        <v/>
      </c>
      <c r="BH177" s="112" t="str">
        <f ca="1">IF($AU177="","",OFFSET(DATA!CE126,0,$AX$48))</f>
        <v/>
      </c>
      <c r="BI177" s="112" t="str">
        <f ca="1">IF($AU177="","",OFFSET(DATA!CG126,0,$AX$48))</f>
        <v/>
      </c>
      <c r="BJ177" s="112" t="str">
        <f ca="1">IF($AU177="","",OFFSET(DATA!CI126,0,$AX$48))</f>
        <v/>
      </c>
      <c r="BK177" s="112" t="str">
        <f ca="1">IF($AU177="","",OFFSET(DATA!CK126,0,$AX$48))</f>
        <v/>
      </c>
      <c r="BL177" s="112" t="str">
        <f ca="1">IF($AU177="","",OFFSET(DATA!CM126,0,$AX$48))</f>
        <v/>
      </c>
      <c r="BM177" s="112" t="str">
        <f ca="1">IF($AU177="","",DATA!BH126)</f>
        <v/>
      </c>
      <c r="BN177" s="112" t="str">
        <f ca="1">IF($AU177="","",DATA!DS126)</f>
        <v/>
      </c>
      <c r="BO177" s="112" t="str">
        <f ca="1">IF($AU177="","",DATA!DU126)</f>
        <v/>
      </c>
      <c r="BP177" s="112" t="str">
        <f ca="1">IF($AU177="","",DATA!DV126)</f>
        <v/>
      </c>
      <c r="BQ177" s="112" t="str">
        <f ca="1">IF($AU177="","",DATA!DX126)</f>
        <v/>
      </c>
      <c r="BR177" s="112" t="str">
        <f ca="1">IF($AU177="","",DATA!DZ126)</f>
        <v/>
      </c>
      <c r="BS177" s="171" t="str">
        <f ca="1">IF($AU177="","",DATA!EA126)</f>
        <v/>
      </c>
      <c r="BT177" s="171" t="str">
        <f ca="1">IF($AU177="","",DATA!EC126)</f>
        <v/>
      </c>
      <c r="BU177" s="171" t="str">
        <f ca="1">IF($AU177="","",DATA!EF126)</f>
        <v/>
      </c>
      <c r="BV177" s="113" t="str">
        <f t="shared" ca="1" si="24"/>
        <v/>
      </c>
      <c r="BW177" s="680" t="str">
        <f ca="1">IF(AU177="","",OFFSET(DATA!DC126,0,'Intermediate Data'!$AX$48))</f>
        <v/>
      </c>
      <c r="BX177" s="681" t="str">
        <f ca="1">IF($AU177="","",DATA!DG126)</f>
        <v/>
      </c>
      <c r="BY177" s="680" t="str">
        <f ca="1">IF($AU177="","",OFFSET(DATA!DE126,0,'Intermediate Data'!$AX$48))</f>
        <v/>
      </c>
      <c r="BZ177" s="681" t="str">
        <f ca="1">IF($AU177="","",DATA!DH126)</f>
        <v/>
      </c>
      <c r="CA177" s="90" t="str">
        <f t="shared" ca="1" si="25"/>
        <v/>
      </c>
      <c r="CB177" s="99" t="str">
        <f t="shared" ca="1" si="26"/>
        <v/>
      </c>
      <c r="CC177" s="90" t="str">
        <f t="shared" ca="1" si="27"/>
        <v/>
      </c>
      <c r="CD177" s="90" t="str">
        <f t="shared" ca="1" si="28"/>
        <v/>
      </c>
      <c r="CF177" s="90" t="str">
        <f ca="1">IF($CD177="","",IF(OFFSET(AV$55,'Intermediate Data'!$CD177,0)=-98,"Unknown",IF(OFFSET(AV$55,'Intermediate Data'!$CD177,0)=-99,"N/A",OFFSET(AV$55,'Intermediate Data'!$CD177,0))))</f>
        <v/>
      </c>
      <c r="CG177" s="90" t="str">
        <f ca="1">IF($CD177="","",IF(OFFSET(AW$55,'Intermediate Data'!$CD177,0)=-98,"",IF(OFFSET(AW$55,'Intermediate Data'!$CD177,0)=-99,"N/A",OFFSET(AW$55,'Intermediate Data'!$CD177,0))))</f>
        <v/>
      </c>
      <c r="CH177" s="90" t="str">
        <f ca="1">IF($CD177="","",IF(OFFSET(AX$55,'Intermediate Data'!$CD177,0)=-98,"Unknown",IF(OFFSET(AX$55,'Intermediate Data'!$CD177,0)=-99,"N/A",OFFSET(AX$55,'Intermediate Data'!$CD177,0))))</f>
        <v/>
      </c>
      <c r="CI177" s="125" t="str">
        <f ca="1">IF($CD177="","",IF(OFFSET(AY$55,'Intermediate Data'!$CD177,0)=-98,"Unknown",IF(OFFSET(AY$55,'Intermediate Data'!$CD177,0)=-99,"No spec",OFFSET(AY$55,'Intermediate Data'!$CD177,0))))</f>
        <v/>
      </c>
      <c r="CJ177" s="125" t="str">
        <f ca="1">IF($CD177="","",IF(OFFSET(AZ$55,'Intermediate Data'!$CD177,0)=-98,"Unknown",IF(OFFSET(AZ$55,'Intermediate Data'!$CD177,0)=-99,"N/A",OFFSET(AZ$55,'Intermediate Data'!$CD177,0))))</f>
        <v/>
      </c>
      <c r="CK177" s="90" t="str">
        <f ca="1">IF($CD177="","",IF(OFFSET(BA$55,'Intermediate Data'!$CD177,0)=-98,"Unknown",IF(OFFSET(BA$55,'Intermediate Data'!$CD177,0)=-99,"N/A",OFFSET(BA$55,'Intermediate Data'!$CD177,0))))</f>
        <v/>
      </c>
      <c r="CL177" s="90" t="str">
        <f ca="1">IF($CD177="","",IF(OFFSET(BB$55,'Intermediate Data'!$CD177,$AX$50)=-98,"Unknown",IF(OFFSET(BB$55,'Intermediate Data'!$CD177,$AX$50)="N/A","",OFFSET(BB$55,'Intermediate Data'!$CD177,$AX$50))))</f>
        <v/>
      </c>
      <c r="CM177" s="90" t="str">
        <f ca="1">IF($CD177="","",IF(OFFSET(BG$55,'Intermediate Data'!$CD177,0)="ET","ET",""))</f>
        <v/>
      </c>
      <c r="CN177" s="90" t="str">
        <f ca="1">IF($CD177="","",IF(OFFSET(BH$55,'Intermediate Data'!$CD177,$AX$50)=-98,"Unknown",IF(OFFSET(BH$55,'Intermediate Data'!$CD177,$AX$50)="N/A","",OFFSET(BH$55,'Intermediate Data'!$CD177,$AX$50))))</f>
        <v/>
      </c>
      <c r="CO177" s="90" t="str">
        <f ca="1">IF($CD177="","",IF(OFFSET(BM$55,'Intermediate Data'!$CD177,0)=-98,"Not published",IF(OFFSET(BM$55,'Intermediate Data'!$CD177,0)=-99,"No spec",OFFSET(BM$55,'Intermediate Data'!$CD177,0))))</f>
        <v/>
      </c>
      <c r="CP177" s="114" t="str">
        <f ca="1">IF($CD177="","",IF(OFFSET(BN$55,'Intermediate Data'!$CD177,0)=-98,"Unknown",IF(OFFSET(BN$55,'Intermediate Data'!$CD177,0)=-99,"N/A",OFFSET(BN$55,'Intermediate Data'!$CD177,0))))</f>
        <v/>
      </c>
      <c r="CQ177" s="114" t="str">
        <f ca="1">IF($CD177="","",IF(OFFSET(BO$55,'Intermediate Data'!$CD177,0)=-98,"Unknown",IF(OFFSET(BO$55,'Intermediate Data'!$CD177,0)=-99,"N/A",OFFSET(BO$55,'Intermediate Data'!$CD177,0))))</f>
        <v/>
      </c>
      <c r="CR177" s="114" t="str">
        <f ca="1">IF($CD177="","",IF(OFFSET(BP$55,'Intermediate Data'!$CD177,0)=-98,"Unknown",IF(OFFSET(BP$55,'Intermediate Data'!$CD177,0)=-99,"N/A",OFFSET(BP$55,'Intermediate Data'!$CD177,0))))</f>
        <v/>
      </c>
      <c r="CS177" s="114" t="str">
        <f ca="1">IF($CD177="","",IF(OFFSET(BQ$55,'Intermediate Data'!$CD177,0)=-98,"Unknown",IF(OFFSET(BQ$55,'Intermediate Data'!$CD177,0)=-99,"N/A",OFFSET(BQ$55,'Intermediate Data'!$CD177,0))))</f>
        <v/>
      </c>
      <c r="CT177" s="114" t="str">
        <f ca="1">IF($CD177="","",IF(OFFSET(BR$55,'Intermediate Data'!$CD177,0)=-98,"Unknown",IF(OFFSET(BR$55,'Intermediate Data'!$CD177,0)=-99,"N/A",OFFSET(BR$55,'Intermediate Data'!$CD177,0))))</f>
        <v/>
      </c>
      <c r="CU177" s="114" t="str">
        <f ca="1">IF($CD177="","",IF(OFFSET(BS$55,'Intermediate Data'!$CD177,0)=-98,"Unknown",IF(OFFSET(BS$55,'Intermediate Data'!$CD177,0)=-99,"N/A",OFFSET(BS$55,'Intermediate Data'!$CD177,0))))</f>
        <v/>
      </c>
      <c r="CV177" s="114" t="str">
        <f ca="1">IF($CD177="","",IF(OFFSET(BT$55,'Intermediate Data'!$CD177,0)=-98,"Unknown",IF(OFFSET(BT$55,'Intermediate Data'!$CD177,0)=-99,"N/A",OFFSET(BT$55,'Intermediate Data'!$CD177,0))))</f>
        <v/>
      </c>
      <c r="CW177" s="114" t="str">
        <f ca="1">IF($CD177="","",IF(OFFSET(BU$55,'Intermediate Data'!$CD177,0)=-98,"Unknown",IF(OFFSET(BU$55,'Intermediate Data'!$CD177,0)=-99,"N/A",OFFSET(BU$55,'Intermediate Data'!$CD177,0))))</f>
        <v/>
      </c>
      <c r="CX177" s="114" t="str">
        <f ca="1">IF($CD177="","",IF(OFFSET(BV$55,'Intermediate Data'!$CD177,0)=-98,"Unknown",IF(OFFSET(BV$55,'Intermediate Data'!$CD177,0)=-99,"N/A",OFFSET(BV$55,'Intermediate Data'!$CD177,0))))</f>
        <v/>
      </c>
      <c r="CY177" s="682" t="str">
        <f ca="1">IF($CD177="","",IF(OFFSET(BW$55,'Intermediate Data'!$CD177,0)=-98,"Unknown",IF(OFFSET(BW$55,'Intermediate Data'!$CD177,0)="N/A","",OFFSET(BW$55,'Intermediate Data'!$CD177,0))))</f>
        <v/>
      </c>
      <c r="CZ177" s="682" t="str">
        <f ca="1">IF($CD177="","",IF(OFFSET(BX$55,'Intermediate Data'!$CD177,0)=-98,"Unknown",IF(OFFSET(BX$55,'Intermediate Data'!$CD177,0)="N/A","",OFFSET(BX$55,'Intermediate Data'!$CD177,0))))</f>
        <v/>
      </c>
      <c r="DA177" s="682" t="str">
        <f ca="1">IF($CD177="","",IF(OFFSET(BY$55,'Intermediate Data'!$CD177,0)=-98,"Unknown",IF(OFFSET(BY$55,'Intermediate Data'!$CD177,0)="N/A","",OFFSET(BY$55,'Intermediate Data'!$CD177,0))))</f>
        <v/>
      </c>
      <c r="DB177" s="682" t="str">
        <f ca="1">IF($CD177="","",IF(OFFSET(BZ$55,'Intermediate Data'!$CD177,0)=-98,"Unknown",IF(OFFSET(BZ$55,'Intermediate Data'!$CD177,0)="N/A","",OFFSET(BZ$55,'Intermediate Data'!$CD177,0))))</f>
        <v/>
      </c>
    </row>
    <row r="178" spans="1:106" x14ac:dyDescent="0.2">
      <c r="A178" s="90">
        <f ca="1">IF(OFFSET(DATA!F127,0,$D$48)='Intermediate Data'!$E$48,IF(OR($E$49=$C$27,$E$48=$B$4),DATA!A127,IF($G$49=DATA!D127,DATA!A127,"")),"")</f>
        <v>123</v>
      </c>
      <c r="B178" s="90">
        <f ca="1">IF($A178="","",DATA!EH127)</f>
        <v>103</v>
      </c>
      <c r="C178" s="90" t="str">
        <f ca="1">IF($A178="","",DATA!B127)</f>
        <v>Door bell</v>
      </c>
      <c r="D178" s="90">
        <f ca="1">IF($A178="","",OFFSET(DATA!$H127,0,($D$50*5)))</f>
        <v>-99</v>
      </c>
      <c r="E178" s="90">
        <f ca="1">IF($A178="","",OFFSET(DATA!$H127,0,($D$50*5)+1))</f>
        <v>-99</v>
      </c>
      <c r="F178" s="90">
        <f ca="1">IF($A178="","",OFFSET(DATA!$H127,0,($D$50*5)+2))</f>
        <v>-99</v>
      </c>
      <c r="G178" s="90">
        <f ca="1">IF($A178="","",OFFSET(DATA!$H127,0,($D$50*5)+3))</f>
        <v>-99</v>
      </c>
      <c r="H178" s="90">
        <f ca="1">IF($A178="","",OFFSET(DATA!$H127,0,($D$50*5)+4))</f>
        <v>-99</v>
      </c>
      <c r="I178" s="90">
        <f t="shared" ca="1" si="17"/>
        <v>-99</v>
      </c>
      <c r="J178" s="90" t="str">
        <f t="shared" ca="1" si="18"/>
        <v/>
      </c>
      <c r="K178" s="90">
        <f ca="1">IF($A178="","",OFFSET(DATA!$AG127,0,($D$50*5)))</f>
        <v>-99</v>
      </c>
      <c r="L178" s="90">
        <f ca="1">IF($A178="","",OFFSET(DATA!$AG127,0,($D$50*5)+1))</f>
        <v>-99</v>
      </c>
      <c r="M178" s="90">
        <f ca="1">IF($A178="","",OFFSET(DATA!$AG127,0,($D$50*5)+2))</f>
        <v>-99</v>
      </c>
      <c r="N178" s="90">
        <f ca="1">IF($A178="","",OFFSET(DATA!$AG127,0,($D$50*5)+3))</f>
        <v>-99</v>
      </c>
      <c r="O178" s="90">
        <f ca="1">IF($A178="","",OFFSET(DATA!$AG127,0,($D$50*5)+4))</f>
        <v>-99</v>
      </c>
      <c r="P178" s="90">
        <f t="shared" ca="1" si="19"/>
        <v>-99</v>
      </c>
      <c r="Q178" s="90" t="str">
        <f t="shared" ca="1" si="20"/>
        <v/>
      </c>
      <c r="R178" s="699">
        <f ca="1">IF($A178="","",IF(DATA!BF127="",-99,DATA!BF127))</f>
        <v>-99</v>
      </c>
      <c r="S178" s="90">
        <f ca="1">IF($A178="","",IF(DATA!BG127="",-99,DATA!BF127-DATA!BG127))</f>
        <v>-99</v>
      </c>
      <c r="T178" s="90">
        <f ca="1">IF($A178="","",DATA!BH127)</f>
        <v>-99</v>
      </c>
      <c r="U178" s="90">
        <f ca="1">IF($A178="","",OFFSET(DATA!BM127,0,$D$48))</f>
        <v>-99</v>
      </c>
      <c r="V178" s="90">
        <f t="shared" ca="1" si="29"/>
        <v>103</v>
      </c>
      <c r="W178" s="99">
        <f t="shared" ca="1" si="21"/>
        <v>102.99988120178</v>
      </c>
      <c r="X178" s="112">
        <f t="shared" ca="1" si="22"/>
        <v>5.9998812017300001</v>
      </c>
      <c r="Y178" s="90">
        <f t="shared" ca="1" si="23"/>
        <v>118</v>
      </c>
      <c r="AA178" s="90" t="str">
        <f ca="1">IF($Y178="","",IF(OFFSET(C$55,'Intermediate Data'!$Y178,0)=-98,"Unknown",IF(OFFSET(C$55,'Intermediate Data'!$Y178,0)=-99,"N/A",OFFSET(C$55,'Intermediate Data'!$Y178,0))))</f>
        <v>Water pik</v>
      </c>
      <c r="AB178" s="90" t="str">
        <f ca="1">IF($Y178="","",IF(OFFSET(D$55,'Intermediate Data'!$Y178,0)=-98,"N/A",IF(OFFSET(D$55,'Intermediate Data'!$Y178,0)=-99,"N/A",OFFSET(D$55,'Intermediate Data'!$Y178,0))))</f>
        <v>N/A</v>
      </c>
      <c r="AC178" s="90" t="str">
        <f ca="1">IF($Y178="","",IF(OFFSET(E$55,'Intermediate Data'!$Y178,0)=-98,"N/A",IF(OFFSET(E$55,'Intermediate Data'!$Y178,0)=-99,"N/A",OFFSET(E$55,'Intermediate Data'!$Y178,0))))</f>
        <v>N/A</v>
      </c>
      <c r="AD178" s="90" t="str">
        <f ca="1">IF($Y178="","",IF(OFFSET(F$55,'Intermediate Data'!$Y178,0)=-98,"N/A",IF(OFFSET(F$55,'Intermediate Data'!$Y178,0)=-99,"N/A",OFFSET(F$55,'Intermediate Data'!$Y178,0))))</f>
        <v>N/A</v>
      </c>
      <c r="AE178" s="90" t="str">
        <f ca="1">IF($Y178="","",IF(OFFSET(G$55,'Intermediate Data'!$Y178,0)=-98,"N/A",IF(OFFSET(G$55,'Intermediate Data'!$Y178,0)=-99,"N/A",OFFSET(G$55,'Intermediate Data'!$Y178,0))))</f>
        <v>N/A</v>
      </c>
      <c r="AF178" s="90" t="str">
        <f ca="1">IF($Y178="","",IF(OFFSET(H$55,'Intermediate Data'!$Y178,0)=-98,"N/A",IF(OFFSET(H$55,'Intermediate Data'!$Y178,0)=-99,"N/A",OFFSET(H$55,'Intermediate Data'!$Y178,0))))</f>
        <v>N/A</v>
      </c>
      <c r="AG178" s="90" t="str">
        <f ca="1">IF($Y178="","",IF(OFFSET(I$55,'Intermediate Data'!$Y178,0)=-98,"N/A",IF(OFFSET(I$55,'Intermediate Data'!$Y178,0)=-99,"N/A",OFFSET(I$55,'Intermediate Data'!$Y178,0))))</f>
        <v>N/A</v>
      </c>
      <c r="AH178" s="90" t="str">
        <f ca="1">IF($Y178="","",IF(OFFSET(J$55,'Intermediate Data'!$Y178,0)=-98,"N/A",IF(OFFSET(J$55,'Intermediate Data'!$Y178,0)=-99,"N/A",OFFSET(J$55,'Intermediate Data'!$Y178,0))))</f>
        <v/>
      </c>
      <c r="AI178" s="90" t="str">
        <f ca="1">IF($Y178="","",IF(OFFSET(K$55,'Intermediate Data'!$Y178,0)=-98,"N/A",IF(OFFSET(K$55,'Intermediate Data'!$Y178,0)=-99,"N/A",OFFSET(K$55,'Intermediate Data'!$Y178,0))))</f>
        <v>N/A</v>
      </c>
      <c r="AJ178" s="90" t="str">
        <f ca="1">IF($Y178="","",IF(OFFSET(L$55,'Intermediate Data'!$Y178,0)=-98,"N/A",IF(OFFSET(L$55,'Intermediate Data'!$Y178,0)=-99,"N/A",OFFSET(L$55,'Intermediate Data'!$Y178,0))))</f>
        <v>N/A</v>
      </c>
      <c r="AK178" s="90" t="str">
        <f ca="1">IF($Y178="","",IF(OFFSET(M$55,'Intermediate Data'!$Y178,0)=-98,"N/A",IF(OFFSET(M$55,'Intermediate Data'!$Y178,0)=-99,"N/A",OFFSET(M$55,'Intermediate Data'!$Y178,0))))</f>
        <v>N/A</v>
      </c>
      <c r="AL178" s="90" t="str">
        <f ca="1">IF($Y178="","",IF(OFFSET(N$55,'Intermediate Data'!$Y178,0)=-98,"N/A",IF(OFFSET(N$55,'Intermediate Data'!$Y178,0)=-99,"N/A",OFFSET(N$55,'Intermediate Data'!$Y178,0))))</f>
        <v>N/A</v>
      </c>
      <c r="AM178" s="90" t="str">
        <f ca="1">IF($Y178="","",IF(OFFSET(O$55,'Intermediate Data'!$Y178,0)=-98,"N/A",IF(OFFSET(O$55,'Intermediate Data'!$Y178,0)=-99,"N/A",OFFSET(O$55,'Intermediate Data'!$Y178,0))))</f>
        <v>N/A</v>
      </c>
      <c r="AN178" s="90" t="str">
        <f ca="1">IF($Y178="","",IF(OFFSET(P$55,'Intermediate Data'!$Y178,0)=-98,"N/A",IF(OFFSET(P$55,'Intermediate Data'!$Y178,0)=-99,"N/A",OFFSET(P$55,'Intermediate Data'!$Y178,0))))</f>
        <v>N/A</v>
      </c>
      <c r="AO178" s="90" t="str">
        <f ca="1">IF($Y178="","",IF(OFFSET(Q$55,'Intermediate Data'!$Y178,0)=-98,"N/A",IF(OFFSET(Q$55,'Intermediate Data'!$Y178,0)=-99,"N/A",OFFSET(Q$55,'Intermediate Data'!$Y178,0))))</f>
        <v/>
      </c>
      <c r="AP178" s="697" t="str">
        <f ca="1">IF($Y178="","",IF(OFFSET(S$55,'Intermediate Data'!$Y178,0)=-98,"",IF(OFFSET(S$55,'Intermediate Data'!$Y178,0)=-99,"",OFFSET(S$55,'Intermediate Data'!$Y178,0))))</f>
        <v/>
      </c>
      <c r="AQ178" s="90" t="str">
        <f ca="1">IF($Y178="","",IF(OFFSET(T$55,'Intermediate Data'!$Y178,0)=-98,"Not published",IF(OFFSET(T$55,'Intermediate Data'!$Y178,0)=-99,"",OFFSET(T$55,'Intermediate Data'!$Y178,0))))</f>
        <v/>
      </c>
      <c r="AR178" s="90" t="str">
        <f ca="1">IF($Y178="","",IF(OFFSET(U$55,'Intermediate Data'!$Y178,0)=-98,"Unknown",IF(OFFSET(U$55,'Intermediate Data'!$Y178,0)=-99,"",OFFSET(U$55,'Intermediate Data'!$Y178,0))))</f>
        <v/>
      </c>
      <c r="AU178" s="112" t="str">
        <f ca="1">IF(AND(OFFSET(DATA!$F127,0,$AX$48)='Intermediate Data'!$AY$48,DATA!$E127="Tier 1"),IF(OR($AX$49=0,$AX$48=1),DATA!A127,IF(AND($AX$49=1,INDEX('Intermediate Data'!$AY$25:$AY$44,MATCH(DATA!$B127,'Intermediate Data'!$AX$25:$AX$44,0))=TRUE),DATA!A127,"")),"")</f>
        <v/>
      </c>
      <c r="AV178" s="112" t="str">
        <f ca="1">IF($AU178="","",DATA!B127)</f>
        <v/>
      </c>
      <c r="AW178" s="112" t="str">
        <f ca="1">IF(OR($AU178="",DATA!BI127=""),"",DATA!BI127)</f>
        <v/>
      </c>
      <c r="AX178" s="112" t="str">
        <f ca="1">IF(OR($AU178="",OFFSET(DATA!BK127,0,$AX$48)=""),"",OFFSET(DATA!BK127,0,$AX$48))</f>
        <v/>
      </c>
      <c r="AY178" s="112" t="str">
        <f ca="1">IF(OR($AU178="",OFFSET(DATA!BM127,0,$AX$48)=""),"",OFFSET(DATA!BM127,0,$AX$48))</f>
        <v/>
      </c>
      <c r="AZ178" s="112" t="str">
        <f ca="1">IF(OR($AU178="",OFFSET(DATA!BO127,0,'Intermediate Data'!$AX$48)=""),"",OFFSET(DATA!BO127,0,$AX$48))</f>
        <v/>
      </c>
      <c r="BA178" s="112" t="str">
        <f ca="1">IF(OR($AU178="",DATA!BQ127=""),"",DATA!BQ127)</f>
        <v/>
      </c>
      <c r="BB178" s="112" t="str">
        <f ca="1">IF($AU178="","",OFFSET(DATA!BS127,0,$AX$48))</f>
        <v/>
      </c>
      <c r="BC178" s="112" t="str">
        <f ca="1">IF($AU178="","",OFFSET(DATA!BU127,0,$AX$48))</f>
        <v/>
      </c>
      <c r="BD178" s="112" t="str">
        <f ca="1">IF($AU178="","",OFFSET(DATA!BW127,0,$AX$48))</f>
        <v/>
      </c>
      <c r="BE178" s="112" t="str">
        <f ca="1">IF($AU178="","",OFFSET(DATA!BY127,0,$AX$48))</f>
        <v/>
      </c>
      <c r="BF178" s="112" t="str">
        <f ca="1">IF($AU178="","",OFFSET(DATA!CA127,0,$AX$48))</f>
        <v/>
      </c>
      <c r="BG178" s="112" t="str">
        <f ca="1">IF($AU178="","",DATA!CC127)</f>
        <v/>
      </c>
      <c r="BH178" s="112" t="str">
        <f ca="1">IF($AU178="","",OFFSET(DATA!CE127,0,$AX$48))</f>
        <v/>
      </c>
      <c r="BI178" s="112" t="str">
        <f ca="1">IF($AU178="","",OFFSET(DATA!CG127,0,$AX$48))</f>
        <v/>
      </c>
      <c r="BJ178" s="112" t="str">
        <f ca="1">IF($AU178="","",OFFSET(DATA!CI127,0,$AX$48))</f>
        <v/>
      </c>
      <c r="BK178" s="112" t="str">
        <f ca="1">IF($AU178="","",OFFSET(DATA!CK127,0,$AX$48))</f>
        <v/>
      </c>
      <c r="BL178" s="112" t="str">
        <f ca="1">IF($AU178="","",OFFSET(DATA!CM127,0,$AX$48))</f>
        <v/>
      </c>
      <c r="BM178" s="112" t="str">
        <f ca="1">IF($AU178="","",DATA!BH127)</f>
        <v/>
      </c>
      <c r="BN178" s="112" t="str">
        <f ca="1">IF($AU178="","",DATA!DS127)</f>
        <v/>
      </c>
      <c r="BO178" s="112" t="str">
        <f ca="1">IF($AU178="","",DATA!DU127)</f>
        <v/>
      </c>
      <c r="BP178" s="112" t="str">
        <f ca="1">IF($AU178="","",DATA!DV127)</f>
        <v/>
      </c>
      <c r="BQ178" s="112" t="str">
        <f ca="1">IF($AU178="","",DATA!DX127)</f>
        <v/>
      </c>
      <c r="BR178" s="112" t="str">
        <f ca="1">IF($AU178="","",DATA!DZ127)</f>
        <v/>
      </c>
      <c r="BS178" s="171" t="str">
        <f ca="1">IF($AU178="","",DATA!EA127)</f>
        <v/>
      </c>
      <c r="BT178" s="171" t="str">
        <f ca="1">IF($AU178="","",DATA!EC127)</f>
        <v/>
      </c>
      <c r="BU178" s="171" t="str">
        <f ca="1">IF($AU178="","",DATA!EF127)</f>
        <v/>
      </c>
      <c r="BV178" s="113" t="str">
        <f t="shared" ca="1" si="24"/>
        <v/>
      </c>
      <c r="BW178" s="680" t="str">
        <f ca="1">IF(AU178="","",OFFSET(DATA!DC127,0,'Intermediate Data'!$AX$48))</f>
        <v/>
      </c>
      <c r="BX178" s="681" t="str">
        <f ca="1">IF($AU178="","",DATA!DG127)</f>
        <v/>
      </c>
      <c r="BY178" s="680" t="str">
        <f ca="1">IF($AU178="","",OFFSET(DATA!DE127,0,'Intermediate Data'!$AX$48))</f>
        <v/>
      </c>
      <c r="BZ178" s="681" t="str">
        <f ca="1">IF($AU178="","",DATA!DH127)</f>
        <v/>
      </c>
      <c r="CA178" s="90" t="str">
        <f t="shared" ca="1" si="25"/>
        <v/>
      </c>
      <c r="CB178" s="99" t="str">
        <f t="shared" ca="1" si="26"/>
        <v/>
      </c>
      <c r="CC178" s="90" t="str">
        <f t="shared" ca="1" si="27"/>
        <v/>
      </c>
      <c r="CD178" s="90" t="str">
        <f t="shared" ca="1" si="28"/>
        <v/>
      </c>
      <c r="CF178" s="90" t="str">
        <f ca="1">IF($CD178="","",IF(OFFSET(AV$55,'Intermediate Data'!$CD178,0)=-98,"Unknown",IF(OFFSET(AV$55,'Intermediate Data'!$CD178,0)=-99,"N/A",OFFSET(AV$55,'Intermediate Data'!$CD178,0))))</f>
        <v/>
      </c>
      <c r="CG178" s="90" t="str">
        <f ca="1">IF($CD178="","",IF(OFFSET(AW$55,'Intermediate Data'!$CD178,0)=-98,"",IF(OFFSET(AW$55,'Intermediate Data'!$CD178,0)=-99,"N/A",OFFSET(AW$55,'Intermediate Data'!$CD178,0))))</f>
        <v/>
      </c>
      <c r="CH178" s="90" t="str">
        <f ca="1">IF($CD178="","",IF(OFFSET(AX$55,'Intermediate Data'!$CD178,0)=-98,"Unknown",IF(OFFSET(AX$55,'Intermediate Data'!$CD178,0)=-99,"N/A",OFFSET(AX$55,'Intermediate Data'!$CD178,0))))</f>
        <v/>
      </c>
      <c r="CI178" s="125" t="str">
        <f ca="1">IF($CD178="","",IF(OFFSET(AY$55,'Intermediate Data'!$CD178,0)=-98,"Unknown",IF(OFFSET(AY$55,'Intermediate Data'!$CD178,0)=-99,"No spec",OFFSET(AY$55,'Intermediate Data'!$CD178,0))))</f>
        <v/>
      </c>
      <c r="CJ178" s="125" t="str">
        <f ca="1">IF($CD178="","",IF(OFFSET(AZ$55,'Intermediate Data'!$CD178,0)=-98,"Unknown",IF(OFFSET(AZ$55,'Intermediate Data'!$CD178,0)=-99,"N/A",OFFSET(AZ$55,'Intermediate Data'!$CD178,0))))</f>
        <v/>
      </c>
      <c r="CK178" s="90" t="str">
        <f ca="1">IF($CD178="","",IF(OFFSET(BA$55,'Intermediate Data'!$CD178,0)=-98,"Unknown",IF(OFFSET(BA$55,'Intermediate Data'!$CD178,0)=-99,"N/A",OFFSET(BA$55,'Intermediate Data'!$CD178,0))))</f>
        <v/>
      </c>
      <c r="CL178" s="90" t="str">
        <f ca="1">IF($CD178="","",IF(OFFSET(BB$55,'Intermediate Data'!$CD178,$AX$50)=-98,"Unknown",IF(OFFSET(BB$55,'Intermediate Data'!$CD178,$AX$50)="N/A","",OFFSET(BB$55,'Intermediate Data'!$CD178,$AX$50))))</f>
        <v/>
      </c>
      <c r="CM178" s="90" t="str">
        <f ca="1">IF($CD178="","",IF(OFFSET(BG$55,'Intermediate Data'!$CD178,0)="ET","ET",""))</f>
        <v/>
      </c>
      <c r="CN178" s="90" t="str">
        <f ca="1">IF($CD178="","",IF(OFFSET(BH$55,'Intermediate Data'!$CD178,$AX$50)=-98,"Unknown",IF(OFFSET(BH$55,'Intermediate Data'!$CD178,$AX$50)="N/A","",OFFSET(BH$55,'Intermediate Data'!$CD178,$AX$50))))</f>
        <v/>
      </c>
      <c r="CO178" s="90" t="str">
        <f ca="1">IF($CD178="","",IF(OFFSET(BM$55,'Intermediate Data'!$CD178,0)=-98,"Not published",IF(OFFSET(BM$55,'Intermediate Data'!$CD178,0)=-99,"No spec",OFFSET(BM$55,'Intermediate Data'!$CD178,0))))</f>
        <v/>
      </c>
      <c r="CP178" s="114" t="str">
        <f ca="1">IF($CD178="","",IF(OFFSET(BN$55,'Intermediate Data'!$CD178,0)=-98,"Unknown",IF(OFFSET(BN$55,'Intermediate Data'!$CD178,0)=-99,"N/A",OFFSET(BN$55,'Intermediate Data'!$CD178,0))))</f>
        <v/>
      </c>
      <c r="CQ178" s="114" t="str">
        <f ca="1">IF($CD178="","",IF(OFFSET(BO$55,'Intermediate Data'!$CD178,0)=-98,"Unknown",IF(OFFSET(BO$55,'Intermediate Data'!$CD178,0)=-99,"N/A",OFFSET(BO$55,'Intermediate Data'!$CD178,0))))</f>
        <v/>
      </c>
      <c r="CR178" s="114" t="str">
        <f ca="1">IF($CD178="","",IF(OFFSET(BP$55,'Intermediate Data'!$CD178,0)=-98,"Unknown",IF(OFFSET(BP$55,'Intermediate Data'!$CD178,0)=-99,"N/A",OFFSET(BP$55,'Intermediate Data'!$CD178,0))))</f>
        <v/>
      </c>
      <c r="CS178" s="114" t="str">
        <f ca="1">IF($CD178="","",IF(OFFSET(BQ$55,'Intermediate Data'!$CD178,0)=-98,"Unknown",IF(OFFSET(BQ$55,'Intermediate Data'!$CD178,0)=-99,"N/A",OFFSET(BQ$55,'Intermediate Data'!$CD178,0))))</f>
        <v/>
      </c>
      <c r="CT178" s="114" t="str">
        <f ca="1">IF($CD178="","",IF(OFFSET(BR$55,'Intermediate Data'!$CD178,0)=-98,"Unknown",IF(OFFSET(BR$55,'Intermediate Data'!$CD178,0)=-99,"N/A",OFFSET(BR$55,'Intermediate Data'!$CD178,0))))</f>
        <v/>
      </c>
      <c r="CU178" s="114" t="str">
        <f ca="1">IF($CD178="","",IF(OFFSET(BS$55,'Intermediate Data'!$CD178,0)=-98,"Unknown",IF(OFFSET(BS$55,'Intermediate Data'!$CD178,0)=-99,"N/A",OFFSET(BS$55,'Intermediate Data'!$CD178,0))))</f>
        <v/>
      </c>
      <c r="CV178" s="114" t="str">
        <f ca="1">IF($CD178="","",IF(OFFSET(BT$55,'Intermediate Data'!$CD178,0)=-98,"Unknown",IF(OFFSET(BT$55,'Intermediate Data'!$CD178,0)=-99,"N/A",OFFSET(BT$55,'Intermediate Data'!$CD178,0))))</f>
        <v/>
      </c>
      <c r="CW178" s="114" t="str">
        <f ca="1">IF($CD178="","",IF(OFFSET(BU$55,'Intermediate Data'!$CD178,0)=-98,"Unknown",IF(OFFSET(BU$55,'Intermediate Data'!$CD178,0)=-99,"N/A",OFFSET(BU$55,'Intermediate Data'!$CD178,0))))</f>
        <v/>
      </c>
      <c r="CX178" s="114" t="str">
        <f ca="1">IF($CD178="","",IF(OFFSET(BV$55,'Intermediate Data'!$CD178,0)=-98,"Unknown",IF(OFFSET(BV$55,'Intermediate Data'!$CD178,0)=-99,"N/A",OFFSET(BV$55,'Intermediate Data'!$CD178,0))))</f>
        <v/>
      </c>
      <c r="CY178" s="682" t="str">
        <f ca="1">IF($CD178="","",IF(OFFSET(BW$55,'Intermediate Data'!$CD178,0)=-98,"Unknown",IF(OFFSET(BW$55,'Intermediate Data'!$CD178,0)="N/A","",OFFSET(BW$55,'Intermediate Data'!$CD178,0))))</f>
        <v/>
      </c>
      <c r="CZ178" s="682" t="str">
        <f ca="1">IF($CD178="","",IF(OFFSET(BX$55,'Intermediate Data'!$CD178,0)=-98,"Unknown",IF(OFFSET(BX$55,'Intermediate Data'!$CD178,0)="N/A","",OFFSET(BX$55,'Intermediate Data'!$CD178,0))))</f>
        <v/>
      </c>
      <c r="DA178" s="682" t="str">
        <f ca="1">IF($CD178="","",IF(OFFSET(BY$55,'Intermediate Data'!$CD178,0)=-98,"Unknown",IF(OFFSET(BY$55,'Intermediate Data'!$CD178,0)="N/A","",OFFSET(BY$55,'Intermediate Data'!$CD178,0))))</f>
        <v/>
      </c>
      <c r="DB178" s="682" t="str">
        <f ca="1">IF($CD178="","",IF(OFFSET(BZ$55,'Intermediate Data'!$CD178,0)=-98,"Unknown",IF(OFFSET(BZ$55,'Intermediate Data'!$CD178,0)="N/A","",OFFSET(BZ$55,'Intermediate Data'!$CD178,0))))</f>
        <v/>
      </c>
    </row>
    <row r="179" spans="1:106" x14ac:dyDescent="0.2">
      <c r="A179" s="90">
        <f ca="1">IF(OFFSET(DATA!F128,0,$D$48)='Intermediate Data'!$E$48,IF(OR($E$49=$C$27,$E$48=$B$4),DATA!A128,IF($G$49=DATA!D128,DATA!A128,"")),"")</f>
        <v>124</v>
      </c>
      <c r="B179" s="90">
        <f ca="1">IF($A179="","",DATA!EH128)</f>
        <v>99</v>
      </c>
      <c r="C179" s="90" t="str">
        <f ca="1">IF($A179="","",DATA!B128)</f>
        <v>Electric fence</v>
      </c>
      <c r="D179" s="90">
        <f ca="1">IF($A179="","",OFFSET(DATA!$H128,0,($D$50*5)))</f>
        <v>-99</v>
      </c>
      <c r="E179" s="90">
        <f ca="1">IF($A179="","",OFFSET(DATA!$H128,0,($D$50*5)+1))</f>
        <v>-99</v>
      </c>
      <c r="F179" s="90">
        <f ca="1">IF($A179="","",OFFSET(DATA!$H128,0,($D$50*5)+2))</f>
        <v>-99</v>
      </c>
      <c r="G179" s="90">
        <f ca="1">IF($A179="","",OFFSET(DATA!$H128,0,($D$50*5)+3))</f>
        <v>-99</v>
      </c>
      <c r="H179" s="90">
        <f ca="1">IF($A179="","",OFFSET(DATA!$H128,0,($D$50*5)+4))</f>
        <v>-99</v>
      </c>
      <c r="I179" s="90">
        <f t="shared" ca="1" si="17"/>
        <v>-99</v>
      </c>
      <c r="J179" s="90" t="str">
        <f t="shared" ca="1" si="18"/>
        <v/>
      </c>
      <c r="K179" s="90">
        <f ca="1">IF($A179="","",OFFSET(DATA!$AG128,0,($D$50*5)))</f>
        <v>-99</v>
      </c>
      <c r="L179" s="90">
        <f ca="1">IF($A179="","",OFFSET(DATA!$AG128,0,($D$50*5)+1))</f>
        <v>-99</v>
      </c>
      <c r="M179" s="90">
        <f ca="1">IF($A179="","",OFFSET(DATA!$AG128,0,($D$50*5)+2))</f>
        <v>-99</v>
      </c>
      <c r="N179" s="90">
        <f ca="1">IF($A179="","",OFFSET(DATA!$AG128,0,($D$50*5)+3))</f>
        <v>-99</v>
      </c>
      <c r="O179" s="90">
        <f ca="1">IF($A179="","",OFFSET(DATA!$AG128,0,($D$50*5)+4))</f>
        <v>-99</v>
      </c>
      <c r="P179" s="90">
        <f t="shared" ca="1" si="19"/>
        <v>-99</v>
      </c>
      <c r="Q179" s="90" t="str">
        <f t="shared" ca="1" si="20"/>
        <v/>
      </c>
      <c r="R179" s="699">
        <f ca="1">IF($A179="","",IF(DATA!BF128="",-99,DATA!BF128))</f>
        <v>-99</v>
      </c>
      <c r="S179" s="90">
        <f ca="1">IF($A179="","",IF(DATA!BG128="",-99,DATA!BF128-DATA!BG128))</f>
        <v>-99</v>
      </c>
      <c r="T179" s="90">
        <f ca="1">IF($A179="","",DATA!BH128)</f>
        <v>-99</v>
      </c>
      <c r="U179" s="90">
        <f ca="1">IF($A179="","",OFFSET(DATA!BM128,0,$D$48))</f>
        <v>-99</v>
      </c>
      <c r="V179" s="90">
        <f t="shared" ca="1" si="29"/>
        <v>99</v>
      </c>
      <c r="W179" s="99">
        <f t="shared" ca="1" si="21"/>
        <v>98.999881201790004</v>
      </c>
      <c r="X179" s="112">
        <f t="shared" ca="1" si="22"/>
        <v>4.999930763770382</v>
      </c>
      <c r="Y179" s="90">
        <f t="shared" ca="1" si="23"/>
        <v>135</v>
      </c>
      <c r="AA179" s="90" t="str">
        <f ca="1">IF($Y179="","",IF(OFFSET(C$55,'Intermediate Data'!$Y179,0)=-98,"Unknown",IF(OFFSET(C$55,'Intermediate Data'!$Y179,0)=-99,"N/A",OFFSET(C$55,'Intermediate Data'!$Y179,0))))</f>
        <v>Water purification system</v>
      </c>
      <c r="AB179" s="90" t="str">
        <f ca="1">IF($Y179="","",IF(OFFSET(D$55,'Intermediate Data'!$Y179,0)=-98,"N/A",IF(OFFSET(D$55,'Intermediate Data'!$Y179,0)=-99,"N/A",OFFSET(D$55,'Intermediate Data'!$Y179,0))))</f>
        <v>N/A</v>
      </c>
      <c r="AC179" s="90">
        <f ca="1">IF($Y179="","",IF(OFFSET(E$55,'Intermediate Data'!$Y179,0)=-98,"N/A",IF(OFFSET(E$55,'Intermediate Data'!$Y179,0)=-99,"N/A",OFFSET(E$55,'Intermediate Data'!$Y179,0))))</f>
        <v>0.12553651882592351</v>
      </c>
      <c r="AD179" s="90" t="str">
        <f ca="1">IF($Y179="","",IF(OFFSET(F$55,'Intermediate Data'!$Y179,0)=-98,"N/A",IF(OFFSET(F$55,'Intermediate Data'!$Y179,0)=-99,"N/A",OFFSET(F$55,'Intermediate Data'!$Y179,0))))</f>
        <v>N/A</v>
      </c>
      <c r="AE179" s="90">
        <f ca="1">IF($Y179="","",IF(OFFSET(G$55,'Intermediate Data'!$Y179,0)=-98,"N/A",IF(OFFSET(G$55,'Intermediate Data'!$Y179,0)=-99,"N/A",OFFSET(G$55,'Intermediate Data'!$Y179,0))))</f>
        <v>0.11920247516332187</v>
      </c>
      <c r="AF179" s="90" t="str">
        <f ca="1">IF($Y179="","",IF(OFFSET(H$55,'Intermediate Data'!$Y179,0)=-98,"N/A",IF(OFFSET(H$55,'Intermediate Data'!$Y179,0)=-99,"N/A",OFFSET(H$55,'Intermediate Data'!$Y179,0))))</f>
        <v>N/A</v>
      </c>
      <c r="AG179" s="90">
        <f ca="1">IF($Y179="","",IF(OFFSET(I$55,'Intermediate Data'!$Y179,0)=-98,"N/A",IF(OFFSET(I$55,'Intermediate Data'!$Y179,0)=-99,"N/A",OFFSET(I$55,'Intermediate Data'!$Y179,0))))</f>
        <v>0.11920247516332187</v>
      </c>
      <c r="AH179" s="90" t="str">
        <f ca="1">IF($Y179="","",IF(OFFSET(J$55,'Intermediate Data'!$Y179,0)=-98,"N/A",IF(OFFSET(J$55,'Intermediate Data'!$Y179,0)=-99,"N/A",OFFSET(J$55,'Intermediate Data'!$Y179,0))))</f>
        <v>RASS</v>
      </c>
      <c r="AI179" s="90" t="str">
        <f ca="1">IF($Y179="","",IF(OFFSET(K$55,'Intermediate Data'!$Y179,0)=-98,"N/A",IF(OFFSET(K$55,'Intermediate Data'!$Y179,0)=-99,"N/A",OFFSET(K$55,'Intermediate Data'!$Y179,0))))</f>
        <v>N/A</v>
      </c>
      <c r="AJ179" s="90">
        <f ca="1">IF($Y179="","",IF(OFFSET(L$55,'Intermediate Data'!$Y179,0)=-98,"N/A",IF(OFFSET(L$55,'Intermediate Data'!$Y179,0)=-99,"N/A",OFFSET(L$55,'Intermediate Data'!$Y179,0))))</f>
        <v>0.13013292421855396</v>
      </c>
      <c r="AK179" s="90" t="str">
        <f ca="1">IF($Y179="","",IF(OFFSET(M$55,'Intermediate Data'!$Y179,0)=-98,"N/A",IF(OFFSET(M$55,'Intermediate Data'!$Y179,0)=-99,"N/A",OFFSET(M$55,'Intermediate Data'!$Y179,0))))</f>
        <v>N/A</v>
      </c>
      <c r="AL179" s="90">
        <f ca="1">IF($Y179="","",IF(OFFSET(N$55,'Intermediate Data'!$Y179,0)=-98,"N/A",IF(OFFSET(N$55,'Intermediate Data'!$Y179,0)=-99,"N/A",OFFSET(N$55,'Intermediate Data'!$Y179,0))))</f>
        <v>0.12462942452101058</v>
      </c>
      <c r="AM179" s="90" t="str">
        <f ca="1">IF($Y179="","",IF(OFFSET(O$55,'Intermediate Data'!$Y179,0)=-98,"N/A",IF(OFFSET(O$55,'Intermediate Data'!$Y179,0)=-99,"N/A",OFFSET(O$55,'Intermediate Data'!$Y179,0))))</f>
        <v>N/A</v>
      </c>
      <c r="AN179" s="90">
        <f ca="1">IF($Y179="","",IF(OFFSET(P$55,'Intermediate Data'!$Y179,0)=-98,"N/A",IF(OFFSET(P$55,'Intermediate Data'!$Y179,0)=-99,"N/A",OFFSET(P$55,'Intermediate Data'!$Y179,0))))</f>
        <v>0.12462942452101058</v>
      </c>
      <c r="AO179" s="90" t="str">
        <f ca="1">IF($Y179="","",IF(OFFSET(Q$55,'Intermediate Data'!$Y179,0)=-98,"N/A",IF(OFFSET(Q$55,'Intermediate Data'!$Y179,0)=-99,"N/A",OFFSET(Q$55,'Intermediate Data'!$Y179,0))))</f>
        <v>RASS</v>
      </c>
      <c r="AP179" s="697" t="str">
        <f ca="1">IF($Y179="","",IF(OFFSET(S$55,'Intermediate Data'!$Y179,0)=-98,"",IF(OFFSET(S$55,'Intermediate Data'!$Y179,0)=-99,"",OFFSET(S$55,'Intermediate Data'!$Y179,0))))</f>
        <v/>
      </c>
      <c r="AQ179" s="90" t="str">
        <f ca="1">IF($Y179="","",IF(OFFSET(T$55,'Intermediate Data'!$Y179,0)=-98,"Not published",IF(OFFSET(T$55,'Intermediate Data'!$Y179,0)=-99,"",OFFSET(T$55,'Intermediate Data'!$Y179,0))))</f>
        <v/>
      </c>
      <c r="AR179" s="90" t="str">
        <f ca="1">IF($Y179="","",IF(OFFSET(U$55,'Intermediate Data'!$Y179,0)=-98,"Unknown",IF(OFFSET(U$55,'Intermediate Data'!$Y179,0)=-99,"",OFFSET(U$55,'Intermediate Data'!$Y179,0))))</f>
        <v/>
      </c>
      <c r="AU179" s="112" t="str">
        <f ca="1">IF(AND(OFFSET(DATA!$F128,0,$AX$48)='Intermediate Data'!$AY$48,DATA!$E128="Tier 1"),IF(OR($AX$49=0,$AX$48=1),DATA!A128,IF(AND($AX$49=1,INDEX('Intermediate Data'!$AY$25:$AY$44,MATCH(DATA!$B128,'Intermediate Data'!$AX$25:$AX$44,0))=TRUE),DATA!A128,"")),"")</f>
        <v/>
      </c>
      <c r="AV179" s="112" t="str">
        <f ca="1">IF($AU179="","",DATA!B128)</f>
        <v/>
      </c>
      <c r="AW179" s="112" t="str">
        <f ca="1">IF(OR($AU179="",DATA!BI128=""),"",DATA!BI128)</f>
        <v/>
      </c>
      <c r="AX179" s="112" t="str">
        <f ca="1">IF(OR($AU179="",OFFSET(DATA!BK128,0,$AX$48)=""),"",OFFSET(DATA!BK128,0,$AX$48))</f>
        <v/>
      </c>
      <c r="AY179" s="112" t="str">
        <f ca="1">IF(OR($AU179="",OFFSET(DATA!BM128,0,$AX$48)=""),"",OFFSET(DATA!BM128,0,$AX$48))</f>
        <v/>
      </c>
      <c r="AZ179" s="112" t="str">
        <f ca="1">IF(OR($AU179="",OFFSET(DATA!BO128,0,'Intermediate Data'!$AX$48)=""),"",OFFSET(DATA!BO128,0,$AX$48))</f>
        <v/>
      </c>
      <c r="BA179" s="112" t="str">
        <f ca="1">IF(OR($AU179="",DATA!BQ128=""),"",DATA!BQ128)</f>
        <v/>
      </c>
      <c r="BB179" s="112" t="str">
        <f ca="1">IF($AU179="","",OFFSET(DATA!BS128,0,$AX$48))</f>
        <v/>
      </c>
      <c r="BC179" s="112" t="str">
        <f ca="1">IF($AU179="","",OFFSET(DATA!BU128,0,$AX$48))</f>
        <v/>
      </c>
      <c r="BD179" s="112" t="str">
        <f ca="1">IF($AU179="","",OFFSET(DATA!BW128,0,$AX$48))</f>
        <v/>
      </c>
      <c r="BE179" s="112" t="str">
        <f ca="1">IF($AU179="","",OFFSET(DATA!BY128,0,$AX$48))</f>
        <v/>
      </c>
      <c r="BF179" s="112" t="str">
        <f ca="1">IF($AU179="","",OFFSET(DATA!CA128,0,$AX$48))</f>
        <v/>
      </c>
      <c r="BG179" s="112" t="str">
        <f ca="1">IF($AU179="","",DATA!CC128)</f>
        <v/>
      </c>
      <c r="BH179" s="112" t="str">
        <f ca="1">IF($AU179="","",OFFSET(DATA!CE128,0,$AX$48))</f>
        <v/>
      </c>
      <c r="BI179" s="112" t="str">
        <f ca="1">IF($AU179="","",OFFSET(DATA!CG128,0,$AX$48))</f>
        <v/>
      </c>
      <c r="BJ179" s="112" t="str">
        <f ca="1">IF($AU179="","",OFFSET(DATA!CI128,0,$AX$48))</f>
        <v/>
      </c>
      <c r="BK179" s="112" t="str">
        <f ca="1">IF($AU179="","",OFFSET(DATA!CK128,0,$AX$48))</f>
        <v/>
      </c>
      <c r="BL179" s="112" t="str">
        <f ca="1">IF($AU179="","",OFFSET(DATA!CM128,0,$AX$48))</f>
        <v/>
      </c>
      <c r="BM179" s="112" t="str">
        <f ca="1">IF($AU179="","",DATA!BH128)</f>
        <v/>
      </c>
      <c r="BN179" s="112" t="str">
        <f ca="1">IF($AU179="","",DATA!DS128)</f>
        <v/>
      </c>
      <c r="BO179" s="112" t="str">
        <f ca="1">IF($AU179="","",DATA!DU128)</f>
        <v/>
      </c>
      <c r="BP179" s="112" t="str">
        <f ca="1">IF($AU179="","",DATA!DV128)</f>
        <v/>
      </c>
      <c r="BQ179" s="112" t="str">
        <f ca="1">IF($AU179="","",DATA!DX128)</f>
        <v/>
      </c>
      <c r="BR179" s="112" t="str">
        <f ca="1">IF($AU179="","",DATA!DZ128)</f>
        <v/>
      </c>
      <c r="BS179" s="171" t="str">
        <f ca="1">IF($AU179="","",DATA!EA128)</f>
        <v/>
      </c>
      <c r="BT179" s="171" t="str">
        <f ca="1">IF($AU179="","",DATA!EC128)</f>
        <v/>
      </c>
      <c r="BU179" s="171" t="str">
        <f ca="1">IF($AU179="","",DATA!EF128)</f>
        <v/>
      </c>
      <c r="BV179" s="113" t="str">
        <f t="shared" ca="1" si="24"/>
        <v/>
      </c>
      <c r="BW179" s="680" t="str">
        <f ca="1">IF(AU179="","",OFFSET(DATA!DC128,0,'Intermediate Data'!$AX$48))</f>
        <v/>
      </c>
      <c r="BX179" s="681" t="str">
        <f ca="1">IF($AU179="","",DATA!DG128)</f>
        <v/>
      </c>
      <c r="BY179" s="680" t="str">
        <f ca="1">IF($AU179="","",OFFSET(DATA!DE128,0,'Intermediate Data'!$AX$48))</f>
        <v/>
      </c>
      <c r="BZ179" s="681" t="str">
        <f ca="1">IF($AU179="","",DATA!DH128)</f>
        <v/>
      </c>
      <c r="CA179" s="90" t="str">
        <f t="shared" ca="1" si="25"/>
        <v/>
      </c>
      <c r="CB179" s="99" t="str">
        <f t="shared" ca="1" si="26"/>
        <v/>
      </c>
      <c r="CC179" s="90" t="str">
        <f t="shared" ca="1" si="27"/>
        <v/>
      </c>
      <c r="CD179" s="90" t="str">
        <f t="shared" ca="1" si="28"/>
        <v/>
      </c>
      <c r="CF179" s="90" t="str">
        <f ca="1">IF($CD179="","",IF(OFFSET(AV$55,'Intermediate Data'!$CD179,0)=-98,"Unknown",IF(OFFSET(AV$55,'Intermediate Data'!$CD179,0)=-99,"N/A",OFFSET(AV$55,'Intermediate Data'!$CD179,0))))</f>
        <v/>
      </c>
      <c r="CG179" s="90" t="str">
        <f ca="1">IF($CD179="","",IF(OFFSET(AW$55,'Intermediate Data'!$CD179,0)=-98,"",IF(OFFSET(AW$55,'Intermediate Data'!$CD179,0)=-99,"N/A",OFFSET(AW$55,'Intermediate Data'!$CD179,0))))</f>
        <v/>
      </c>
      <c r="CH179" s="90" t="str">
        <f ca="1">IF($CD179="","",IF(OFFSET(AX$55,'Intermediate Data'!$CD179,0)=-98,"Unknown",IF(OFFSET(AX$55,'Intermediate Data'!$CD179,0)=-99,"N/A",OFFSET(AX$55,'Intermediate Data'!$CD179,0))))</f>
        <v/>
      </c>
      <c r="CI179" s="125" t="str">
        <f ca="1">IF($CD179="","",IF(OFFSET(AY$55,'Intermediate Data'!$CD179,0)=-98,"Unknown",IF(OFFSET(AY$55,'Intermediate Data'!$CD179,0)=-99,"No spec",OFFSET(AY$55,'Intermediate Data'!$CD179,0))))</f>
        <v/>
      </c>
      <c r="CJ179" s="125" t="str">
        <f ca="1">IF($CD179="","",IF(OFFSET(AZ$55,'Intermediate Data'!$CD179,0)=-98,"Unknown",IF(OFFSET(AZ$55,'Intermediate Data'!$CD179,0)=-99,"N/A",OFFSET(AZ$55,'Intermediate Data'!$CD179,0))))</f>
        <v/>
      </c>
      <c r="CK179" s="90" t="str">
        <f ca="1">IF($CD179="","",IF(OFFSET(BA$55,'Intermediate Data'!$CD179,0)=-98,"Unknown",IF(OFFSET(BA$55,'Intermediate Data'!$CD179,0)=-99,"N/A",OFFSET(BA$55,'Intermediate Data'!$CD179,0))))</f>
        <v/>
      </c>
      <c r="CL179" s="90" t="str">
        <f ca="1">IF($CD179="","",IF(OFFSET(BB$55,'Intermediate Data'!$CD179,$AX$50)=-98,"Unknown",IF(OFFSET(BB$55,'Intermediate Data'!$CD179,$AX$50)="N/A","",OFFSET(BB$55,'Intermediate Data'!$CD179,$AX$50))))</f>
        <v/>
      </c>
      <c r="CM179" s="90" t="str">
        <f ca="1">IF($CD179="","",IF(OFFSET(BG$55,'Intermediate Data'!$CD179,0)="ET","ET",""))</f>
        <v/>
      </c>
      <c r="CN179" s="90" t="str">
        <f ca="1">IF($CD179="","",IF(OFFSET(BH$55,'Intermediate Data'!$CD179,$AX$50)=-98,"Unknown",IF(OFFSET(BH$55,'Intermediate Data'!$CD179,$AX$50)="N/A","",OFFSET(BH$55,'Intermediate Data'!$CD179,$AX$50))))</f>
        <v/>
      </c>
      <c r="CO179" s="90" t="str">
        <f ca="1">IF($CD179="","",IF(OFFSET(BM$55,'Intermediate Data'!$CD179,0)=-98,"Not published",IF(OFFSET(BM$55,'Intermediate Data'!$CD179,0)=-99,"No spec",OFFSET(BM$55,'Intermediate Data'!$CD179,0))))</f>
        <v/>
      </c>
      <c r="CP179" s="114" t="str">
        <f ca="1">IF($CD179="","",IF(OFFSET(BN$55,'Intermediate Data'!$CD179,0)=-98,"Unknown",IF(OFFSET(BN$55,'Intermediate Data'!$CD179,0)=-99,"N/A",OFFSET(BN$55,'Intermediate Data'!$CD179,0))))</f>
        <v/>
      </c>
      <c r="CQ179" s="114" t="str">
        <f ca="1">IF($CD179="","",IF(OFFSET(BO$55,'Intermediate Data'!$CD179,0)=-98,"Unknown",IF(OFFSET(BO$55,'Intermediate Data'!$CD179,0)=-99,"N/A",OFFSET(BO$55,'Intermediate Data'!$CD179,0))))</f>
        <v/>
      </c>
      <c r="CR179" s="114" t="str">
        <f ca="1">IF($CD179="","",IF(OFFSET(BP$55,'Intermediate Data'!$CD179,0)=-98,"Unknown",IF(OFFSET(BP$55,'Intermediate Data'!$CD179,0)=-99,"N/A",OFFSET(BP$55,'Intermediate Data'!$CD179,0))))</f>
        <v/>
      </c>
      <c r="CS179" s="114" t="str">
        <f ca="1">IF($CD179="","",IF(OFFSET(BQ$55,'Intermediate Data'!$CD179,0)=-98,"Unknown",IF(OFFSET(BQ$55,'Intermediate Data'!$CD179,0)=-99,"N/A",OFFSET(BQ$55,'Intermediate Data'!$CD179,0))))</f>
        <v/>
      </c>
      <c r="CT179" s="114" t="str">
        <f ca="1">IF($CD179="","",IF(OFFSET(BR$55,'Intermediate Data'!$CD179,0)=-98,"Unknown",IF(OFFSET(BR$55,'Intermediate Data'!$CD179,0)=-99,"N/A",OFFSET(BR$55,'Intermediate Data'!$CD179,0))))</f>
        <v/>
      </c>
      <c r="CU179" s="114" t="str">
        <f ca="1">IF($CD179="","",IF(OFFSET(BS$55,'Intermediate Data'!$CD179,0)=-98,"Unknown",IF(OFFSET(BS$55,'Intermediate Data'!$CD179,0)=-99,"N/A",OFFSET(BS$55,'Intermediate Data'!$CD179,0))))</f>
        <v/>
      </c>
      <c r="CV179" s="114" t="str">
        <f ca="1">IF($CD179="","",IF(OFFSET(BT$55,'Intermediate Data'!$CD179,0)=-98,"Unknown",IF(OFFSET(BT$55,'Intermediate Data'!$CD179,0)=-99,"N/A",OFFSET(BT$55,'Intermediate Data'!$CD179,0))))</f>
        <v/>
      </c>
      <c r="CW179" s="114" t="str">
        <f ca="1">IF($CD179="","",IF(OFFSET(BU$55,'Intermediate Data'!$CD179,0)=-98,"Unknown",IF(OFFSET(BU$55,'Intermediate Data'!$CD179,0)=-99,"N/A",OFFSET(BU$55,'Intermediate Data'!$CD179,0))))</f>
        <v/>
      </c>
      <c r="CX179" s="114" t="str">
        <f ca="1">IF($CD179="","",IF(OFFSET(BV$55,'Intermediate Data'!$CD179,0)=-98,"Unknown",IF(OFFSET(BV$55,'Intermediate Data'!$CD179,0)=-99,"N/A",OFFSET(BV$55,'Intermediate Data'!$CD179,0))))</f>
        <v/>
      </c>
      <c r="CY179" s="682" t="str">
        <f ca="1">IF($CD179="","",IF(OFFSET(BW$55,'Intermediate Data'!$CD179,0)=-98,"Unknown",IF(OFFSET(BW$55,'Intermediate Data'!$CD179,0)="N/A","",OFFSET(BW$55,'Intermediate Data'!$CD179,0))))</f>
        <v/>
      </c>
      <c r="CZ179" s="682" t="str">
        <f ca="1">IF($CD179="","",IF(OFFSET(BX$55,'Intermediate Data'!$CD179,0)=-98,"Unknown",IF(OFFSET(BX$55,'Intermediate Data'!$CD179,0)="N/A","",OFFSET(BX$55,'Intermediate Data'!$CD179,0))))</f>
        <v/>
      </c>
      <c r="DA179" s="682" t="str">
        <f ca="1">IF($CD179="","",IF(OFFSET(BY$55,'Intermediate Data'!$CD179,0)=-98,"Unknown",IF(OFFSET(BY$55,'Intermediate Data'!$CD179,0)="N/A","",OFFSET(BY$55,'Intermediate Data'!$CD179,0))))</f>
        <v/>
      </c>
      <c r="DB179" s="682" t="str">
        <f ca="1">IF($CD179="","",IF(OFFSET(BZ$55,'Intermediate Data'!$CD179,0)=-98,"Unknown",IF(OFFSET(BZ$55,'Intermediate Data'!$CD179,0)="N/A","",OFFSET(BZ$55,'Intermediate Data'!$CD179,0))))</f>
        <v/>
      </c>
    </row>
    <row r="180" spans="1:106" x14ac:dyDescent="0.2">
      <c r="A180" s="90">
        <f ca="1">IF(OFFSET(DATA!F129,0,$D$48)='Intermediate Data'!$E$48,IF(OR($E$49=$C$27,$E$48=$B$4),DATA!A129,IF($G$49=DATA!D129,DATA!A129,"")),"")</f>
        <v>125</v>
      </c>
      <c r="B180" s="90">
        <f ca="1">IF($A180="","",DATA!EH129)</f>
        <v>86</v>
      </c>
      <c r="C180" s="90" t="str">
        <f ca="1">IF($A180="","",DATA!B129)</f>
        <v>Garage door opener</v>
      </c>
      <c r="D180" s="90">
        <f ca="1">IF($A180="","",OFFSET(DATA!$H129,0,($D$50*5)))</f>
        <v>-99</v>
      </c>
      <c r="E180" s="90">
        <f ca="1">IF($A180="","",OFFSET(DATA!$H129,0,($D$50*5)+1))</f>
        <v>0.408969211023756</v>
      </c>
      <c r="F180" s="90">
        <f ca="1">IF($A180="","",OFFSET(DATA!$H129,0,($D$50*5)+2))</f>
        <v>-99</v>
      </c>
      <c r="G180" s="90">
        <f ca="1">IF($A180="","",OFFSET(DATA!$H129,0,($D$50*5)+3))</f>
        <v>0.48344731109113542</v>
      </c>
      <c r="H180" s="90">
        <f ca="1">IF($A180="","",OFFSET(DATA!$H129,0,($D$50*5)+4))</f>
        <v>-99</v>
      </c>
      <c r="I180" s="90">
        <f t="shared" ca="1" si="17"/>
        <v>0.48344731109113542</v>
      </c>
      <c r="J180" s="90" t="str">
        <f t="shared" ca="1" si="18"/>
        <v>RASS</v>
      </c>
      <c r="K180" s="90">
        <f ca="1">IF($A180="","",OFFSET(DATA!$AG129,0,($D$50*5)))</f>
        <v>-99</v>
      </c>
      <c r="L180" s="90">
        <f ca="1">IF($A180="","",OFFSET(DATA!$AG129,0,($D$50*5)+1))</f>
        <v>0.46079323750365508</v>
      </c>
      <c r="M180" s="90">
        <f ca="1">IF($A180="","",OFFSET(DATA!$AG129,0,($D$50*5)+2))</f>
        <v>-99</v>
      </c>
      <c r="N180" s="90">
        <f ca="1">IF($A180="","",OFFSET(DATA!$AG129,0,($D$50*5)+3))</f>
        <v>0.56064717755939975</v>
      </c>
      <c r="O180" s="90">
        <f ca="1">IF($A180="","",OFFSET(DATA!$AG129,0,($D$50*5)+4))</f>
        <v>-99</v>
      </c>
      <c r="P180" s="90">
        <f t="shared" ca="1" si="19"/>
        <v>0.56064717755939975</v>
      </c>
      <c r="Q180" s="90" t="str">
        <f t="shared" ca="1" si="20"/>
        <v>RASS</v>
      </c>
      <c r="R180" s="699">
        <f ca="1">IF($A180="","",IF(DATA!BF129="",-99,DATA!BF129))</f>
        <v>-99</v>
      </c>
      <c r="S180" s="90">
        <f ca="1">IF($A180="","",IF(DATA!BG129="",-99,DATA!BF129-DATA!BG129))</f>
        <v>-99</v>
      </c>
      <c r="T180" s="90">
        <f ca="1">IF($A180="","",DATA!BH129)</f>
        <v>-99</v>
      </c>
      <c r="U180" s="90">
        <f ca="1">IF($A180="","",OFFSET(DATA!BM129,0,$D$48))</f>
        <v>-99</v>
      </c>
      <c r="V180" s="90">
        <f t="shared" ca="1" si="29"/>
        <v>86</v>
      </c>
      <c r="W180" s="99">
        <f t="shared" ca="1" si="21"/>
        <v>85.999930941530423</v>
      </c>
      <c r="X180" s="112">
        <f t="shared" ca="1" si="22"/>
        <v>3.9998812019100001</v>
      </c>
      <c r="Y180" s="90">
        <f t="shared" ca="1" si="23"/>
        <v>136</v>
      </c>
      <c r="AA180" s="90" t="str">
        <f ca="1">IF($Y180="","",IF(OFFSET(C$55,'Intermediate Data'!$Y180,0)=-98,"Unknown",IF(OFFSET(C$55,'Intermediate Data'!$Y180,0)=-99,"N/A",OFFSET(C$55,'Intermediate Data'!$Y180,0))))</f>
        <v>Water softener</v>
      </c>
      <c r="AB180" s="90" t="str">
        <f ca="1">IF($Y180="","",IF(OFFSET(D$55,'Intermediate Data'!$Y180,0)=-98,"N/A",IF(OFFSET(D$55,'Intermediate Data'!$Y180,0)=-99,"N/A",OFFSET(D$55,'Intermediate Data'!$Y180,0))))</f>
        <v>N/A</v>
      </c>
      <c r="AC180" s="90" t="str">
        <f ca="1">IF($Y180="","",IF(OFFSET(E$55,'Intermediate Data'!$Y180,0)=-98,"N/A",IF(OFFSET(E$55,'Intermediate Data'!$Y180,0)=-99,"N/A",OFFSET(E$55,'Intermediate Data'!$Y180,0))))</f>
        <v>N/A</v>
      </c>
      <c r="AD180" s="90" t="str">
        <f ca="1">IF($Y180="","",IF(OFFSET(F$55,'Intermediate Data'!$Y180,0)=-98,"N/A",IF(OFFSET(F$55,'Intermediate Data'!$Y180,0)=-99,"N/A",OFFSET(F$55,'Intermediate Data'!$Y180,0))))</f>
        <v>N/A</v>
      </c>
      <c r="AE180" s="90" t="str">
        <f ca="1">IF($Y180="","",IF(OFFSET(G$55,'Intermediate Data'!$Y180,0)=-98,"N/A",IF(OFFSET(G$55,'Intermediate Data'!$Y180,0)=-99,"N/A",OFFSET(G$55,'Intermediate Data'!$Y180,0))))</f>
        <v>N/A</v>
      </c>
      <c r="AF180" s="90" t="str">
        <f ca="1">IF($Y180="","",IF(OFFSET(H$55,'Intermediate Data'!$Y180,0)=-98,"N/A",IF(OFFSET(H$55,'Intermediate Data'!$Y180,0)=-99,"N/A",OFFSET(H$55,'Intermediate Data'!$Y180,0))))</f>
        <v>N/A</v>
      </c>
      <c r="AG180" s="90" t="str">
        <f ca="1">IF($Y180="","",IF(OFFSET(I$55,'Intermediate Data'!$Y180,0)=-98,"N/A",IF(OFFSET(I$55,'Intermediate Data'!$Y180,0)=-99,"N/A",OFFSET(I$55,'Intermediate Data'!$Y180,0))))</f>
        <v>N/A</v>
      </c>
      <c r="AH180" s="90" t="str">
        <f ca="1">IF($Y180="","",IF(OFFSET(J$55,'Intermediate Data'!$Y180,0)=-98,"N/A",IF(OFFSET(J$55,'Intermediate Data'!$Y180,0)=-99,"N/A",OFFSET(J$55,'Intermediate Data'!$Y180,0))))</f>
        <v/>
      </c>
      <c r="AI180" s="90" t="str">
        <f ca="1">IF($Y180="","",IF(OFFSET(K$55,'Intermediate Data'!$Y180,0)=-98,"N/A",IF(OFFSET(K$55,'Intermediate Data'!$Y180,0)=-99,"N/A",OFFSET(K$55,'Intermediate Data'!$Y180,0))))</f>
        <v>N/A</v>
      </c>
      <c r="AJ180" s="90" t="str">
        <f ca="1">IF($Y180="","",IF(OFFSET(L$55,'Intermediate Data'!$Y180,0)=-98,"N/A",IF(OFFSET(L$55,'Intermediate Data'!$Y180,0)=-99,"N/A",OFFSET(L$55,'Intermediate Data'!$Y180,0))))</f>
        <v>N/A</v>
      </c>
      <c r="AK180" s="90" t="str">
        <f ca="1">IF($Y180="","",IF(OFFSET(M$55,'Intermediate Data'!$Y180,0)=-98,"N/A",IF(OFFSET(M$55,'Intermediate Data'!$Y180,0)=-99,"N/A",OFFSET(M$55,'Intermediate Data'!$Y180,0))))</f>
        <v>N/A</v>
      </c>
      <c r="AL180" s="90" t="str">
        <f ca="1">IF($Y180="","",IF(OFFSET(N$55,'Intermediate Data'!$Y180,0)=-98,"N/A",IF(OFFSET(N$55,'Intermediate Data'!$Y180,0)=-99,"N/A",OFFSET(N$55,'Intermediate Data'!$Y180,0))))</f>
        <v>N/A</v>
      </c>
      <c r="AM180" s="90" t="str">
        <f ca="1">IF($Y180="","",IF(OFFSET(O$55,'Intermediate Data'!$Y180,0)=-98,"N/A",IF(OFFSET(O$55,'Intermediate Data'!$Y180,0)=-99,"N/A",OFFSET(O$55,'Intermediate Data'!$Y180,0))))</f>
        <v>N/A</v>
      </c>
      <c r="AN180" s="90" t="str">
        <f ca="1">IF($Y180="","",IF(OFFSET(P$55,'Intermediate Data'!$Y180,0)=-98,"N/A",IF(OFFSET(P$55,'Intermediate Data'!$Y180,0)=-99,"N/A",OFFSET(P$55,'Intermediate Data'!$Y180,0))))</f>
        <v>N/A</v>
      </c>
      <c r="AO180" s="90" t="str">
        <f ca="1">IF($Y180="","",IF(OFFSET(Q$55,'Intermediate Data'!$Y180,0)=-98,"N/A",IF(OFFSET(Q$55,'Intermediate Data'!$Y180,0)=-99,"N/A",OFFSET(Q$55,'Intermediate Data'!$Y180,0))))</f>
        <v/>
      </c>
      <c r="AP180" s="697" t="str">
        <f ca="1">IF($Y180="","",IF(OFFSET(S$55,'Intermediate Data'!$Y180,0)=-98,"",IF(OFFSET(S$55,'Intermediate Data'!$Y180,0)=-99,"",OFFSET(S$55,'Intermediate Data'!$Y180,0))))</f>
        <v/>
      </c>
      <c r="AQ180" s="90" t="str">
        <f ca="1">IF($Y180="","",IF(OFFSET(T$55,'Intermediate Data'!$Y180,0)=-98,"Not published",IF(OFFSET(T$55,'Intermediate Data'!$Y180,0)=-99,"",OFFSET(T$55,'Intermediate Data'!$Y180,0))))</f>
        <v/>
      </c>
      <c r="AR180" s="90" t="str">
        <f ca="1">IF($Y180="","",IF(OFFSET(U$55,'Intermediate Data'!$Y180,0)=-98,"Unknown",IF(OFFSET(U$55,'Intermediate Data'!$Y180,0)=-99,"",OFFSET(U$55,'Intermediate Data'!$Y180,0))))</f>
        <v/>
      </c>
      <c r="AU180" s="112" t="str">
        <f ca="1">IF(AND(OFFSET(DATA!$F129,0,$AX$48)='Intermediate Data'!$AY$48,DATA!$E129="Tier 1"),IF(OR($AX$49=0,$AX$48=1),DATA!A129,IF(AND($AX$49=1,INDEX('Intermediate Data'!$AY$25:$AY$44,MATCH(DATA!$B129,'Intermediate Data'!$AX$25:$AX$44,0))=TRUE),DATA!A129,"")),"")</f>
        <v/>
      </c>
      <c r="AV180" s="112" t="str">
        <f ca="1">IF($AU180="","",DATA!B129)</f>
        <v/>
      </c>
      <c r="AW180" s="112" t="str">
        <f ca="1">IF(OR($AU180="",DATA!BI129=""),"",DATA!BI129)</f>
        <v/>
      </c>
      <c r="AX180" s="112" t="str">
        <f ca="1">IF(OR($AU180="",OFFSET(DATA!BK129,0,$AX$48)=""),"",OFFSET(DATA!BK129,0,$AX$48))</f>
        <v/>
      </c>
      <c r="AY180" s="112" t="str">
        <f ca="1">IF(OR($AU180="",OFFSET(DATA!BM129,0,$AX$48)=""),"",OFFSET(DATA!BM129,0,$AX$48))</f>
        <v/>
      </c>
      <c r="AZ180" s="112" t="str">
        <f ca="1">IF(OR($AU180="",OFFSET(DATA!BO129,0,'Intermediate Data'!$AX$48)=""),"",OFFSET(DATA!BO129,0,$AX$48))</f>
        <v/>
      </c>
      <c r="BA180" s="112" t="str">
        <f ca="1">IF(OR($AU180="",DATA!BQ129=""),"",DATA!BQ129)</f>
        <v/>
      </c>
      <c r="BB180" s="112" t="str">
        <f ca="1">IF($AU180="","",OFFSET(DATA!BS129,0,$AX$48))</f>
        <v/>
      </c>
      <c r="BC180" s="112" t="str">
        <f ca="1">IF($AU180="","",OFFSET(DATA!BU129,0,$AX$48))</f>
        <v/>
      </c>
      <c r="BD180" s="112" t="str">
        <f ca="1">IF($AU180="","",OFFSET(DATA!BW129,0,$AX$48))</f>
        <v/>
      </c>
      <c r="BE180" s="112" t="str">
        <f ca="1">IF($AU180="","",OFFSET(DATA!BY129,0,$AX$48))</f>
        <v/>
      </c>
      <c r="BF180" s="112" t="str">
        <f ca="1">IF($AU180="","",OFFSET(DATA!CA129,0,$AX$48))</f>
        <v/>
      </c>
      <c r="BG180" s="112" t="str">
        <f ca="1">IF($AU180="","",DATA!CC129)</f>
        <v/>
      </c>
      <c r="BH180" s="112" t="str">
        <f ca="1">IF($AU180="","",OFFSET(DATA!CE129,0,$AX$48))</f>
        <v/>
      </c>
      <c r="BI180" s="112" t="str">
        <f ca="1">IF($AU180="","",OFFSET(DATA!CG129,0,$AX$48))</f>
        <v/>
      </c>
      <c r="BJ180" s="112" t="str">
        <f ca="1">IF($AU180="","",OFFSET(DATA!CI129,0,$AX$48))</f>
        <v/>
      </c>
      <c r="BK180" s="112" t="str">
        <f ca="1">IF($AU180="","",OFFSET(DATA!CK129,0,$AX$48))</f>
        <v/>
      </c>
      <c r="BL180" s="112" t="str">
        <f ca="1">IF($AU180="","",OFFSET(DATA!CM129,0,$AX$48))</f>
        <v/>
      </c>
      <c r="BM180" s="112" t="str">
        <f ca="1">IF($AU180="","",DATA!BH129)</f>
        <v/>
      </c>
      <c r="BN180" s="112" t="str">
        <f ca="1">IF($AU180="","",DATA!DS129)</f>
        <v/>
      </c>
      <c r="BO180" s="112" t="str">
        <f ca="1">IF($AU180="","",DATA!DU129)</f>
        <v/>
      </c>
      <c r="BP180" s="112" t="str">
        <f ca="1">IF($AU180="","",DATA!DV129)</f>
        <v/>
      </c>
      <c r="BQ180" s="112" t="str">
        <f ca="1">IF($AU180="","",DATA!DX129)</f>
        <v/>
      </c>
      <c r="BR180" s="112" t="str">
        <f ca="1">IF($AU180="","",DATA!DZ129)</f>
        <v/>
      </c>
      <c r="BS180" s="171" t="str">
        <f ca="1">IF($AU180="","",DATA!EA129)</f>
        <v/>
      </c>
      <c r="BT180" s="171" t="str">
        <f ca="1">IF($AU180="","",DATA!EC129)</f>
        <v/>
      </c>
      <c r="BU180" s="171" t="str">
        <f ca="1">IF($AU180="","",DATA!EF129)</f>
        <v/>
      </c>
      <c r="BV180" s="113" t="str">
        <f t="shared" ca="1" si="24"/>
        <v/>
      </c>
      <c r="BW180" s="680" t="str">
        <f ca="1">IF(AU180="","",OFFSET(DATA!DC129,0,'Intermediate Data'!$AX$48))</f>
        <v/>
      </c>
      <c r="BX180" s="681" t="str">
        <f ca="1">IF($AU180="","",DATA!DG129)</f>
        <v/>
      </c>
      <c r="BY180" s="680" t="str">
        <f ca="1">IF($AU180="","",OFFSET(DATA!DE129,0,'Intermediate Data'!$AX$48))</f>
        <v/>
      </c>
      <c r="BZ180" s="681" t="str">
        <f ca="1">IF($AU180="","",DATA!DH129)</f>
        <v/>
      </c>
      <c r="CA180" s="90" t="str">
        <f t="shared" ca="1" si="25"/>
        <v/>
      </c>
      <c r="CB180" s="99" t="str">
        <f t="shared" ca="1" si="26"/>
        <v/>
      </c>
      <c r="CC180" s="90" t="str">
        <f t="shared" ca="1" si="27"/>
        <v/>
      </c>
      <c r="CD180" s="90" t="str">
        <f t="shared" ca="1" si="28"/>
        <v/>
      </c>
      <c r="CF180" s="90" t="str">
        <f ca="1">IF($CD180="","",IF(OFFSET(AV$55,'Intermediate Data'!$CD180,0)=-98,"Unknown",IF(OFFSET(AV$55,'Intermediate Data'!$CD180,0)=-99,"N/A",OFFSET(AV$55,'Intermediate Data'!$CD180,0))))</f>
        <v/>
      </c>
      <c r="CG180" s="90" t="str">
        <f ca="1">IF($CD180="","",IF(OFFSET(AW$55,'Intermediate Data'!$CD180,0)=-98,"",IF(OFFSET(AW$55,'Intermediate Data'!$CD180,0)=-99,"N/A",OFFSET(AW$55,'Intermediate Data'!$CD180,0))))</f>
        <v/>
      </c>
      <c r="CH180" s="90" t="str">
        <f ca="1">IF($CD180="","",IF(OFFSET(AX$55,'Intermediate Data'!$CD180,0)=-98,"Unknown",IF(OFFSET(AX$55,'Intermediate Data'!$CD180,0)=-99,"N/A",OFFSET(AX$55,'Intermediate Data'!$CD180,0))))</f>
        <v/>
      </c>
      <c r="CI180" s="125" t="str">
        <f ca="1">IF($CD180="","",IF(OFFSET(AY$55,'Intermediate Data'!$CD180,0)=-98,"Unknown",IF(OFFSET(AY$55,'Intermediate Data'!$CD180,0)=-99,"No spec",OFFSET(AY$55,'Intermediate Data'!$CD180,0))))</f>
        <v/>
      </c>
      <c r="CJ180" s="125" t="str">
        <f ca="1">IF($CD180="","",IF(OFFSET(AZ$55,'Intermediate Data'!$CD180,0)=-98,"Unknown",IF(OFFSET(AZ$55,'Intermediate Data'!$CD180,0)=-99,"N/A",OFFSET(AZ$55,'Intermediate Data'!$CD180,0))))</f>
        <v/>
      </c>
      <c r="CK180" s="90" t="str">
        <f ca="1">IF($CD180="","",IF(OFFSET(BA$55,'Intermediate Data'!$CD180,0)=-98,"Unknown",IF(OFFSET(BA$55,'Intermediate Data'!$CD180,0)=-99,"N/A",OFFSET(BA$55,'Intermediate Data'!$CD180,0))))</f>
        <v/>
      </c>
      <c r="CL180" s="90" t="str">
        <f ca="1">IF($CD180="","",IF(OFFSET(BB$55,'Intermediate Data'!$CD180,$AX$50)=-98,"Unknown",IF(OFFSET(BB$55,'Intermediate Data'!$CD180,$AX$50)="N/A","",OFFSET(BB$55,'Intermediate Data'!$CD180,$AX$50))))</f>
        <v/>
      </c>
      <c r="CM180" s="90" t="str">
        <f ca="1">IF($CD180="","",IF(OFFSET(BG$55,'Intermediate Data'!$CD180,0)="ET","ET",""))</f>
        <v/>
      </c>
      <c r="CN180" s="90" t="str">
        <f ca="1">IF($CD180="","",IF(OFFSET(BH$55,'Intermediate Data'!$CD180,$AX$50)=-98,"Unknown",IF(OFFSET(BH$55,'Intermediate Data'!$CD180,$AX$50)="N/A","",OFFSET(BH$55,'Intermediate Data'!$CD180,$AX$50))))</f>
        <v/>
      </c>
      <c r="CO180" s="90" t="str">
        <f ca="1">IF($CD180="","",IF(OFFSET(BM$55,'Intermediate Data'!$CD180,0)=-98,"Not published",IF(OFFSET(BM$55,'Intermediate Data'!$CD180,0)=-99,"No spec",OFFSET(BM$55,'Intermediate Data'!$CD180,0))))</f>
        <v/>
      </c>
      <c r="CP180" s="114" t="str">
        <f ca="1">IF($CD180="","",IF(OFFSET(BN$55,'Intermediate Data'!$CD180,0)=-98,"Unknown",IF(OFFSET(BN$55,'Intermediate Data'!$CD180,0)=-99,"N/A",OFFSET(BN$55,'Intermediate Data'!$CD180,0))))</f>
        <v/>
      </c>
      <c r="CQ180" s="114" t="str">
        <f ca="1">IF($CD180="","",IF(OFFSET(BO$55,'Intermediate Data'!$CD180,0)=-98,"Unknown",IF(OFFSET(BO$55,'Intermediate Data'!$CD180,0)=-99,"N/A",OFFSET(BO$55,'Intermediate Data'!$CD180,0))))</f>
        <v/>
      </c>
      <c r="CR180" s="114" t="str">
        <f ca="1">IF($CD180="","",IF(OFFSET(BP$55,'Intermediate Data'!$CD180,0)=-98,"Unknown",IF(OFFSET(BP$55,'Intermediate Data'!$CD180,0)=-99,"N/A",OFFSET(BP$55,'Intermediate Data'!$CD180,0))))</f>
        <v/>
      </c>
      <c r="CS180" s="114" t="str">
        <f ca="1">IF($CD180="","",IF(OFFSET(BQ$55,'Intermediate Data'!$CD180,0)=-98,"Unknown",IF(OFFSET(BQ$55,'Intermediate Data'!$CD180,0)=-99,"N/A",OFFSET(BQ$55,'Intermediate Data'!$CD180,0))))</f>
        <v/>
      </c>
      <c r="CT180" s="114" t="str">
        <f ca="1">IF($CD180="","",IF(OFFSET(BR$55,'Intermediate Data'!$CD180,0)=-98,"Unknown",IF(OFFSET(BR$55,'Intermediate Data'!$CD180,0)=-99,"N/A",OFFSET(BR$55,'Intermediate Data'!$CD180,0))))</f>
        <v/>
      </c>
      <c r="CU180" s="114" t="str">
        <f ca="1">IF($CD180="","",IF(OFFSET(BS$55,'Intermediate Data'!$CD180,0)=-98,"Unknown",IF(OFFSET(BS$55,'Intermediate Data'!$CD180,0)=-99,"N/A",OFFSET(BS$55,'Intermediate Data'!$CD180,0))))</f>
        <v/>
      </c>
      <c r="CV180" s="114" t="str">
        <f ca="1">IF($CD180="","",IF(OFFSET(BT$55,'Intermediate Data'!$CD180,0)=-98,"Unknown",IF(OFFSET(BT$55,'Intermediate Data'!$CD180,0)=-99,"N/A",OFFSET(BT$55,'Intermediate Data'!$CD180,0))))</f>
        <v/>
      </c>
      <c r="CW180" s="114" t="str">
        <f ca="1">IF($CD180="","",IF(OFFSET(BU$55,'Intermediate Data'!$CD180,0)=-98,"Unknown",IF(OFFSET(BU$55,'Intermediate Data'!$CD180,0)=-99,"N/A",OFFSET(BU$55,'Intermediate Data'!$CD180,0))))</f>
        <v/>
      </c>
      <c r="CX180" s="114" t="str">
        <f ca="1">IF($CD180="","",IF(OFFSET(BV$55,'Intermediate Data'!$CD180,0)=-98,"Unknown",IF(OFFSET(BV$55,'Intermediate Data'!$CD180,0)=-99,"N/A",OFFSET(BV$55,'Intermediate Data'!$CD180,0))))</f>
        <v/>
      </c>
      <c r="CY180" s="682" t="str">
        <f ca="1">IF($CD180="","",IF(OFFSET(BW$55,'Intermediate Data'!$CD180,0)=-98,"Unknown",IF(OFFSET(BW$55,'Intermediate Data'!$CD180,0)="N/A","",OFFSET(BW$55,'Intermediate Data'!$CD180,0))))</f>
        <v/>
      </c>
      <c r="CZ180" s="682" t="str">
        <f ca="1">IF($CD180="","",IF(OFFSET(BX$55,'Intermediate Data'!$CD180,0)=-98,"Unknown",IF(OFFSET(BX$55,'Intermediate Data'!$CD180,0)="N/A","",OFFSET(BX$55,'Intermediate Data'!$CD180,0))))</f>
        <v/>
      </c>
      <c r="DA180" s="682" t="str">
        <f ca="1">IF($CD180="","",IF(OFFSET(BY$55,'Intermediate Data'!$CD180,0)=-98,"Unknown",IF(OFFSET(BY$55,'Intermediate Data'!$CD180,0)="N/A","",OFFSET(BY$55,'Intermediate Data'!$CD180,0))))</f>
        <v/>
      </c>
      <c r="DB180" s="682" t="str">
        <f ca="1">IF($CD180="","",IF(OFFSET(BZ$55,'Intermediate Data'!$CD180,0)=-98,"Unknown",IF(OFFSET(BZ$55,'Intermediate Data'!$CD180,0)="N/A","",OFFSET(BZ$55,'Intermediate Data'!$CD180,0))))</f>
        <v/>
      </c>
    </row>
    <row r="181" spans="1:106" x14ac:dyDescent="0.2">
      <c r="A181" s="90">
        <f ca="1">IF(OFFSET(DATA!F130,0,$D$48)='Intermediate Data'!$E$48,IF(OR($E$49=$C$27,$E$48=$B$4),DATA!A130,IF($G$49=DATA!D130,DATA!A130,"")),"")</f>
        <v>126</v>
      </c>
      <c r="B181" s="90">
        <f ca="1">IF($A181="","",DATA!EH130)</f>
        <v>71</v>
      </c>
      <c r="C181" s="90" t="str">
        <f ca="1">IF($A181="","",DATA!B130)</f>
        <v>Infant monitor transmitter</v>
      </c>
      <c r="D181" s="90">
        <f ca="1">IF($A181="","",OFFSET(DATA!$H130,0,($D$50*5)))</f>
        <v>-99</v>
      </c>
      <c r="E181" s="90">
        <f ca="1">IF($A181="","",OFFSET(DATA!$H130,0,($D$50*5)+1))</f>
        <v>-99</v>
      </c>
      <c r="F181" s="90">
        <f ca="1">IF($A181="","",OFFSET(DATA!$H130,0,($D$50*5)+2))</f>
        <v>-99</v>
      </c>
      <c r="G181" s="90">
        <f ca="1">IF($A181="","",OFFSET(DATA!$H130,0,($D$50*5)+3))</f>
        <v>-99</v>
      </c>
      <c r="H181" s="90">
        <f ca="1">IF($A181="","",OFFSET(DATA!$H130,0,($D$50*5)+4))</f>
        <v>-99</v>
      </c>
      <c r="I181" s="90">
        <f t="shared" ca="1" si="17"/>
        <v>-99</v>
      </c>
      <c r="J181" s="90" t="str">
        <f t="shared" ca="1" si="18"/>
        <v/>
      </c>
      <c r="K181" s="90">
        <f ca="1">IF($A181="","",OFFSET(DATA!$AG130,0,($D$50*5)))</f>
        <v>-99</v>
      </c>
      <c r="L181" s="90">
        <f ca="1">IF($A181="","",OFFSET(DATA!$AG130,0,($D$50*5)+1))</f>
        <v>-99</v>
      </c>
      <c r="M181" s="90">
        <f ca="1">IF($A181="","",OFFSET(DATA!$AG130,0,($D$50*5)+2))</f>
        <v>-99</v>
      </c>
      <c r="N181" s="90">
        <f ca="1">IF($A181="","",OFFSET(DATA!$AG130,0,($D$50*5)+3))</f>
        <v>-99</v>
      </c>
      <c r="O181" s="90">
        <f ca="1">IF($A181="","",OFFSET(DATA!$AG130,0,($D$50*5)+4))</f>
        <v>-99</v>
      </c>
      <c r="P181" s="90">
        <f t="shared" ca="1" si="19"/>
        <v>-99</v>
      </c>
      <c r="Q181" s="90" t="str">
        <f t="shared" ca="1" si="20"/>
        <v/>
      </c>
      <c r="R181" s="699">
        <f ca="1">IF($A181="","",IF(DATA!BF130="",-99,DATA!BF130))</f>
        <v>-99</v>
      </c>
      <c r="S181" s="90">
        <f ca="1">IF($A181="","",IF(DATA!BG130="",-99,DATA!BF130-DATA!BG130))</f>
        <v>-99</v>
      </c>
      <c r="T181" s="90">
        <f ca="1">IF($A181="","",DATA!BH130)</f>
        <v>-99</v>
      </c>
      <c r="U181" s="90">
        <f ca="1">IF($A181="","",OFFSET(DATA!BM130,0,$D$48))</f>
        <v>-99</v>
      </c>
      <c r="V181" s="90">
        <f t="shared" ca="1" si="29"/>
        <v>71</v>
      </c>
      <c r="W181" s="99">
        <f t="shared" ca="1" si="21"/>
        <v>70.999881201809998</v>
      </c>
      <c r="X181" s="112">
        <f t="shared" ca="1" si="22"/>
        <v>2.9999109067837941</v>
      </c>
      <c r="Y181" s="90">
        <f t="shared" ca="1" si="23"/>
        <v>111</v>
      </c>
      <c r="AA181" s="90" t="str">
        <f ca="1">IF($Y181="","",IF(OFFSET(C$55,'Intermediate Data'!$Y181,0)=-98,"Unknown",IF(OFFSET(C$55,'Intermediate Data'!$Y181,0)=-99,"N/A",OFFSET(C$55,'Intermediate Data'!$Y181,0))))</f>
        <v>Waterbed heater</v>
      </c>
      <c r="AB181" s="90" t="str">
        <f ca="1">IF($Y181="","",IF(OFFSET(D$55,'Intermediate Data'!$Y181,0)=-98,"N/A",IF(OFFSET(D$55,'Intermediate Data'!$Y181,0)=-99,"N/A",OFFSET(D$55,'Intermediate Data'!$Y181,0))))</f>
        <v>N/A</v>
      </c>
      <c r="AC181" s="90">
        <f ca="1">IF($Y181="","",IF(OFFSET(E$55,'Intermediate Data'!$Y181,0)=-98,"N/A",IF(OFFSET(E$55,'Intermediate Data'!$Y181,0)=-99,"N/A",OFFSET(E$55,'Intermediate Data'!$Y181,0))))</f>
        <v>1.6462975021171413E-2</v>
      </c>
      <c r="AD181" s="90" t="str">
        <f ca="1">IF($Y181="","",IF(OFFSET(F$55,'Intermediate Data'!$Y181,0)=-98,"N/A",IF(OFFSET(F$55,'Intermediate Data'!$Y181,0)=-99,"N/A",OFFSET(F$55,'Intermediate Data'!$Y181,0))))</f>
        <v>N/A</v>
      </c>
      <c r="AE181" s="90" t="str">
        <f ca="1">IF($Y181="","",IF(OFFSET(G$55,'Intermediate Data'!$Y181,0)=-98,"N/A",IF(OFFSET(G$55,'Intermediate Data'!$Y181,0)=-99,"N/A",OFFSET(G$55,'Intermediate Data'!$Y181,0))))</f>
        <v>N/A</v>
      </c>
      <c r="AF181" s="90" t="str">
        <f ca="1">IF($Y181="","",IF(OFFSET(H$55,'Intermediate Data'!$Y181,0)=-98,"N/A",IF(OFFSET(H$55,'Intermediate Data'!$Y181,0)=-99,"N/A",OFFSET(H$55,'Intermediate Data'!$Y181,0))))</f>
        <v>N/A</v>
      </c>
      <c r="AG181" s="90">
        <f ca="1">IF($Y181="","",IF(OFFSET(I$55,'Intermediate Data'!$Y181,0)=-98,"N/A",IF(OFFSET(I$55,'Intermediate Data'!$Y181,0)=-99,"N/A",OFFSET(I$55,'Intermediate Data'!$Y181,0))))</f>
        <v>1.6462975021171413E-2</v>
      </c>
      <c r="AH181" s="90" t="str">
        <f ca="1">IF($Y181="","",IF(OFFSET(J$55,'Intermediate Data'!$Y181,0)=-98,"N/A",IF(OFFSET(J$55,'Intermediate Data'!$Y181,0)=-99,"N/A",OFFSET(J$55,'Intermediate Data'!$Y181,0))))</f>
        <v>RASS</v>
      </c>
      <c r="AI181" s="90" t="str">
        <f ca="1">IF($Y181="","",IF(OFFSET(K$55,'Intermediate Data'!$Y181,0)=-98,"N/A",IF(OFFSET(K$55,'Intermediate Data'!$Y181,0)=-99,"N/A",OFFSET(K$55,'Intermediate Data'!$Y181,0))))</f>
        <v>N/A</v>
      </c>
      <c r="AJ181" s="90">
        <f ca="1">IF($Y181="","",IF(OFFSET(L$55,'Intermediate Data'!$Y181,0)=-98,"N/A",IF(OFFSET(L$55,'Intermediate Data'!$Y181,0)=-99,"N/A",OFFSET(L$55,'Intermediate Data'!$Y181,0))))</f>
        <v>1.8311989128922661E-2</v>
      </c>
      <c r="AK181" s="90" t="str">
        <f ca="1">IF($Y181="","",IF(OFFSET(M$55,'Intermediate Data'!$Y181,0)=-98,"N/A",IF(OFFSET(M$55,'Intermediate Data'!$Y181,0)=-99,"N/A",OFFSET(M$55,'Intermediate Data'!$Y181,0))))</f>
        <v>N/A</v>
      </c>
      <c r="AL181" s="90" t="str">
        <f ca="1">IF($Y181="","",IF(OFFSET(N$55,'Intermediate Data'!$Y181,0)=-98,"N/A",IF(OFFSET(N$55,'Intermediate Data'!$Y181,0)=-99,"N/A",OFFSET(N$55,'Intermediate Data'!$Y181,0))))</f>
        <v>N/A</v>
      </c>
      <c r="AM181" s="90" t="str">
        <f ca="1">IF($Y181="","",IF(OFFSET(O$55,'Intermediate Data'!$Y181,0)=-98,"N/A",IF(OFFSET(O$55,'Intermediate Data'!$Y181,0)=-99,"N/A",OFFSET(O$55,'Intermediate Data'!$Y181,0))))</f>
        <v>N/A</v>
      </c>
      <c r="AN181" s="90">
        <f ca="1">IF($Y181="","",IF(OFFSET(P$55,'Intermediate Data'!$Y181,0)=-98,"N/A",IF(OFFSET(P$55,'Intermediate Data'!$Y181,0)=-99,"N/A",OFFSET(P$55,'Intermediate Data'!$Y181,0))))</f>
        <v>1.8311989128922661E-2</v>
      </c>
      <c r="AO181" s="90" t="str">
        <f ca="1">IF($Y181="","",IF(OFFSET(Q$55,'Intermediate Data'!$Y181,0)=-98,"N/A",IF(OFFSET(Q$55,'Intermediate Data'!$Y181,0)=-99,"N/A",OFFSET(Q$55,'Intermediate Data'!$Y181,0))))</f>
        <v>RASS</v>
      </c>
      <c r="AP181" s="697" t="str">
        <f ca="1">IF($Y181="","",IF(OFFSET(S$55,'Intermediate Data'!$Y181,0)=-98,"",IF(OFFSET(S$55,'Intermediate Data'!$Y181,0)=-99,"",OFFSET(S$55,'Intermediate Data'!$Y181,0))))</f>
        <v/>
      </c>
      <c r="AQ181" s="90" t="str">
        <f ca="1">IF($Y181="","",IF(OFFSET(T$55,'Intermediate Data'!$Y181,0)=-98,"Not published",IF(OFFSET(T$55,'Intermediate Data'!$Y181,0)=-99,"",OFFSET(T$55,'Intermediate Data'!$Y181,0))))</f>
        <v/>
      </c>
      <c r="AR181" s="90" t="str">
        <f ca="1">IF($Y181="","",IF(OFFSET(U$55,'Intermediate Data'!$Y181,0)=-98,"Unknown",IF(OFFSET(U$55,'Intermediate Data'!$Y181,0)=-99,"",OFFSET(U$55,'Intermediate Data'!$Y181,0))))</f>
        <v/>
      </c>
      <c r="AU181" s="112" t="str">
        <f ca="1">IF(AND(OFFSET(DATA!$F130,0,$AX$48)='Intermediate Data'!$AY$48,DATA!$E130="Tier 1"),IF(OR($AX$49=0,$AX$48=1),DATA!A130,IF(AND($AX$49=1,INDEX('Intermediate Data'!$AY$25:$AY$44,MATCH(DATA!$B130,'Intermediate Data'!$AX$25:$AX$44,0))=TRUE),DATA!A130,"")),"")</f>
        <v/>
      </c>
      <c r="AV181" s="112" t="str">
        <f ca="1">IF($AU181="","",DATA!B130)</f>
        <v/>
      </c>
      <c r="AW181" s="112" t="str">
        <f ca="1">IF(OR($AU181="",DATA!BI130=""),"",DATA!BI130)</f>
        <v/>
      </c>
      <c r="AX181" s="112" t="str">
        <f ca="1">IF(OR($AU181="",OFFSET(DATA!BK130,0,$AX$48)=""),"",OFFSET(DATA!BK130,0,$AX$48))</f>
        <v/>
      </c>
      <c r="AY181" s="112" t="str">
        <f ca="1">IF(OR($AU181="",OFFSET(DATA!BM130,0,$AX$48)=""),"",OFFSET(DATA!BM130,0,$AX$48))</f>
        <v/>
      </c>
      <c r="AZ181" s="112" t="str">
        <f ca="1">IF(OR($AU181="",OFFSET(DATA!BO130,0,'Intermediate Data'!$AX$48)=""),"",OFFSET(DATA!BO130,0,$AX$48))</f>
        <v/>
      </c>
      <c r="BA181" s="112" t="str">
        <f ca="1">IF(OR($AU181="",DATA!BQ130=""),"",DATA!BQ130)</f>
        <v/>
      </c>
      <c r="BB181" s="112" t="str">
        <f ca="1">IF($AU181="","",OFFSET(DATA!BS130,0,$AX$48))</f>
        <v/>
      </c>
      <c r="BC181" s="112" t="str">
        <f ca="1">IF($AU181="","",OFFSET(DATA!BU130,0,$AX$48))</f>
        <v/>
      </c>
      <c r="BD181" s="112" t="str">
        <f ca="1">IF($AU181="","",OFFSET(DATA!BW130,0,$AX$48))</f>
        <v/>
      </c>
      <c r="BE181" s="112" t="str">
        <f ca="1">IF($AU181="","",OFFSET(DATA!BY130,0,$AX$48))</f>
        <v/>
      </c>
      <c r="BF181" s="112" t="str">
        <f ca="1">IF($AU181="","",OFFSET(DATA!CA130,0,$AX$48))</f>
        <v/>
      </c>
      <c r="BG181" s="112" t="str">
        <f ca="1">IF($AU181="","",DATA!CC130)</f>
        <v/>
      </c>
      <c r="BH181" s="112" t="str">
        <f ca="1">IF($AU181="","",OFFSET(DATA!CE130,0,$AX$48))</f>
        <v/>
      </c>
      <c r="BI181" s="112" t="str">
        <f ca="1">IF($AU181="","",OFFSET(DATA!CG130,0,$AX$48))</f>
        <v/>
      </c>
      <c r="BJ181" s="112" t="str">
        <f ca="1">IF($AU181="","",OFFSET(DATA!CI130,0,$AX$48))</f>
        <v/>
      </c>
      <c r="BK181" s="112" t="str">
        <f ca="1">IF($AU181="","",OFFSET(DATA!CK130,0,$AX$48))</f>
        <v/>
      </c>
      <c r="BL181" s="112" t="str">
        <f ca="1">IF($AU181="","",OFFSET(DATA!CM130,0,$AX$48))</f>
        <v/>
      </c>
      <c r="BM181" s="112" t="str">
        <f ca="1">IF($AU181="","",DATA!BH130)</f>
        <v/>
      </c>
      <c r="BN181" s="112" t="str">
        <f ca="1">IF($AU181="","",DATA!DS130)</f>
        <v/>
      </c>
      <c r="BO181" s="112" t="str">
        <f ca="1">IF($AU181="","",DATA!DU130)</f>
        <v/>
      </c>
      <c r="BP181" s="112" t="str">
        <f ca="1">IF($AU181="","",DATA!DV130)</f>
        <v/>
      </c>
      <c r="BQ181" s="112" t="str">
        <f ca="1">IF($AU181="","",DATA!DX130)</f>
        <v/>
      </c>
      <c r="BR181" s="112" t="str">
        <f ca="1">IF($AU181="","",DATA!DZ130)</f>
        <v/>
      </c>
      <c r="BS181" s="171" t="str">
        <f ca="1">IF($AU181="","",DATA!EA130)</f>
        <v/>
      </c>
      <c r="BT181" s="171" t="str">
        <f ca="1">IF($AU181="","",DATA!EC130)</f>
        <v/>
      </c>
      <c r="BU181" s="171" t="str">
        <f ca="1">IF($AU181="","",DATA!EF130)</f>
        <v/>
      </c>
      <c r="BV181" s="113" t="str">
        <f t="shared" ca="1" si="24"/>
        <v/>
      </c>
      <c r="BW181" s="680" t="str">
        <f ca="1">IF(AU181="","",OFFSET(DATA!DC130,0,'Intermediate Data'!$AX$48))</f>
        <v/>
      </c>
      <c r="BX181" s="681" t="str">
        <f ca="1">IF($AU181="","",DATA!DG130)</f>
        <v/>
      </c>
      <c r="BY181" s="680" t="str">
        <f ca="1">IF($AU181="","",OFFSET(DATA!DE130,0,'Intermediate Data'!$AX$48))</f>
        <v/>
      </c>
      <c r="BZ181" s="681" t="str">
        <f ca="1">IF($AU181="","",DATA!DH130)</f>
        <v/>
      </c>
      <c r="CA181" s="90" t="str">
        <f t="shared" ca="1" si="25"/>
        <v/>
      </c>
      <c r="CB181" s="99" t="str">
        <f t="shared" ca="1" si="26"/>
        <v/>
      </c>
      <c r="CC181" s="90" t="str">
        <f t="shared" ca="1" si="27"/>
        <v/>
      </c>
      <c r="CD181" s="90" t="str">
        <f t="shared" ca="1" si="28"/>
        <v/>
      </c>
      <c r="CF181" s="90" t="str">
        <f ca="1">IF($CD181="","",IF(OFFSET(AV$55,'Intermediate Data'!$CD181,0)=-98,"Unknown",IF(OFFSET(AV$55,'Intermediate Data'!$CD181,0)=-99,"N/A",OFFSET(AV$55,'Intermediate Data'!$CD181,0))))</f>
        <v/>
      </c>
      <c r="CG181" s="90" t="str">
        <f ca="1">IF($CD181="","",IF(OFFSET(AW$55,'Intermediate Data'!$CD181,0)=-98,"",IF(OFFSET(AW$55,'Intermediate Data'!$CD181,0)=-99,"N/A",OFFSET(AW$55,'Intermediate Data'!$CD181,0))))</f>
        <v/>
      </c>
      <c r="CH181" s="90" t="str">
        <f ca="1">IF($CD181="","",IF(OFFSET(AX$55,'Intermediate Data'!$CD181,0)=-98,"Unknown",IF(OFFSET(AX$55,'Intermediate Data'!$CD181,0)=-99,"N/A",OFFSET(AX$55,'Intermediate Data'!$CD181,0))))</f>
        <v/>
      </c>
      <c r="CI181" s="125" t="str">
        <f ca="1">IF($CD181="","",IF(OFFSET(AY$55,'Intermediate Data'!$CD181,0)=-98,"Unknown",IF(OFFSET(AY$55,'Intermediate Data'!$CD181,0)=-99,"No spec",OFFSET(AY$55,'Intermediate Data'!$CD181,0))))</f>
        <v/>
      </c>
      <c r="CJ181" s="125" t="str">
        <f ca="1">IF($CD181="","",IF(OFFSET(AZ$55,'Intermediate Data'!$CD181,0)=-98,"Unknown",IF(OFFSET(AZ$55,'Intermediate Data'!$CD181,0)=-99,"N/A",OFFSET(AZ$55,'Intermediate Data'!$CD181,0))))</f>
        <v/>
      </c>
      <c r="CK181" s="90" t="str">
        <f ca="1">IF($CD181="","",IF(OFFSET(BA$55,'Intermediate Data'!$CD181,0)=-98,"Unknown",IF(OFFSET(BA$55,'Intermediate Data'!$CD181,0)=-99,"N/A",OFFSET(BA$55,'Intermediate Data'!$CD181,0))))</f>
        <v/>
      </c>
      <c r="CL181" s="90" t="str">
        <f ca="1">IF($CD181="","",IF(OFFSET(BB$55,'Intermediate Data'!$CD181,$AX$50)=-98,"Unknown",IF(OFFSET(BB$55,'Intermediate Data'!$CD181,$AX$50)="N/A","",OFFSET(BB$55,'Intermediate Data'!$CD181,$AX$50))))</f>
        <v/>
      </c>
      <c r="CM181" s="90" t="str">
        <f ca="1">IF($CD181="","",IF(OFFSET(BG$55,'Intermediate Data'!$CD181,0)="ET","ET",""))</f>
        <v/>
      </c>
      <c r="CN181" s="90" t="str">
        <f ca="1">IF($CD181="","",IF(OFFSET(BH$55,'Intermediate Data'!$CD181,$AX$50)=-98,"Unknown",IF(OFFSET(BH$55,'Intermediate Data'!$CD181,$AX$50)="N/A","",OFFSET(BH$55,'Intermediate Data'!$CD181,$AX$50))))</f>
        <v/>
      </c>
      <c r="CO181" s="90" t="str">
        <f ca="1">IF($CD181="","",IF(OFFSET(BM$55,'Intermediate Data'!$CD181,0)=-98,"Not published",IF(OFFSET(BM$55,'Intermediate Data'!$CD181,0)=-99,"No spec",OFFSET(BM$55,'Intermediate Data'!$CD181,0))))</f>
        <v/>
      </c>
      <c r="CP181" s="114" t="str">
        <f ca="1">IF($CD181="","",IF(OFFSET(BN$55,'Intermediate Data'!$CD181,0)=-98,"Unknown",IF(OFFSET(BN$55,'Intermediate Data'!$CD181,0)=-99,"N/A",OFFSET(BN$55,'Intermediate Data'!$CD181,0))))</f>
        <v/>
      </c>
      <c r="CQ181" s="114" t="str">
        <f ca="1">IF($CD181="","",IF(OFFSET(BO$55,'Intermediate Data'!$CD181,0)=-98,"Unknown",IF(OFFSET(BO$55,'Intermediate Data'!$CD181,0)=-99,"N/A",OFFSET(BO$55,'Intermediate Data'!$CD181,0))))</f>
        <v/>
      </c>
      <c r="CR181" s="114" t="str">
        <f ca="1">IF($CD181="","",IF(OFFSET(BP$55,'Intermediate Data'!$CD181,0)=-98,"Unknown",IF(OFFSET(BP$55,'Intermediate Data'!$CD181,0)=-99,"N/A",OFFSET(BP$55,'Intermediate Data'!$CD181,0))))</f>
        <v/>
      </c>
      <c r="CS181" s="114" t="str">
        <f ca="1">IF($CD181="","",IF(OFFSET(BQ$55,'Intermediate Data'!$CD181,0)=-98,"Unknown",IF(OFFSET(BQ$55,'Intermediate Data'!$CD181,0)=-99,"N/A",OFFSET(BQ$55,'Intermediate Data'!$CD181,0))))</f>
        <v/>
      </c>
      <c r="CT181" s="114" t="str">
        <f ca="1">IF($CD181="","",IF(OFFSET(BR$55,'Intermediate Data'!$CD181,0)=-98,"Unknown",IF(OFFSET(BR$55,'Intermediate Data'!$CD181,0)=-99,"N/A",OFFSET(BR$55,'Intermediate Data'!$CD181,0))))</f>
        <v/>
      </c>
      <c r="CU181" s="114" t="str">
        <f ca="1">IF($CD181="","",IF(OFFSET(BS$55,'Intermediate Data'!$CD181,0)=-98,"Unknown",IF(OFFSET(BS$55,'Intermediate Data'!$CD181,0)=-99,"N/A",OFFSET(BS$55,'Intermediate Data'!$CD181,0))))</f>
        <v/>
      </c>
      <c r="CV181" s="114" t="str">
        <f ca="1">IF($CD181="","",IF(OFFSET(BT$55,'Intermediate Data'!$CD181,0)=-98,"Unknown",IF(OFFSET(BT$55,'Intermediate Data'!$CD181,0)=-99,"N/A",OFFSET(BT$55,'Intermediate Data'!$CD181,0))))</f>
        <v/>
      </c>
      <c r="CW181" s="114" t="str">
        <f ca="1">IF($CD181="","",IF(OFFSET(BU$55,'Intermediate Data'!$CD181,0)=-98,"Unknown",IF(OFFSET(BU$55,'Intermediate Data'!$CD181,0)=-99,"N/A",OFFSET(BU$55,'Intermediate Data'!$CD181,0))))</f>
        <v/>
      </c>
      <c r="CX181" s="114" t="str">
        <f ca="1">IF($CD181="","",IF(OFFSET(BV$55,'Intermediate Data'!$CD181,0)=-98,"Unknown",IF(OFFSET(BV$55,'Intermediate Data'!$CD181,0)=-99,"N/A",OFFSET(BV$55,'Intermediate Data'!$CD181,0))))</f>
        <v/>
      </c>
      <c r="CY181" s="682" t="str">
        <f ca="1">IF($CD181="","",IF(OFFSET(BW$55,'Intermediate Data'!$CD181,0)=-98,"Unknown",IF(OFFSET(BW$55,'Intermediate Data'!$CD181,0)="N/A","",OFFSET(BW$55,'Intermediate Data'!$CD181,0))))</f>
        <v/>
      </c>
      <c r="CZ181" s="682" t="str">
        <f ca="1">IF($CD181="","",IF(OFFSET(BX$55,'Intermediate Data'!$CD181,0)=-98,"Unknown",IF(OFFSET(BX$55,'Intermediate Data'!$CD181,0)="N/A","",OFFSET(BX$55,'Intermediate Data'!$CD181,0))))</f>
        <v/>
      </c>
      <c r="DA181" s="682" t="str">
        <f ca="1">IF($CD181="","",IF(OFFSET(BY$55,'Intermediate Data'!$CD181,0)=-98,"Unknown",IF(OFFSET(BY$55,'Intermediate Data'!$CD181,0)="N/A","",OFFSET(BY$55,'Intermediate Data'!$CD181,0))))</f>
        <v/>
      </c>
      <c r="DB181" s="682" t="str">
        <f ca="1">IF($CD181="","",IF(OFFSET(BZ$55,'Intermediate Data'!$CD181,0)=-98,"Unknown",IF(OFFSET(BZ$55,'Intermediate Data'!$CD181,0)="N/A","",OFFSET(BZ$55,'Intermediate Data'!$CD181,0))))</f>
        <v/>
      </c>
    </row>
    <row r="182" spans="1:106" x14ac:dyDescent="0.2">
      <c r="A182" s="90">
        <f ca="1">IF(OFFSET(DATA!F131,0,$D$48)='Intermediate Data'!$E$48,IF(OR($E$49=$C$27,$E$48=$B$4),DATA!A131,IF($G$49=DATA!D131,DATA!A131,"")),"")</f>
        <v>127</v>
      </c>
      <c r="B182" s="90">
        <f ca="1">IF($A182="","",DATA!EH131)</f>
        <v>36</v>
      </c>
      <c r="C182" s="90" t="str">
        <f ca="1">IF($A182="","",DATA!B131)</f>
        <v>Security system</v>
      </c>
      <c r="D182" s="90">
        <f ca="1">IF($A182="","",OFFSET(DATA!$H131,0,($D$50*5)))</f>
        <v>-99</v>
      </c>
      <c r="E182" s="90">
        <f ca="1">IF($A182="","",OFFSET(DATA!$H131,0,($D$50*5)+1))</f>
        <v>0.12599829634246817</v>
      </c>
      <c r="F182" s="90">
        <f ca="1">IF($A182="","",OFFSET(DATA!$H131,0,($D$50*5)+2))</f>
        <v>-99</v>
      </c>
      <c r="G182" s="90">
        <f ca="1">IF($A182="","",OFFSET(DATA!$H131,0,($D$50*5)+3))</f>
        <v>0.13852058628509761</v>
      </c>
      <c r="H182" s="90">
        <f ca="1">IF($A182="","",OFFSET(DATA!$H131,0,($D$50*5)+4))</f>
        <v>-99</v>
      </c>
      <c r="I182" s="90">
        <f t="shared" ca="1" si="17"/>
        <v>0.13852058628509761</v>
      </c>
      <c r="J182" s="90" t="str">
        <f t="shared" ca="1" si="18"/>
        <v>RASS</v>
      </c>
      <c r="K182" s="90">
        <f ca="1">IF($A182="","",OFFSET(DATA!$AG131,0,($D$50*5)))</f>
        <v>-99</v>
      </c>
      <c r="L182" s="90">
        <f ca="1">IF($A182="","",OFFSET(DATA!$AG131,0,($D$50*5)+1))</f>
        <v>0.12826751231724084</v>
      </c>
      <c r="M182" s="90">
        <f ca="1">IF($A182="","",OFFSET(DATA!$AG131,0,($D$50*5)+2))</f>
        <v>-99</v>
      </c>
      <c r="N182" s="90">
        <f ca="1">IF($A182="","",OFFSET(DATA!$AG131,0,($D$50*5)+3))</f>
        <v>0.14247251135258887</v>
      </c>
      <c r="O182" s="90">
        <f ca="1">IF($A182="","",OFFSET(DATA!$AG131,0,($D$50*5)+4))</f>
        <v>-99</v>
      </c>
      <c r="P182" s="90">
        <f t="shared" ca="1" si="19"/>
        <v>0.14247251135258887</v>
      </c>
      <c r="Q182" s="90" t="str">
        <f t="shared" ca="1" si="20"/>
        <v>RASS</v>
      </c>
      <c r="R182" s="699">
        <f ca="1">IF($A182="","",IF(DATA!BF131="",-99,DATA!BF131))</f>
        <v>-99</v>
      </c>
      <c r="S182" s="90">
        <f ca="1">IF($A182="","",IF(DATA!BG131="",-99,DATA!BF131-DATA!BG131))</f>
        <v>-99</v>
      </c>
      <c r="T182" s="90">
        <f ca="1">IF($A182="","",DATA!BH131)</f>
        <v>-99</v>
      </c>
      <c r="U182" s="90">
        <f ca="1">IF($A182="","",OFFSET(DATA!BM131,0,$D$48))</f>
        <v>-99</v>
      </c>
      <c r="V182" s="90">
        <f t="shared" ca="1" si="29"/>
        <v>36</v>
      </c>
      <c r="W182" s="99">
        <f t="shared" ca="1" si="21"/>
        <v>35.999930769197945</v>
      </c>
      <c r="X182" s="112">
        <f t="shared" ca="1" si="22"/>
        <v>1.9999109158396764</v>
      </c>
      <c r="Y182" s="90">
        <f t="shared" ca="1" si="23"/>
        <v>137</v>
      </c>
      <c r="AA182" s="90" t="str">
        <f ca="1">IF($Y182="","",IF(OFFSET(C$55,'Intermediate Data'!$Y182,0)=-98,"Unknown",IF(OFFSET(C$55,'Intermediate Data'!$Y182,0)=-99,"N/A",OFFSET(C$55,'Intermediate Data'!$Y182,0))))</f>
        <v>Well pump</v>
      </c>
      <c r="AB182" s="90" t="str">
        <f ca="1">IF($Y182="","",IF(OFFSET(D$55,'Intermediate Data'!$Y182,0)=-98,"N/A",IF(OFFSET(D$55,'Intermediate Data'!$Y182,0)=-99,"N/A",OFFSET(D$55,'Intermediate Data'!$Y182,0))))</f>
        <v>N/A</v>
      </c>
      <c r="AC182" s="90">
        <f ca="1">IF($Y182="","",IF(OFFSET(E$55,'Intermediate Data'!$Y182,0)=-98,"N/A",IF(OFFSET(E$55,'Intermediate Data'!$Y182,0)=-99,"N/A",OFFSET(E$55,'Intermediate Data'!$Y182,0))))</f>
        <v>4.2697321490251315E-2</v>
      </c>
      <c r="AD182" s="90" t="str">
        <f ca="1">IF($Y182="","",IF(OFFSET(F$55,'Intermediate Data'!$Y182,0)=-98,"N/A",IF(OFFSET(F$55,'Intermediate Data'!$Y182,0)=-99,"N/A",OFFSET(F$55,'Intermediate Data'!$Y182,0))))</f>
        <v>N/A</v>
      </c>
      <c r="AE182" s="90">
        <f ca="1">IF($Y182="","",IF(OFFSET(G$55,'Intermediate Data'!$Y182,0)=-98,"N/A",IF(OFFSET(G$55,'Intermediate Data'!$Y182,0)=-99,"N/A",OFFSET(G$55,'Intermediate Data'!$Y182,0))))</f>
        <v>4.8249721149431955E-2</v>
      </c>
      <c r="AF182" s="90" t="str">
        <f ca="1">IF($Y182="","",IF(OFFSET(H$55,'Intermediate Data'!$Y182,0)=-98,"N/A",IF(OFFSET(H$55,'Intermediate Data'!$Y182,0)=-99,"N/A",OFFSET(H$55,'Intermediate Data'!$Y182,0))))</f>
        <v>N/A</v>
      </c>
      <c r="AG182" s="90">
        <f ca="1">IF($Y182="","",IF(OFFSET(I$55,'Intermediate Data'!$Y182,0)=-98,"N/A",IF(OFFSET(I$55,'Intermediate Data'!$Y182,0)=-99,"N/A",OFFSET(I$55,'Intermediate Data'!$Y182,0))))</f>
        <v>4.8249721149431955E-2</v>
      </c>
      <c r="AH182" s="90" t="str">
        <f ca="1">IF($Y182="","",IF(OFFSET(J$55,'Intermediate Data'!$Y182,0)=-98,"N/A",IF(OFFSET(J$55,'Intermediate Data'!$Y182,0)=-99,"N/A",OFFSET(J$55,'Intermediate Data'!$Y182,0))))</f>
        <v>RASS</v>
      </c>
      <c r="AI182" s="90" t="str">
        <f ca="1">IF($Y182="","",IF(OFFSET(K$55,'Intermediate Data'!$Y182,0)=-98,"N/A",IF(OFFSET(K$55,'Intermediate Data'!$Y182,0)=-99,"N/A",OFFSET(K$55,'Intermediate Data'!$Y182,0))))</f>
        <v>N/A</v>
      </c>
      <c r="AJ182" s="90" t="str">
        <f ca="1">IF($Y182="","",IF(OFFSET(L$55,'Intermediate Data'!$Y182,0)=-98,"N/A",IF(OFFSET(L$55,'Intermediate Data'!$Y182,0)=-99,"N/A",OFFSET(L$55,'Intermediate Data'!$Y182,0))))</f>
        <v>N/A</v>
      </c>
      <c r="AK182" s="90" t="str">
        <f ca="1">IF($Y182="","",IF(OFFSET(M$55,'Intermediate Data'!$Y182,0)=-98,"N/A",IF(OFFSET(M$55,'Intermediate Data'!$Y182,0)=-99,"N/A",OFFSET(M$55,'Intermediate Data'!$Y182,0))))</f>
        <v>N/A</v>
      </c>
      <c r="AL182" s="90" t="str">
        <f ca="1">IF($Y182="","",IF(OFFSET(N$55,'Intermediate Data'!$Y182,0)=-98,"N/A",IF(OFFSET(N$55,'Intermediate Data'!$Y182,0)=-99,"N/A",OFFSET(N$55,'Intermediate Data'!$Y182,0))))</f>
        <v>N/A</v>
      </c>
      <c r="AM182" s="90" t="str">
        <f ca="1">IF($Y182="","",IF(OFFSET(O$55,'Intermediate Data'!$Y182,0)=-98,"N/A",IF(OFFSET(O$55,'Intermediate Data'!$Y182,0)=-99,"N/A",OFFSET(O$55,'Intermediate Data'!$Y182,0))))</f>
        <v>N/A</v>
      </c>
      <c r="AN182" s="90" t="str">
        <f ca="1">IF($Y182="","",IF(OFFSET(P$55,'Intermediate Data'!$Y182,0)=-98,"N/A",IF(OFFSET(P$55,'Intermediate Data'!$Y182,0)=-99,"N/A",OFFSET(P$55,'Intermediate Data'!$Y182,0))))</f>
        <v>N/A</v>
      </c>
      <c r="AO182" s="90" t="str">
        <f ca="1">IF($Y182="","",IF(OFFSET(Q$55,'Intermediate Data'!$Y182,0)=-98,"N/A",IF(OFFSET(Q$55,'Intermediate Data'!$Y182,0)=-99,"N/A",OFFSET(Q$55,'Intermediate Data'!$Y182,0))))</f>
        <v/>
      </c>
      <c r="AP182" s="697" t="str">
        <f ca="1">IF($Y182="","",IF(OFFSET(S$55,'Intermediate Data'!$Y182,0)=-98,"",IF(OFFSET(S$55,'Intermediate Data'!$Y182,0)=-99,"",OFFSET(S$55,'Intermediate Data'!$Y182,0))))</f>
        <v/>
      </c>
      <c r="AQ182" s="90" t="str">
        <f ca="1">IF($Y182="","",IF(OFFSET(T$55,'Intermediate Data'!$Y182,0)=-98,"Not published",IF(OFFSET(T$55,'Intermediate Data'!$Y182,0)=-99,"",OFFSET(T$55,'Intermediate Data'!$Y182,0))))</f>
        <v/>
      </c>
      <c r="AR182" s="90" t="str">
        <f ca="1">IF($Y182="","",IF(OFFSET(U$55,'Intermediate Data'!$Y182,0)=-98,"Unknown",IF(OFFSET(U$55,'Intermediate Data'!$Y182,0)=-99,"",OFFSET(U$55,'Intermediate Data'!$Y182,0))))</f>
        <v/>
      </c>
      <c r="AU182" s="112" t="str">
        <f ca="1">IF(AND(OFFSET(DATA!$F131,0,$AX$48)='Intermediate Data'!$AY$48,DATA!$E131="Tier 1"),IF(OR($AX$49=0,$AX$48=1),DATA!A131,IF(AND($AX$49=1,INDEX('Intermediate Data'!$AY$25:$AY$44,MATCH(DATA!$B131,'Intermediate Data'!$AX$25:$AX$44,0))=TRUE),DATA!A131,"")),"")</f>
        <v/>
      </c>
      <c r="AV182" s="112" t="str">
        <f ca="1">IF($AU182="","",DATA!B131)</f>
        <v/>
      </c>
      <c r="AW182" s="112" t="str">
        <f ca="1">IF(OR($AU182="",DATA!BI131=""),"",DATA!BI131)</f>
        <v/>
      </c>
      <c r="AX182" s="112" t="str">
        <f ca="1">IF(OR($AU182="",OFFSET(DATA!BK131,0,$AX$48)=""),"",OFFSET(DATA!BK131,0,$AX$48))</f>
        <v/>
      </c>
      <c r="AY182" s="112" t="str">
        <f ca="1">IF(OR($AU182="",OFFSET(DATA!BM131,0,$AX$48)=""),"",OFFSET(DATA!BM131,0,$AX$48))</f>
        <v/>
      </c>
      <c r="AZ182" s="112" t="str">
        <f ca="1">IF(OR($AU182="",OFFSET(DATA!BO131,0,'Intermediate Data'!$AX$48)=""),"",OFFSET(DATA!BO131,0,$AX$48))</f>
        <v/>
      </c>
      <c r="BA182" s="112" t="str">
        <f ca="1">IF(OR($AU182="",DATA!BQ131=""),"",DATA!BQ131)</f>
        <v/>
      </c>
      <c r="BB182" s="112" t="str">
        <f ca="1">IF($AU182="","",OFFSET(DATA!BS131,0,$AX$48))</f>
        <v/>
      </c>
      <c r="BC182" s="112" t="str">
        <f ca="1">IF($AU182="","",OFFSET(DATA!BU131,0,$AX$48))</f>
        <v/>
      </c>
      <c r="BD182" s="112" t="str">
        <f ca="1">IF($AU182="","",OFFSET(DATA!BW131,0,$AX$48))</f>
        <v/>
      </c>
      <c r="BE182" s="112" t="str">
        <f ca="1">IF($AU182="","",OFFSET(DATA!BY131,0,$AX$48))</f>
        <v/>
      </c>
      <c r="BF182" s="112" t="str">
        <f ca="1">IF($AU182="","",OFFSET(DATA!CA131,0,$AX$48))</f>
        <v/>
      </c>
      <c r="BG182" s="112" t="str">
        <f ca="1">IF($AU182="","",DATA!CC131)</f>
        <v/>
      </c>
      <c r="BH182" s="112" t="str">
        <f ca="1">IF($AU182="","",OFFSET(DATA!CE131,0,$AX$48))</f>
        <v/>
      </c>
      <c r="BI182" s="112" t="str">
        <f ca="1">IF($AU182="","",OFFSET(DATA!CG131,0,$AX$48))</f>
        <v/>
      </c>
      <c r="BJ182" s="112" t="str">
        <f ca="1">IF($AU182="","",OFFSET(DATA!CI131,0,$AX$48))</f>
        <v/>
      </c>
      <c r="BK182" s="112" t="str">
        <f ca="1">IF($AU182="","",OFFSET(DATA!CK131,0,$AX$48))</f>
        <v/>
      </c>
      <c r="BL182" s="112" t="str">
        <f ca="1">IF($AU182="","",OFFSET(DATA!CM131,0,$AX$48))</f>
        <v/>
      </c>
      <c r="BM182" s="112" t="str">
        <f ca="1">IF($AU182="","",DATA!BH131)</f>
        <v/>
      </c>
      <c r="BN182" s="112" t="str">
        <f ca="1">IF($AU182="","",DATA!DS131)</f>
        <v/>
      </c>
      <c r="BO182" s="112" t="str">
        <f ca="1">IF($AU182="","",DATA!DU131)</f>
        <v/>
      </c>
      <c r="BP182" s="112" t="str">
        <f ca="1">IF($AU182="","",DATA!DV131)</f>
        <v/>
      </c>
      <c r="BQ182" s="112" t="str">
        <f ca="1">IF($AU182="","",DATA!DX131)</f>
        <v/>
      </c>
      <c r="BR182" s="112" t="str">
        <f ca="1">IF($AU182="","",DATA!DZ131)</f>
        <v/>
      </c>
      <c r="BS182" s="171" t="str">
        <f ca="1">IF($AU182="","",DATA!EA131)</f>
        <v/>
      </c>
      <c r="BT182" s="171" t="str">
        <f ca="1">IF($AU182="","",DATA!EC131)</f>
        <v/>
      </c>
      <c r="BU182" s="171" t="str">
        <f ca="1">IF($AU182="","",DATA!EF131)</f>
        <v/>
      </c>
      <c r="BV182" s="113" t="str">
        <f t="shared" ca="1" si="24"/>
        <v/>
      </c>
      <c r="BW182" s="680" t="str">
        <f ca="1">IF(AU182="","",OFFSET(DATA!DC131,0,'Intermediate Data'!$AX$48))</f>
        <v/>
      </c>
      <c r="BX182" s="681" t="str">
        <f ca="1">IF($AU182="","",DATA!DG131)</f>
        <v/>
      </c>
      <c r="BY182" s="680" t="str">
        <f ca="1">IF($AU182="","",OFFSET(DATA!DE131,0,'Intermediate Data'!$AX$48))</f>
        <v/>
      </c>
      <c r="BZ182" s="681" t="str">
        <f ca="1">IF($AU182="","",DATA!DH131)</f>
        <v/>
      </c>
      <c r="CA182" s="90" t="str">
        <f t="shared" ca="1" si="25"/>
        <v/>
      </c>
      <c r="CB182" s="99" t="str">
        <f t="shared" ca="1" si="26"/>
        <v/>
      </c>
      <c r="CC182" s="90" t="str">
        <f t="shared" ca="1" si="27"/>
        <v/>
      </c>
      <c r="CD182" s="90" t="str">
        <f t="shared" ca="1" si="28"/>
        <v/>
      </c>
      <c r="CF182" s="90" t="str">
        <f ca="1">IF($CD182="","",IF(OFFSET(AV$55,'Intermediate Data'!$CD182,0)=-98,"Unknown",IF(OFFSET(AV$55,'Intermediate Data'!$CD182,0)=-99,"N/A",OFFSET(AV$55,'Intermediate Data'!$CD182,0))))</f>
        <v/>
      </c>
      <c r="CG182" s="90" t="str">
        <f ca="1">IF($CD182="","",IF(OFFSET(AW$55,'Intermediate Data'!$CD182,0)=-98,"",IF(OFFSET(AW$55,'Intermediate Data'!$CD182,0)=-99,"N/A",OFFSET(AW$55,'Intermediate Data'!$CD182,0))))</f>
        <v/>
      </c>
      <c r="CH182" s="90" t="str">
        <f ca="1">IF($CD182="","",IF(OFFSET(AX$55,'Intermediate Data'!$CD182,0)=-98,"Unknown",IF(OFFSET(AX$55,'Intermediate Data'!$CD182,0)=-99,"N/A",OFFSET(AX$55,'Intermediate Data'!$CD182,0))))</f>
        <v/>
      </c>
      <c r="CI182" s="125" t="str">
        <f ca="1">IF($CD182="","",IF(OFFSET(AY$55,'Intermediate Data'!$CD182,0)=-98,"Unknown",IF(OFFSET(AY$55,'Intermediate Data'!$CD182,0)=-99,"No spec",OFFSET(AY$55,'Intermediate Data'!$CD182,0))))</f>
        <v/>
      </c>
      <c r="CJ182" s="125" t="str">
        <f ca="1">IF($CD182="","",IF(OFFSET(AZ$55,'Intermediate Data'!$CD182,0)=-98,"Unknown",IF(OFFSET(AZ$55,'Intermediate Data'!$CD182,0)=-99,"N/A",OFFSET(AZ$55,'Intermediate Data'!$CD182,0))))</f>
        <v/>
      </c>
      <c r="CK182" s="90" t="str">
        <f ca="1">IF($CD182="","",IF(OFFSET(BA$55,'Intermediate Data'!$CD182,0)=-98,"Unknown",IF(OFFSET(BA$55,'Intermediate Data'!$CD182,0)=-99,"N/A",OFFSET(BA$55,'Intermediate Data'!$CD182,0))))</f>
        <v/>
      </c>
      <c r="CL182" s="90" t="str">
        <f ca="1">IF($CD182="","",IF(OFFSET(BB$55,'Intermediate Data'!$CD182,$AX$50)=-98,"Unknown",IF(OFFSET(BB$55,'Intermediate Data'!$CD182,$AX$50)="N/A","",OFFSET(BB$55,'Intermediate Data'!$CD182,$AX$50))))</f>
        <v/>
      </c>
      <c r="CM182" s="90" t="str">
        <f ca="1">IF($CD182="","",IF(OFFSET(BG$55,'Intermediate Data'!$CD182,0)="ET","ET",""))</f>
        <v/>
      </c>
      <c r="CN182" s="90" t="str">
        <f ca="1">IF($CD182="","",IF(OFFSET(BH$55,'Intermediate Data'!$CD182,$AX$50)=-98,"Unknown",IF(OFFSET(BH$55,'Intermediate Data'!$CD182,$AX$50)="N/A","",OFFSET(BH$55,'Intermediate Data'!$CD182,$AX$50))))</f>
        <v/>
      </c>
      <c r="CO182" s="90" t="str">
        <f ca="1">IF($CD182="","",IF(OFFSET(BM$55,'Intermediate Data'!$CD182,0)=-98,"Not published",IF(OFFSET(BM$55,'Intermediate Data'!$CD182,0)=-99,"No spec",OFFSET(BM$55,'Intermediate Data'!$CD182,0))))</f>
        <v/>
      </c>
      <c r="CP182" s="114" t="str">
        <f ca="1">IF($CD182="","",IF(OFFSET(BN$55,'Intermediate Data'!$CD182,0)=-98,"Unknown",IF(OFFSET(BN$55,'Intermediate Data'!$CD182,0)=-99,"N/A",OFFSET(BN$55,'Intermediate Data'!$CD182,0))))</f>
        <v/>
      </c>
      <c r="CQ182" s="114" t="str">
        <f ca="1">IF($CD182="","",IF(OFFSET(BO$55,'Intermediate Data'!$CD182,0)=-98,"Unknown",IF(OFFSET(BO$55,'Intermediate Data'!$CD182,0)=-99,"N/A",OFFSET(BO$55,'Intermediate Data'!$CD182,0))))</f>
        <v/>
      </c>
      <c r="CR182" s="114" t="str">
        <f ca="1">IF($CD182="","",IF(OFFSET(BP$55,'Intermediate Data'!$CD182,0)=-98,"Unknown",IF(OFFSET(BP$55,'Intermediate Data'!$CD182,0)=-99,"N/A",OFFSET(BP$55,'Intermediate Data'!$CD182,0))))</f>
        <v/>
      </c>
      <c r="CS182" s="114" t="str">
        <f ca="1">IF($CD182="","",IF(OFFSET(BQ$55,'Intermediate Data'!$CD182,0)=-98,"Unknown",IF(OFFSET(BQ$55,'Intermediate Data'!$CD182,0)=-99,"N/A",OFFSET(BQ$55,'Intermediate Data'!$CD182,0))))</f>
        <v/>
      </c>
      <c r="CT182" s="114" t="str">
        <f ca="1">IF($CD182="","",IF(OFFSET(BR$55,'Intermediate Data'!$CD182,0)=-98,"Unknown",IF(OFFSET(BR$55,'Intermediate Data'!$CD182,0)=-99,"N/A",OFFSET(BR$55,'Intermediate Data'!$CD182,0))))</f>
        <v/>
      </c>
      <c r="CU182" s="114" t="str">
        <f ca="1">IF($CD182="","",IF(OFFSET(BS$55,'Intermediate Data'!$CD182,0)=-98,"Unknown",IF(OFFSET(BS$55,'Intermediate Data'!$CD182,0)=-99,"N/A",OFFSET(BS$55,'Intermediate Data'!$CD182,0))))</f>
        <v/>
      </c>
      <c r="CV182" s="114" t="str">
        <f ca="1">IF($CD182="","",IF(OFFSET(BT$55,'Intermediate Data'!$CD182,0)=-98,"Unknown",IF(OFFSET(BT$55,'Intermediate Data'!$CD182,0)=-99,"N/A",OFFSET(BT$55,'Intermediate Data'!$CD182,0))))</f>
        <v/>
      </c>
      <c r="CW182" s="114" t="str">
        <f ca="1">IF($CD182="","",IF(OFFSET(BU$55,'Intermediate Data'!$CD182,0)=-98,"Unknown",IF(OFFSET(BU$55,'Intermediate Data'!$CD182,0)=-99,"N/A",OFFSET(BU$55,'Intermediate Data'!$CD182,0))))</f>
        <v/>
      </c>
      <c r="CX182" s="114" t="str">
        <f ca="1">IF($CD182="","",IF(OFFSET(BV$55,'Intermediate Data'!$CD182,0)=-98,"Unknown",IF(OFFSET(BV$55,'Intermediate Data'!$CD182,0)=-99,"N/A",OFFSET(BV$55,'Intermediate Data'!$CD182,0))))</f>
        <v/>
      </c>
      <c r="CY182" s="682" t="str">
        <f ca="1">IF($CD182="","",IF(OFFSET(BW$55,'Intermediate Data'!$CD182,0)=-98,"Unknown",IF(OFFSET(BW$55,'Intermediate Data'!$CD182,0)="N/A","",OFFSET(BW$55,'Intermediate Data'!$CD182,0))))</f>
        <v/>
      </c>
      <c r="CZ182" s="682" t="str">
        <f ca="1">IF($CD182="","",IF(OFFSET(BX$55,'Intermediate Data'!$CD182,0)=-98,"Unknown",IF(OFFSET(BX$55,'Intermediate Data'!$CD182,0)="N/A","",OFFSET(BX$55,'Intermediate Data'!$CD182,0))))</f>
        <v/>
      </c>
      <c r="DA182" s="682" t="str">
        <f ca="1">IF($CD182="","",IF(OFFSET(BY$55,'Intermediate Data'!$CD182,0)=-98,"Unknown",IF(OFFSET(BY$55,'Intermediate Data'!$CD182,0)="N/A","",OFFSET(BY$55,'Intermediate Data'!$CD182,0))))</f>
        <v/>
      </c>
      <c r="DB182" s="682" t="str">
        <f ca="1">IF($CD182="","",IF(OFFSET(BZ$55,'Intermediate Data'!$CD182,0)=-98,"Unknown",IF(OFFSET(BZ$55,'Intermediate Data'!$CD182,0)="N/A","",OFFSET(BZ$55,'Intermediate Data'!$CD182,0))))</f>
        <v/>
      </c>
    </row>
    <row r="183" spans="1:106" x14ac:dyDescent="0.2">
      <c r="A183" s="90">
        <f ca="1">IF(OFFSET(DATA!F132,0,$D$48)='Intermediate Data'!$E$48,IF(OR($E$49=$C$27,$E$48=$B$4),DATA!A132,IF($G$49=DATA!D132,DATA!A132,"")),"")</f>
        <v>128</v>
      </c>
      <c r="B183" s="90">
        <f ca="1">IF($A183="","",DATA!EH132)</f>
        <v>30</v>
      </c>
      <c r="C183" s="90" t="str">
        <f ca="1">IF($A183="","",DATA!B132)</f>
        <v>Smoke detector</v>
      </c>
      <c r="D183" s="90">
        <f ca="1">IF($A183="","",OFFSET(DATA!$H132,0,($D$50*5)))</f>
        <v>-99</v>
      </c>
      <c r="E183" s="90">
        <f ca="1">IF($A183="","",OFFSET(DATA!$H132,0,($D$50*5)+1))</f>
        <v>-99</v>
      </c>
      <c r="F183" s="90">
        <f ca="1">IF($A183="","",OFFSET(DATA!$H132,0,($D$50*5)+2))</f>
        <v>-99</v>
      </c>
      <c r="G183" s="90">
        <f ca="1">IF($A183="","",OFFSET(DATA!$H132,0,($D$50*5)+3))</f>
        <v>-99</v>
      </c>
      <c r="H183" s="90">
        <f ca="1">IF($A183="","",OFFSET(DATA!$H132,0,($D$50*5)+4))</f>
        <v>-99</v>
      </c>
      <c r="I183" s="90">
        <f t="shared" ca="1" si="17"/>
        <v>-99</v>
      </c>
      <c r="J183" s="90" t="str">
        <f t="shared" ca="1" si="18"/>
        <v/>
      </c>
      <c r="K183" s="90">
        <f ca="1">IF($A183="","",OFFSET(DATA!$AG132,0,($D$50*5)))</f>
        <v>-99</v>
      </c>
      <c r="L183" s="90">
        <f ca="1">IF($A183="","",OFFSET(DATA!$AG132,0,($D$50*5)+1))</f>
        <v>-99</v>
      </c>
      <c r="M183" s="90">
        <f ca="1">IF($A183="","",OFFSET(DATA!$AG132,0,($D$50*5)+2))</f>
        <v>-99</v>
      </c>
      <c r="N183" s="90">
        <f ca="1">IF($A183="","",OFFSET(DATA!$AG132,0,($D$50*5)+3))</f>
        <v>-99</v>
      </c>
      <c r="O183" s="90">
        <f ca="1">IF($A183="","",OFFSET(DATA!$AG132,0,($D$50*5)+4))</f>
        <v>-99</v>
      </c>
      <c r="P183" s="90">
        <f t="shared" ca="1" si="19"/>
        <v>-99</v>
      </c>
      <c r="Q183" s="90" t="str">
        <f t="shared" ca="1" si="20"/>
        <v/>
      </c>
      <c r="R183" s="699">
        <f ca="1">IF($A183="","",IF(DATA!BF132="",-99,DATA!BF132))</f>
        <v>-99</v>
      </c>
      <c r="S183" s="90">
        <f ca="1">IF($A183="","",IF(DATA!BG132="",-99,DATA!BF132-DATA!BG132))</f>
        <v>-99</v>
      </c>
      <c r="T183" s="90">
        <f ca="1">IF($A183="","",DATA!BH132)</f>
        <v>-99</v>
      </c>
      <c r="U183" s="90">
        <f ca="1">IF($A183="","",OFFSET(DATA!BM132,0,$D$48))</f>
        <v>-99</v>
      </c>
      <c r="V183" s="90">
        <f t="shared" ca="1" si="29"/>
        <v>30</v>
      </c>
      <c r="W183" s="99">
        <f t="shared" ca="1" si="21"/>
        <v>29.99988120183</v>
      </c>
      <c r="X183" s="112">
        <f t="shared" ca="1" si="22"/>
        <v>0.99993073845585401</v>
      </c>
      <c r="Y183" s="90">
        <f t="shared" ca="1" si="23"/>
        <v>82</v>
      </c>
      <c r="AA183" s="90" t="str">
        <f ca="1">IF($Y183="","",IF(OFFSET(C$55,'Intermediate Data'!$Y183,0)=-98,"Unknown",IF(OFFSET(C$55,'Intermediate Data'!$Y183,0)=-99,"N/A",OFFSET(C$55,'Intermediate Data'!$Y183,0))))</f>
        <v>Whole house fan</v>
      </c>
      <c r="AB183" s="90" t="str">
        <f ca="1">IF($Y183="","",IF(OFFSET(D$55,'Intermediate Data'!$Y183,0)=-98,"N/A",IF(OFFSET(D$55,'Intermediate Data'!$Y183,0)=-99,"N/A",OFFSET(D$55,'Intermediate Data'!$Y183,0))))</f>
        <v>N/A</v>
      </c>
      <c r="AC183" s="90">
        <f ca="1">IF($Y183="","",IF(OFFSET(E$55,'Intermediate Data'!$Y183,0)=-98,"N/A",IF(OFFSET(E$55,'Intermediate Data'!$Y183,0)=-99,"N/A",OFFSET(E$55,'Intermediate Data'!$Y183,0))))</f>
        <v>5.4250870976928683E-2</v>
      </c>
      <c r="AD183" s="90" t="str">
        <f ca="1">IF($Y183="","",IF(OFFSET(F$55,'Intermediate Data'!$Y183,0)=-98,"N/A",IF(OFFSET(F$55,'Intermediate Data'!$Y183,0)=-99,"N/A",OFFSET(F$55,'Intermediate Data'!$Y183,0))))</f>
        <v>N/A</v>
      </c>
      <c r="AE183" s="90">
        <f ca="1">IF($Y183="","",IF(OFFSET(G$55,'Intermediate Data'!$Y183,0)=-98,"N/A",IF(OFFSET(G$55,'Intermediate Data'!$Y183,0)=-99,"N/A",OFFSET(G$55,'Intermediate Data'!$Y183,0))))</f>
        <v>8.1236690667794473E-2</v>
      </c>
      <c r="AF183" s="90" t="str">
        <f ca="1">IF($Y183="","",IF(OFFSET(H$55,'Intermediate Data'!$Y183,0)=-98,"N/A",IF(OFFSET(H$55,'Intermediate Data'!$Y183,0)=-99,"N/A",OFFSET(H$55,'Intermediate Data'!$Y183,0))))</f>
        <v>N/A</v>
      </c>
      <c r="AG183" s="90">
        <f ca="1">IF($Y183="","",IF(OFFSET(I$55,'Intermediate Data'!$Y183,0)=-98,"N/A",IF(OFFSET(I$55,'Intermediate Data'!$Y183,0)=-99,"N/A",OFFSET(I$55,'Intermediate Data'!$Y183,0))))</f>
        <v>8.1236690667794473E-2</v>
      </c>
      <c r="AH183" s="90" t="str">
        <f ca="1">IF($Y183="","",IF(OFFSET(J$55,'Intermediate Data'!$Y183,0)=-98,"N/A",IF(OFFSET(J$55,'Intermediate Data'!$Y183,0)=-99,"N/A",OFFSET(J$55,'Intermediate Data'!$Y183,0))))</f>
        <v>RASS</v>
      </c>
      <c r="AI183" s="90" t="str">
        <f ca="1">IF($Y183="","",IF(OFFSET(K$55,'Intermediate Data'!$Y183,0)=-98,"N/A",IF(OFFSET(K$55,'Intermediate Data'!$Y183,0)=-99,"N/A",OFFSET(K$55,'Intermediate Data'!$Y183,0))))</f>
        <v>N/A</v>
      </c>
      <c r="AJ183" s="90">
        <f ca="1">IF($Y183="","",IF(OFFSET(L$55,'Intermediate Data'!$Y183,0)=-98,"N/A",IF(OFFSET(L$55,'Intermediate Data'!$Y183,0)=-99,"N/A",OFFSET(L$55,'Intermediate Data'!$Y183,0))))</f>
        <v>5.8847064787650047E-2</v>
      </c>
      <c r="AK183" s="90" t="str">
        <f ca="1">IF($Y183="","",IF(OFFSET(M$55,'Intermediate Data'!$Y183,0)=-98,"N/A",IF(OFFSET(M$55,'Intermediate Data'!$Y183,0)=-99,"N/A",OFFSET(M$55,'Intermediate Data'!$Y183,0))))</f>
        <v>N/A</v>
      </c>
      <c r="AL183" s="90">
        <f ca="1">IF($Y183="","",IF(OFFSET(N$55,'Intermediate Data'!$Y183,0)=-98,"N/A",IF(OFFSET(N$55,'Intermediate Data'!$Y183,0)=-99,"N/A",OFFSET(N$55,'Intermediate Data'!$Y183,0))))</f>
        <v>9.528722267960521E-2</v>
      </c>
      <c r="AM183" s="90" t="str">
        <f ca="1">IF($Y183="","",IF(OFFSET(O$55,'Intermediate Data'!$Y183,0)=-98,"N/A",IF(OFFSET(O$55,'Intermediate Data'!$Y183,0)=-99,"N/A",OFFSET(O$55,'Intermediate Data'!$Y183,0))))</f>
        <v>N/A</v>
      </c>
      <c r="AN183" s="90">
        <f ca="1">IF($Y183="","",IF(OFFSET(P$55,'Intermediate Data'!$Y183,0)=-98,"N/A",IF(OFFSET(P$55,'Intermediate Data'!$Y183,0)=-99,"N/A",OFFSET(P$55,'Intermediate Data'!$Y183,0))))</f>
        <v>9.528722267960521E-2</v>
      </c>
      <c r="AO183" s="90" t="str">
        <f ca="1">IF($Y183="","",IF(OFFSET(Q$55,'Intermediate Data'!$Y183,0)=-98,"N/A",IF(OFFSET(Q$55,'Intermediate Data'!$Y183,0)=-99,"N/A",OFFSET(Q$55,'Intermediate Data'!$Y183,0))))</f>
        <v>RASS</v>
      </c>
      <c r="AP183" s="697" t="str">
        <f ca="1">IF($Y183="","",IF(OFFSET(S$55,'Intermediate Data'!$Y183,0)=-98,"",IF(OFFSET(S$55,'Intermediate Data'!$Y183,0)=-99,"",OFFSET(S$55,'Intermediate Data'!$Y183,0))))</f>
        <v/>
      </c>
      <c r="AQ183" s="90" t="str">
        <f ca="1">IF($Y183="","",IF(OFFSET(T$55,'Intermediate Data'!$Y183,0)=-98,"Not published",IF(OFFSET(T$55,'Intermediate Data'!$Y183,0)=-99,"",OFFSET(T$55,'Intermediate Data'!$Y183,0))))</f>
        <v/>
      </c>
      <c r="AR183" s="90" t="str">
        <f ca="1">IF($Y183="","",IF(OFFSET(U$55,'Intermediate Data'!$Y183,0)=-98,"Unknown",IF(OFFSET(U$55,'Intermediate Data'!$Y183,0)=-99,"",OFFSET(U$55,'Intermediate Data'!$Y183,0))))</f>
        <v/>
      </c>
      <c r="AU183" s="112" t="str">
        <f ca="1">IF(AND(OFFSET(DATA!$F132,0,$AX$48)='Intermediate Data'!$AY$48,DATA!$E132="Tier 1"),IF(OR($AX$49=0,$AX$48=1),DATA!A132,IF(AND($AX$49=1,INDEX('Intermediate Data'!$AY$25:$AY$44,MATCH(DATA!$B132,'Intermediate Data'!$AX$25:$AX$44,0))=TRUE),DATA!A132,"")),"")</f>
        <v/>
      </c>
      <c r="AV183" s="112" t="str">
        <f ca="1">IF($AU183="","",DATA!B132)</f>
        <v/>
      </c>
      <c r="AW183" s="112" t="str">
        <f ca="1">IF(OR($AU183="",DATA!BI132=""),"",DATA!BI132)</f>
        <v/>
      </c>
      <c r="AX183" s="112" t="str">
        <f ca="1">IF(OR($AU183="",OFFSET(DATA!BK132,0,$AX$48)=""),"",OFFSET(DATA!BK132,0,$AX$48))</f>
        <v/>
      </c>
      <c r="AY183" s="112" t="str">
        <f ca="1">IF(OR($AU183="",OFFSET(DATA!BM132,0,$AX$48)=""),"",OFFSET(DATA!BM132,0,$AX$48))</f>
        <v/>
      </c>
      <c r="AZ183" s="112" t="str">
        <f ca="1">IF(OR($AU183="",OFFSET(DATA!BO132,0,'Intermediate Data'!$AX$48)=""),"",OFFSET(DATA!BO132,0,$AX$48))</f>
        <v/>
      </c>
      <c r="BA183" s="112" t="str">
        <f ca="1">IF(OR($AU183="",DATA!BQ132=""),"",DATA!BQ132)</f>
        <v/>
      </c>
      <c r="BB183" s="112" t="str">
        <f ca="1">IF($AU183="","",OFFSET(DATA!BS132,0,$AX$48))</f>
        <v/>
      </c>
      <c r="BC183" s="112" t="str">
        <f ca="1">IF($AU183="","",OFFSET(DATA!BU132,0,$AX$48))</f>
        <v/>
      </c>
      <c r="BD183" s="112" t="str">
        <f ca="1">IF($AU183="","",OFFSET(DATA!BW132,0,$AX$48))</f>
        <v/>
      </c>
      <c r="BE183" s="112" t="str">
        <f ca="1">IF($AU183="","",OFFSET(DATA!BY132,0,$AX$48))</f>
        <v/>
      </c>
      <c r="BF183" s="112" t="str">
        <f ca="1">IF($AU183="","",OFFSET(DATA!CA132,0,$AX$48))</f>
        <v/>
      </c>
      <c r="BG183" s="112" t="str">
        <f ca="1">IF($AU183="","",DATA!CC132)</f>
        <v/>
      </c>
      <c r="BH183" s="112" t="str">
        <f ca="1">IF($AU183="","",OFFSET(DATA!CE132,0,$AX$48))</f>
        <v/>
      </c>
      <c r="BI183" s="112" t="str">
        <f ca="1">IF($AU183="","",OFFSET(DATA!CG132,0,$AX$48))</f>
        <v/>
      </c>
      <c r="BJ183" s="112" t="str">
        <f ca="1">IF($AU183="","",OFFSET(DATA!CI132,0,$AX$48))</f>
        <v/>
      </c>
      <c r="BK183" s="112" t="str">
        <f ca="1">IF($AU183="","",OFFSET(DATA!CK132,0,$AX$48))</f>
        <v/>
      </c>
      <c r="BL183" s="112" t="str">
        <f ca="1">IF($AU183="","",OFFSET(DATA!CM132,0,$AX$48))</f>
        <v/>
      </c>
      <c r="BM183" s="112" t="str">
        <f ca="1">IF($AU183="","",DATA!BH132)</f>
        <v/>
      </c>
      <c r="BN183" s="112" t="str">
        <f ca="1">IF($AU183="","",DATA!DS132)</f>
        <v/>
      </c>
      <c r="BO183" s="112" t="str">
        <f ca="1">IF($AU183="","",DATA!DU132)</f>
        <v/>
      </c>
      <c r="BP183" s="112" t="str">
        <f ca="1">IF($AU183="","",DATA!DV132)</f>
        <v/>
      </c>
      <c r="BQ183" s="112" t="str">
        <f ca="1">IF($AU183="","",DATA!DX132)</f>
        <v/>
      </c>
      <c r="BR183" s="112" t="str">
        <f ca="1">IF($AU183="","",DATA!DZ132)</f>
        <v/>
      </c>
      <c r="BS183" s="171" t="str">
        <f ca="1">IF($AU183="","",DATA!EA132)</f>
        <v/>
      </c>
      <c r="BT183" s="171" t="str">
        <f ca="1">IF($AU183="","",DATA!EC132)</f>
        <v/>
      </c>
      <c r="BU183" s="171" t="str">
        <f ca="1">IF($AU183="","",DATA!EF132)</f>
        <v/>
      </c>
      <c r="BV183" s="113" t="str">
        <f t="shared" ca="1" si="24"/>
        <v/>
      </c>
      <c r="BW183" s="680" t="str">
        <f ca="1">IF(AU183="","",OFFSET(DATA!DC132,0,'Intermediate Data'!$AX$48))</f>
        <v/>
      </c>
      <c r="BX183" s="681" t="str">
        <f ca="1">IF($AU183="","",DATA!DG132)</f>
        <v/>
      </c>
      <c r="BY183" s="680" t="str">
        <f ca="1">IF($AU183="","",OFFSET(DATA!DE132,0,'Intermediate Data'!$AX$48))</f>
        <v/>
      </c>
      <c r="BZ183" s="681" t="str">
        <f ca="1">IF($AU183="","",DATA!DH132)</f>
        <v/>
      </c>
      <c r="CA183" s="90" t="str">
        <f t="shared" ca="1" si="25"/>
        <v/>
      </c>
      <c r="CB183" s="99" t="str">
        <f t="shared" ca="1" si="26"/>
        <v/>
      </c>
      <c r="CC183" s="90" t="str">
        <f t="shared" ca="1" si="27"/>
        <v/>
      </c>
      <c r="CD183" s="90" t="str">
        <f t="shared" ca="1" si="28"/>
        <v/>
      </c>
      <c r="CF183" s="90" t="str">
        <f ca="1">IF($CD183="","",IF(OFFSET(AV$55,'Intermediate Data'!$CD183,0)=-98,"Unknown",IF(OFFSET(AV$55,'Intermediate Data'!$CD183,0)=-99,"N/A",OFFSET(AV$55,'Intermediate Data'!$CD183,0))))</f>
        <v/>
      </c>
      <c r="CG183" s="90" t="str">
        <f ca="1">IF($CD183="","",IF(OFFSET(AW$55,'Intermediate Data'!$CD183,0)=-98,"",IF(OFFSET(AW$55,'Intermediate Data'!$CD183,0)=-99,"N/A",OFFSET(AW$55,'Intermediate Data'!$CD183,0))))</f>
        <v/>
      </c>
      <c r="CH183" s="90" t="str">
        <f ca="1">IF($CD183="","",IF(OFFSET(AX$55,'Intermediate Data'!$CD183,0)=-98,"Unknown",IF(OFFSET(AX$55,'Intermediate Data'!$CD183,0)=-99,"N/A",OFFSET(AX$55,'Intermediate Data'!$CD183,0))))</f>
        <v/>
      </c>
      <c r="CI183" s="125" t="str">
        <f ca="1">IF($CD183="","",IF(OFFSET(AY$55,'Intermediate Data'!$CD183,0)=-98,"Unknown",IF(OFFSET(AY$55,'Intermediate Data'!$CD183,0)=-99,"No spec",OFFSET(AY$55,'Intermediate Data'!$CD183,0))))</f>
        <v/>
      </c>
      <c r="CJ183" s="125" t="str">
        <f ca="1">IF($CD183="","",IF(OFFSET(AZ$55,'Intermediate Data'!$CD183,0)=-98,"Unknown",IF(OFFSET(AZ$55,'Intermediate Data'!$CD183,0)=-99,"N/A",OFFSET(AZ$55,'Intermediate Data'!$CD183,0))))</f>
        <v/>
      </c>
      <c r="CK183" s="90" t="str">
        <f ca="1">IF($CD183="","",IF(OFFSET(BA$55,'Intermediate Data'!$CD183,0)=-98,"Unknown",IF(OFFSET(BA$55,'Intermediate Data'!$CD183,0)=-99,"N/A",OFFSET(BA$55,'Intermediate Data'!$CD183,0))))</f>
        <v/>
      </c>
      <c r="CL183" s="90" t="str">
        <f ca="1">IF($CD183="","",IF(OFFSET(BB$55,'Intermediate Data'!$CD183,$AX$50)=-98,"Unknown",IF(OFFSET(BB$55,'Intermediate Data'!$CD183,$AX$50)="N/A","",OFFSET(BB$55,'Intermediate Data'!$CD183,$AX$50))))</f>
        <v/>
      </c>
      <c r="CM183" s="90" t="str">
        <f ca="1">IF($CD183="","",IF(OFFSET(BG$55,'Intermediate Data'!$CD183,0)="ET","ET",""))</f>
        <v/>
      </c>
      <c r="CN183" s="90" t="str">
        <f ca="1">IF($CD183="","",IF(OFFSET(BH$55,'Intermediate Data'!$CD183,$AX$50)=-98,"Unknown",IF(OFFSET(BH$55,'Intermediate Data'!$CD183,$AX$50)="N/A","",OFFSET(BH$55,'Intermediate Data'!$CD183,$AX$50))))</f>
        <v/>
      </c>
      <c r="CO183" s="90" t="str">
        <f ca="1">IF($CD183="","",IF(OFFSET(BM$55,'Intermediate Data'!$CD183,0)=-98,"Not published",IF(OFFSET(BM$55,'Intermediate Data'!$CD183,0)=-99,"No spec",OFFSET(BM$55,'Intermediate Data'!$CD183,0))))</f>
        <v/>
      </c>
      <c r="CP183" s="114" t="str">
        <f ca="1">IF($CD183="","",IF(OFFSET(BN$55,'Intermediate Data'!$CD183,0)=-98,"Unknown",IF(OFFSET(BN$55,'Intermediate Data'!$CD183,0)=-99,"N/A",OFFSET(BN$55,'Intermediate Data'!$CD183,0))))</f>
        <v/>
      </c>
      <c r="CQ183" s="114" t="str">
        <f ca="1">IF($CD183="","",IF(OFFSET(BO$55,'Intermediate Data'!$CD183,0)=-98,"Unknown",IF(OFFSET(BO$55,'Intermediate Data'!$CD183,0)=-99,"N/A",OFFSET(BO$55,'Intermediate Data'!$CD183,0))))</f>
        <v/>
      </c>
      <c r="CR183" s="114" t="str">
        <f ca="1">IF($CD183="","",IF(OFFSET(BP$55,'Intermediate Data'!$CD183,0)=-98,"Unknown",IF(OFFSET(BP$55,'Intermediate Data'!$CD183,0)=-99,"N/A",OFFSET(BP$55,'Intermediate Data'!$CD183,0))))</f>
        <v/>
      </c>
      <c r="CS183" s="114" t="str">
        <f ca="1">IF($CD183="","",IF(OFFSET(BQ$55,'Intermediate Data'!$CD183,0)=-98,"Unknown",IF(OFFSET(BQ$55,'Intermediate Data'!$CD183,0)=-99,"N/A",OFFSET(BQ$55,'Intermediate Data'!$CD183,0))))</f>
        <v/>
      </c>
      <c r="CT183" s="114" t="str">
        <f ca="1">IF($CD183="","",IF(OFFSET(BR$55,'Intermediate Data'!$CD183,0)=-98,"Unknown",IF(OFFSET(BR$55,'Intermediate Data'!$CD183,0)=-99,"N/A",OFFSET(BR$55,'Intermediate Data'!$CD183,0))))</f>
        <v/>
      </c>
      <c r="CU183" s="114" t="str">
        <f ca="1">IF($CD183="","",IF(OFFSET(BS$55,'Intermediate Data'!$CD183,0)=-98,"Unknown",IF(OFFSET(BS$55,'Intermediate Data'!$CD183,0)=-99,"N/A",OFFSET(BS$55,'Intermediate Data'!$CD183,0))))</f>
        <v/>
      </c>
      <c r="CV183" s="114" t="str">
        <f ca="1">IF($CD183="","",IF(OFFSET(BT$55,'Intermediate Data'!$CD183,0)=-98,"Unknown",IF(OFFSET(BT$55,'Intermediate Data'!$CD183,0)=-99,"N/A",OFFSET(BT$55,'Intermediate Data'!$CD183,0))))</f>
        <v/>
      </c>
      <c r="CW183" s="114" t="str">
        <f ca="1">IF($CD183="","",IF(OFFSET(BU$55,'Intermediate Data'!$CD183,0)=-98,"Unknown",IF(OFFSET(BU$55,'Intermediate Data'!$CD183,0)=-99,"N/A",OFFSET(BU$55,'Intermediate Data'!$CD183,0))))</f>
        <v/>
      </c>
      <c r="CX183" s="114" t="str">
        <f ca="1">IF($CD183="","",IF(OFFSET(BV$55,'Intermediate Data'!$CD183,0)=-98,"Unknown",IF(OFFSET(BV$55,'Intermediate Data'!$CD183,0)=-99,"N/A",OFFSET(BV$55,'Intermediate Data'!$CD183,0))))</f>
        <v/>
      </c>
      <c r="CY183" s="682" t="str">
        <f ca="1">IF($CD183="","",IF(OFFSET(BW$55,'Intermediate Data'!$CD183,0)=-98,"Unknown",IF(OFFSET(BW$55,'Intermediate Data'!$CD183,0)="N/A","",OFFSET(BW$55,'Intermediate Data'!$CD183,0))))</f>
        <v/>
      </c>
      <c r="CZ183" s="682" t="str">
        <f ca="1">IF($CD183="","",IF(OFFSET(BX$55,'Intermediate Data'!$CD183,0)=-98,"Unknown",IF(OFFSET(BX$55,'Intermediate Data'!$CD183,0)="N/A","",OFFSET(BX$55,'Intermediate Data'!$CD183,0))))</f>
        <v/>
      </c>
      <c r="DA183" s="682" t="str">
        <f ca="1">IF($CD183="","",IF(OFFSET(BY$55,'Intermediate Data'!$CD183,0)=-98,"Unknown",IF(OFFSET(BY$55,'Intermediate Data'!$CD183,0)="N/A","",OFFSET(BY$55,'Intermediate Data'!$CD183,0))))</f>
        <v/>
      </c>
      <c r="DB183" s="682" t="str">
        <f ca="1">IF($CD183="","",IF(OFFSET(BZ$55,'Intermediate Data'!$CD183,0)=-98,"Unknown",IF(OFFSET(BZ$55,'Intermediate Data'!$CD183,0)="N/A","",OFFSET(BZ$55,'Intermediate Data'!$CD183,0))))</f>
        <v/>
      </c>
    </row>
    <row r="184" spans="1:106" x14ac:dyDescent="0.2">
      <c r="A184" s="90" t="str">
        <f ca="1">IF(OFFSET(DATA!F133,0,$D$48)='Intermediate Data'!$E$48,IF(OR($E$49=$C$27,$E$48=$B$4),DATA!A133,IF($G$49=DATA!D133,DATA!A133,"")),"")</f>
        <v/>
      </c>
      <c r="B184" s="90" t="str">
        <f ca="1">IF($A184="","",DATA!EH133)</f>
        <v/>
      </c>
      <c r="C184" s="90" t="str">
        <f ca="1">IF($A184="","",DATA!B133)</f>
        <v/>
      </c>
      <c r="D184" s="90" t="str">
        <f ca="1">IF($A184="","",OFFSET(DATA!$H133,0,($D$50*5)))</f>
        <v/>
      </c>
      <c r="E184" s="90" t="str">
        <f ca="1">IF($A184="","",OFFSET(DATA!$H133,0,($D$50*5)+1))</f>
        <v/>
      </c>
      <c r="F184" s="90" t="str">
        <f ca="1">IF($A184="","",OFFSET(DATA!$H133,0,($D$50*5)+2))</f>
        <v/>
      </c>
      <c r="G184" s="90" t="str">
        <f ca="1">IF($A184="","",OFFSET(DATA!$H133,0,($D$50*5)+3))</f>
        <v/>
      </c>
      <c r="H184" s="90" t="str">
        <f ca="1">IF($A184="","",OFFSET(DATA!$H133,0,($D$50*5)+4))</f>
        <v/>
      </c>
      <c r="I184" s="90" t="str">
        <f t="shared" ca="1" si="17"/>
        <v/>
      </c>
      <c r="J184" s="90" t="str">
        <f t="shared" ca="1" si="18"/>
        <v/>
      </c>
      <c r="K184" s="90" t="str">
        <f ca="1">IF($A184="","",OFFSET(DATA!$AG133,0,($D$50*5)))</f>
        <v/>
      </c>
      <c r="L184" s="90" t="str">
        <f ca="1">IF($A184="","",OFFSET(DATA!$AG133,0,($D$50*5)+1))</f>
        <v/>
      </c>
      <c r="M184" s="90" t="str">
        <f ca="1">IF($A184="","",OFFSET(DATA!$AG133,0,($D$50*5)+2))</f>
        <v/>
      </c>
      <c r="N184" s="90" t="str">
        <f ca="1">IF($A184="","",OFFSET(DATA!$AG133,0,($D$50*5)+3))</f>
        <v/>
      </c>
      <c r="O184" s="90" t="str">
        <f ca="1">IF($A184="","",OFFSET(DATA!$AG133,0,($D$50*5)+4))</f>
        <v/>
      </c>
      <c r="P184" s="90" t="str">
        <f t="shared" ca="1" si="19"/>
        <v/>
      </c>
      <c r="Q184" s="90" t="str">
        <f t="shared" ca="1" si="20"/>
        <v/>
      </c>
      <c r="R184" s="699" t="str">
        <f ca="1">IF($A184="","",IF(DATA!BF133="",-99,DATA!BF133))</f>
        <v/>
      </c>
      <c r="S184" s="90" t="str">
        <f ca="1">IF($A184="","",IF(DATA!BG133="",-99,DATA!BF133-DATA!BG133))</f>
        <v/>
      </c>
      <c r="T184" s="90" t="str">
        <f ca="1">IF($A184="","",DATA!BH133)</f>
        <v/>
      </c>
      <c r="U184" s="90" t="str">
        <f ca="1">IF($A184="","",OFFSET(DATA!BM133,0,$D$48))</f>
        <v/>
      </c>
      <c r="V184" s="90" t="str">
        <f t="shared" ref="V184:V195" ca="1" si="30">OFFSET(B184,0,MATCH($E$51,$B$54:$U$54,0)-1)</f>
        <v/>
      </c>
      <c r="W184" s="99" t="str">
        <f t="shared" ca="1" si="21"/>
        <v/>
      </c>
      <c r="X184" s="112" t="str">
        <f t="shared" ca="1" si="22"/>
        <v/>
      </c>
      <c r="Y184" s="90" t="str">
        <f t="shared" ca="1" si="23"/>
        <v/>
      </c>
      <c r="AA184" s="90" t="str">
        <f ca="1">IF($Y184="","",IF(OFFSET(C$55,'Intermediate Data'!$Y184,0)=-98,"Unknown",IF(OFFSET(C$55,'Intermediate Data'!$Y184,0)=-99,"N/A",OFFSET(C$55,'Intermediate Data'!$Y184,0))))</f>
        <v/>
      </c>
      <c r="AB184" s="90" t="str">
        <f ca="1">IF($Y184="","",IF(OFFSET(D$55,'Intermediate Data'!$Y184,0)=-98,"N/A",IF(OFFSET(D$55,'Intermediate Data'!$Y184,0)=-99,"N/A",OFFSET(D$55,'Intermediate Data'!$Y184,0))))</f>
        <v/>
      </c>
      <c r="AC184" s="90" t="str">
        <f ca="1">IF($Y184="","",IF(OFFSET(E$55,'Intermediate Data'!$Y184,0)=-98,"N/A",IF(OFFSET(E$55,'Intermediate Data'!$Y184,0)=-99,"N/A",OFFSET(E$55,'Intermediate Data'!$Y184,0))))</f>
        <v/>
      </c>
      <c r="AD184" s="90" t="str">
        <f ca="1">IF($Y184="","",IF(OFFSET(F$55,'Intermediate Data'!$Y184,0)=-98,"N/A",IF(OFFSET(F$55,'Intermediate Data'!$Y184,0)=-99,"N/A",OFFSET(F$55,'Intermediate Data'!$Y184,0))))</f>
        <v/>
      </c>
      <c r="AE184" s="90" t="str">
        <f ca="1">IF($Y184="","",IF(OFFSET(G$55,'Intermediate Data'!$Y184,0)=-98,"N/A",IF(OFFSET(G$55,'Intermediate Data'!$Y184,0)=-99,"N/A",OFFSET(G$55,'Intermediate Data'!$Y184,0))))</f>
        <v/>
      </c>
      <c r="AF184" s="90" t="str">
        <f ca="1">IF($Y184="","",IF(OFFSET(H$55,'Intermediate Data'!$Y184,0)=-98,"N/A",IF(OFFSET(H$55,'Intermediate Data'!$Y184,0)=-99,"N/A",OFFSET(H$55,'Intermediate Data'!$Y184,0))))</f>
        <v/>
      </c>
      <c r="AG184" s="90" t="str">
        <f ca="1">IF($Y184="","",IF(OFFSET(I$55,'Intermediate Data'!$Y184,0)=-98,"N/A",IF(OFFSET(I$55,'Intermediate Data'!$Y184,0)=-99,"N/A",OFFSET(I$55,'Intermediate Data'!$Y184,0))))</f>
        <v/>
      </c>
      <c r="AH184" s="90" t="str">
        <f ca="1">IF($Y184="","",IF(OFFSET(J$55,'Intermediate Data'!$Y184,0)=-98,"N/A",IF(OFFSET(J$55,'Intermediate Data'!$Y184,0)=-99,"N/A",OFFSET(J$55,'Intermediate Data'!$Y184,0))))</f>
        <v/>
      </c>
      <c r="AI184" s="90" t="str">
        <f ca="1">IF($Y184="","",IF(OFFSET(K$55,'Intermediate Data'!$Y184,0)=-98,"N/A",IF(OFFSET(K$55,'Intermediate Data'!$Y184,0)=-99,"N/A",OFFSET(K$55,'Intermediate Data'!$Y184,0))))</f>
        <v/>
      </c>
      <c r="AJ184" s="90" t="str">
        <f ca="1">IF($Y184="","",IF(OFFSET(L$55,'Intermediate Data'!$Y184,0)=-98,"N/A",IF(OFFSET(L$55,'Intermediate Data'!$Y184,0)=-99,"N/A",OFFSET(L$55,'Intermediate Data'!$Y184,0))))</f>
        <v/>
      </c>
      <c r="AK184" s="90" t="str">
        <f ca="1">IF($Y184="","",IF(OFFSET(M$55,'Intermediate Data'!$Y184,0)=-98,"N/A",IF(OFFSET(M$55,'Intermediate Data'!$Y184,0)=-99,"N/A",OFFSET(M$55,'Intermediate Data'!$Y184,0))))</f>
        <v/>
      </c>
      <c r="AL184" s="90" t="str">
        <f ca="1">IF($Y184="","",IF(OFFSET(N$55,'Intermediate Data'!$Y184,0)=-98,"N/A",IF(OFFSET(N$55,'Intermediate Data'!$Y184,0)=-99,"N/A",OFFSET(N$55,'Intermediate Data'!$Y184,0))))</f>
        <v/>
      </c>
      <c r="AM184" s="90" t="str">
        <f ca="1">IF($Y184="","",IF(OFFSET(O$55,'Intermediate Data'!$Y184,0)=-98,"N/A",IF(OFFSET(O$55,'Intermediate Data'!$Y184,0)=-99,"N/A",OFFSET(O$55,'Intermediate Data'!$Y184,0))))</f>
        <v/>
      </c>
      <c r="AN184" s="90" t="str">
        <f ca="1">IF($Y184="","",IF(OFFSET(P$55,'Intermediate Data'!$Y184,0)=-98,"N/A",IF(OFFSET(P$55,'Intermediate Data'!$Y184,0)=-99,"N/A",OFFSET(P$55,'Intermediate Data'!$Y184,0))))</f>
        <v/>
      </c>
      <c r="AO184" s="90" t="str">
        <f ca="1">IF($Y184="","",IF(OFFSET(Q$55,'Intermediate Data'!$Y184,0)=-98,"N/A",IF(OFFSET(Q$55,'Intermediate Data'!$Y184,0)=-99,"N/A",OFFSET(Q$55,'Intermediate Data'!$Y184,0))))</f>
        <v/>
      </c>
      <c r="AP184" s="697" t="str">
        <f ca="1">IF($Y184="","",IF(OFFSET(S$55,'Intermediate Data'!$Y184,0)=-98,"",IF(OFFSET(S$55,'Intermediate Data'!$Y184,0)=-99,"",OFFSET(S$55,'Intermediate Data'!$Y184,0))))</f>
        <v/>
      </c>
      <c r="AQ184" s="90" t="str">
        <f ca="1">IF($Y184="","",IF(OFFSET(T$55,'Intermediate Data'!$Y184,0)=-98,"Not published",IF(OFFSET(T$55,'Intermediate Data'!$Y184,0)=-99,"",OFFSET(T$55,'Intermediate Data'!$Y184,0))))</f>
        <v/>
      </c>
      <c r="AR184" s="90" t="str">
        <f ca="1">IF($Y184="","",IF(OFFSET(U$55,'Intermediate Data'!$Y184,0)=-98,"Unknown",IF(OFFSET(U$55,'Intermediate Data'!$Y184,0)=-99,"",OFFSET(U$55,'Intermediate Data'!$Y184,0))))</f>
        <v/>
      </c>
      <c r="AU184" s="112" t="str">
        <f ca="1">IF(AND(OFFSET(DATA!$F133,0,$AX$48)='Intermediate Data'!$AY$48,DATA!$E133="Tier 1"),IF(OR($AX$49=0,$AX$48=1),DATA!A133,IF(AND($AX$49=1,INDEX('Intermediate Data'!$AY$25:$AY$44,MATCH(DATA!$B133,'Intermediate Data'!$AX$25:$AX$44,0))=TRUE),DATA!A133,"")),"")</f>
        <v/>
      </c>
      <c r="AV184" s="112" t="str">
        <f ca="1">IF($AU184="","",DATA!B133)</f>
        <v/>
      </c>
      <c r="AW184" s="112" t="str">
        <f ca="1">IF(OR($AU184="",DATA!BI133=""),"",DATA!BI133)</f>
        <v/>
      </c>
      <c r="AX184" s="112" t="str">
        <f ca="1">IF(OR($AU184="",OFFSET(DATA!BK133,0,$AX$48)=""),"",OFFSET(DATA!BK133,0,$AX$48))</f>
        <v/>
      </c>
      <c r="AY184" s="112" t="str">
        <f ca="1">IF(OR($AU184="",OFFSET(DATA!BM133,0,$AX$48)=""),"",OFFSET(DATA!BM133,0,$AX$48))</f>
        <v/>
      </c>
      <c r="AZ184" s="112" t="str">
        <f ca="1">IF(OR($AU184="",OFFSET(DATA!BO133,0,'Intermediate Data'!$AX$48)=""),"",OFFSET(DATA!BO133,0,$AX$48))</f>
        <v/>
      </c>
      <c r="BA184" s="112" t="str">
        <f ca="1">IF(OR($AU184="",DATA!BQ133=""),"",DATA!BQ133)</f>
        <v/>
      </c>
      <c r="BB184" s="112" t="str">
        <f ca="1">IF($AU184="","",OFFSET(DATA!BS133,0,$AX$48))</f>
        <v/>
      </c>
      <c r="BC184" s="112" t="str">
        <f ca="1">IF($AU184="","",OFFSET(DATA!BU133,0,$AX$48))</f>
        <v/>
      </c>
      <c r="BD184" s="112" t="str">
        <f ca="1">IF($AU184="","",OFFSET(DATA!BW133,0,$AX$48))</f>
        <v/>
      </c>
      <c r="BE184" s="112" t="str">
        <f ca="1">IF($AU184="","",OFFSET(DATA!BY133,0,$AX$48))</f>
        <v/>
      </c>
      <c r="BF184" s="112" t="str">
        <f ca="1">IF($AU184="","",OFFSET(DATA!CA133,0,$AX$48))</f>
        <v/>
      </c>
      <c r="BG184" s="112" t="str">
        <f ca="1">IF($AU184="","",DATA!CC133)</f>
        <v/>
      </c>
      <c r="BH184" s="112" t="str">
        <f ca="1">IF($AU184="","",OFFSET(DATA!CE133,0,$AX$48))</f>
        <v/>
      </c>
      <c r="BI184" s="112" t="str">
        <f ca="1">IF($AU184="","",OFFSET(DATA!CG133,0,$AX$48))</f>
        <v/>
      </c>
      <c r="BJ184" s="112" t="str">
        <f ca="1">IF($AU184="","",OFFSET(DATA!CI133,0,$AX$48))</f>
        <v/>
      </c>
      <c r="BK184" s="112" t="str">
        <f ca="1">IF($AU184="","",OFFSET(DATA!CK133,0,$AX$48))</f>
        <v/>
      </c>
      <c r="BL184" s="112" t="str">
        <f ca="1">IF($AU184="","",OFFSET(DATA!CM133,0,$AX$48))</f>
        <v/>
      </c>
      <c r="BM184" s="112" t="str">
        <f ca="1">IF($AU184="","",DATA!BH133)</f>
        <v/>
      </c>
      <c r="BN184" s="112" t="str">
        <f ca="1">IF($AU184="","",DATA!DS133)</f>
        <v/>
      </c>
      <c r="BO184" s="112" t="str">
        <f ca="1">IF($AU184="","",DATA!DU133)</f>
        <v/>
      </c>
      <c r="BP184" s="112" t="str">
        <f ca="1">IF($AU184="","",DATA!DV133)</f>
        <v/>
      </c>
      <c r="BQ184" s="112" t="str">
        <f ca="1">IF($AU184="","",DATA!DX133)</f>
        <v/>
      </c>
      <c r="BR184" s="112" t="str">
        <f ca="1">IF($AU184="","",DATA!DZ133)</f>
        <v/>
      </c>
      <c r="BS184" s="171" t="str">
        <f ca="1">IF($AU184="","",DATA!EA133)</f>
        <v/>
      </c>
      <c r="BT184" s="171" t="str">
        <f ca="1">IF($AU184="","",DATA!EC133)</f>
        <v/>
      </c>
      <c r="BU184" s="171" t="str">
        <f ca="1">IF($AU184="","",DATA!EF133)</f>
        <v/>
      </c>
      <c r="BV184" s="113" t="str">
        <f t="shared" ca="1" si="24"/>
        <v/>
      </c>
      <c r="BW184" s="680" t="str">
        <f ca="1">IF(AU184="","",OFFSET(DATA!DC133,0,'Intermediate Data'!$AX$48))</f>
        <v/>
      </c>
      <c r="BX184" s="681" t="str">
        <f ca="1">IF($AU184="","",DATA!DG133)</f>
        <v/>
      </c>
      <c r="BY184" s="680" t="str">
        <f ca="1">IF($AU184="","",OFFSET(DATA!DE133,0,'Intermediate Data'!$AX$48))</f>
        <v/>
      </c>
      <c r="BZ184" s="681" t="str">
        <f ca="1">IF($AU184="","",DATA!DH133)</f>
        <v/>
      </c>
      <c r="CA184" s="90" t="str">
        <f t="shared" ca="1" si="25"/>
        <v/>
      </c>
      <c r="CB184" s="99" t="str">
        <f t="shared" ca="1" si="26"/>
        <v/>
      </c>
      <c r="CC184" s="90" t="str">
        <f t="shared" ca="1" si="27"/>
        <v/>
      </c>
      <c r="CD184" s="90" t="str">
        <f t="shared" ca="1" si="28"/>
        <v/>
      </c>
      <c r="CF184" s="90" t="str">
        <f ca="1">IF($CD184="","",IF(OFFSET(AV$55,'Intermediate Data'!$CD184,0)=-98,"Unknown",IF(OFFSET(AV$55,'Intermediate Data'!$CD184,0)=-99,"N/A",OFFSET(AV$55,'Intermediate Data'!$CD184,0))))</f>
        <v/>
      </c>
      <c r="CG184" s="90" t="str">
        <f ca="1">IF($CD184="","",IF(OFFSET(AW$55,'Intermediate Data'!$CD184,0)=-98,"",IF(OFFSET(AW$55,'Intermediate Data'!$CD184,0)=-99,"N/A",OFFSET(AW$55,'Intermediate Data'!$CD184,0))))</f>
        <v/>
      </c>
      <c r="CH184" s="90" t="str">
        <f ca="1">IF($CD184="","",IF(OFFSET(AX$55,'Intermediate Data'!$CD184,0)=-98,"Unknown",IF(OFFSET(AX$55,'Intermediate Data'!$CD184,0)=-99,"N/A",OFFSET(AX$55,'Intermediate Data'!$CD184,0))))</f>
        <v/>
      </c>
      <c r="CI184" s="125" t="str">
        <f ca="1">IF($CD184="","",IF(OFFSET(AY$55,'Intermediate Data'!$CD184,0)=-98,"Unknown",IF(OFFSET(AY$55,'Intermediate Data'!$CD184,0)=-99,"No spec",OFFSET(AY$55,'Intermediate Data'!$CD184,0))))</f>
        <v/>
      </c>
      <c r="CJ184" s="125" t="str">
        <f ca="1">IF($CD184="","",IF(OFFSET(AZ$55,'Intermediate Data'!$CD184,0)=-98,"Unknown",IF(OFFSET(AZ$55,'Intermediate Data'!$CD184,0)=-99,"N/A",OFFSET(AZ$55,'Intermediate Data'!$CD184,0))))</f>
        <v/>
      </c>
      <c r="CK184" s="90" t="str">
        <f ca="1">IF($CD184="","",IF(OFFSET(BA$55,'Intermediate Data'!$CD184,0)=-98,"Unknown",IF(OFFSET(BA$55,'Intermediate Data'!$CD184,0)=-99,"N/A",OFFSET(BA$55,'Intermediate Data'!$CD184,0))))</f>
        <v/>
      </c>
      <c r="CL184" s="90" t="str">
        <f ca="1">IF($CD184="","",IF(OFFSET(BB$55,'Intermediate Data'!$CD184,$AX$50)=-98,"Unknown",IF(OFFSET(BB$55,'Intermediate Data'!$CD184,$AX$50)="N/A","",OFFSET(BB$55,'Intermediate Data'!$CD184,$AX$50))))</f>
        <v/>
      </c>
      <c r="CM184" s="90" t="str">
        <f ca="1">IF($CD184="","",IF(OFFSET(BG$55,'Intermediate Data'!$CD184,0)="ET","ET",""))</f>
        <v/>
      </c>
      <c r="CN184" s="90" t="str">
        <f ca="1">IF($CD184="","",IF(OFFSET(BH$55,'Intermediate Data'!$CD184,$AX$50)=-98,"Unknown",IF(OFFSET(BH$55,'Intermediate Data'!$CD184,$AX$50)="N/A","",OFFSET(BH$55,'Intermediate Data'!$CD184,$AX$50))))</f>
        <v/>
      </c>
      <c r="CO184" s="90" t="str">
        <f ca="1">IF($CD184="","",IF(OFFSET(BM$55,'Intermediate Data'!$CD184,0)=-98,"Not published",IF(OFFSET(BM$55,'Intermediate Data'!$CD184,0)=-99,"No spec",OFFSET(BM$55,'Intermediate Data'!$CD184,0))))</f>
        <v/>
      </c>
      <c r="CP184" s="114" t="str">
        <f ca="1">IF($CD184="","",IF(OFFSET(BN$55,'Intermediate Data'!$CD184,0)=-98,"Unknown",IF(OFFSET(BN$55,'Intermediate Data'!$CD184,0)=-99,"N/A",OFFSET(BN$55,'Intermediate Data'!$CD184,0))))</f>
        <v/>
      </c>
      <c r="CQ184" s="114" t="str">
        <f ca="1">IF($CD184="","",IF(OFFSET(BO$55,'Intermediate Data'!$CD184,0)=-98,"Unknown",IF(OFFSET(BO$55,'Intermediate Data'!$CD184,0)=-99,"N/A",OFFSET(BO$55,'Intermediate Data'!$CD184,0))))</f>
        <v/>
      </c>
      <c r="CR184" s="114" t="str">
        <f ca="1">IF($CD184="","",IF(OFFSET(BP$55,'Intermediate Data'!$CD184,0)=-98,"Unknown",IF(OFFSET(BP$55,'Intermediate Data'!$CD184,0)=-99,"N/A",OFFSET(BP$55,'Intermediate Data'!$CD184,0))))</f>
        <v/>
      </c>
      <c r="CS184" s="114" t="str">
        <f ca="1">IF($CD184="","",IF(OFFSET(BQ$55,'Intermediate Data'!$CD184,0)=-98,"Unknown",IF(OFFSET(BQ$55,'Intermediate Data'!$CD184,0)=-99,"N/A",OFFSET(BQ$55,'Intermediate Data'!$CD184,0))))</f>
        <v/>
      </c>
      <c r="CT184" s="114" t="str">
        <f ca="1">IF($CD184="","",IF(OFFSET(BR$55,'Intermediate Data'!$CD184,0)=-98,"Unknown",IF(OFFSET(BR$55,'Intermediate Data'!$CD184,0)=-99,"N/A",OFFSET(BR$55,'Intermediate Data'!$CD184,0))))</f>
        <v/>
      </c>
      <c r="CU184" s="114" t="str">
        <f ca="1">IF($CD184="","",IF(OFFSET(BS$55,'Intermediate Data'!$CD184,0)=-98,"Unknown",IF(OFFSET(BS$55,'Intermediate Data'!$CD184,0)=-99,"N/A",OFFSET(BS$55,'Intermediate Data'!$CD184,0))))</f>
        <v/>
      </c>
      <c r="CV184" s="114" t="str">
        <f ca="1">IF($CD184="","",IF(OFFSET(BT$55,'Intermediate Data'!$CD184,0)=-98,"Unknown",IF(OFFSET(BT$55,'Intermediate Data'!$CD184,0)=-99,"N/A",OFFSET(BT$55,'Intermediate Data'!$CD184,0))))</f>
        <v/>
      </c>
      <c r="CW184" s="114" t="str">
        <f ca="1">IF($CD184="","",IF(OFFSET(BU$55,'Intermediate Data'!$CD184,0)=-98,"Unknown",IF(OFFSET(BU$55,'Intermediate Data'!$CD184,0)=-99,"N/A",OFFSET(BU$55,'Intermediate Data'!$CD184,0))))</f>
        <v/>
      </c>
      <c r="CX184" s="114" t="str">
        <f ca="1">IF($CD184="","",IF(OFFSET(BV$55,'Intermediate Data'!$CD184,0)=-98,"Unknown",IF(OFFSET(BV$55,'Intermediate Data'!$CD184,0)=-99,"N/A",OFFSET(BV$55,'Intermediate Data'!$CD184,0))))</f>
        <v/>
      </c>
      <c r="CY184" s="682" t="str">
        <f ca="1">IF($CD184="","",IF(OFFSET(BW$55,'Intermediate Data'!$CD184,0)=-98,"Unknown",IF(OFFSET(BW$55,'Intermediate Data'!$CD184,0)="N/A","",OFFSET(BW$55,'Intermediate Data'!$CD184,0))))</f>
        <v/>
      </c>
      <c r="CZ184" s="682" t="str">
        <f ca="1">IF($CD184="","",IF(OFFSET(BX$55,'Intermediate Data'!$CD184,0)=-98,"Unknown",IF(OFFSET(BX$55,'Intermediate Data'!$CD184,0)="N/A","",OFFSET(BX$55,'Intermediate Data'!$CD184,0))))</f>
        <v/>
      </c>
      <c r="DA184" s="682" t="str">
        <f ca="1">IF($CD184="","",IF(OFFSET(BY$55,'Intermediate Data'!$CD184,0)=-98,"Unknown",IF(OFFSET(BY$55,'Intermediate Data'!$CD184,0)="N/A","",OFFSET(BY$55,'Intermediate Data'!$CD184,0))))</f>
        <v/>
      </c>
      <c r="DB184" s="682" t="str">
        <f ca="1">IF($CD184="","",IF(OFFSET(BZ$55,'Intermediate Data'!$CD184,0)=-98,"Unknown",IF(OFFSET(BZ$55,'Intermediate Data'!$CD184,0)="N/A","",OFFSET(BZ$55,'Intermediate Data'!$CD184,0))))</f>
        <v/>
      </c>
    </row>
    <row r="185" spans="1:106" x14ac:dyDescent="0.2">
      <c r="A185" s="90">
        <f ca="1">IF(OFFSET(DATA!F134,0,$D$48)='Intermediate Data'!$E$48,IF(OR($E$49=$C$27,$E$48=$B$4),DATA!A134,IF($G$49=DATA!D134,DATA!A134,"")),"")</f>
        <v>130</v>
      </c>
      <c r="B185" s="90">
        <f ca="1">IF($A185="","",DATA!EH134)</f>
        <v>74</v>
      </c>
      <c r="C185" s="90" t="str">
        <f ca="1">IF($A185="","",DATA!B134)</f>
        <v>Hot water recirculation pump</v>
      </c>
      <c r="D185" s="90">
        <f ca="1">IF($A185="","",OFFSET(DATA!$H134,0,($D$50*5)))</f>
        <v>-99</v>
      </c>
      <c r="E185" s="90">
        <f ca="1">IF($A185="","",OFFSET(DATA!$H134,0,($D$50*5)+1))</f>
        <v>-99</v>
      </c>
      <c r="F185" s="90">
        <f ca="1">IF($A185="","",OFFSET(DATA!$H134,0,($D$50*5)+2))</f>
        <v>-99</v>
      </c>
      <c r="G185" s="90">
        <f ca="1">IF($A185="","",OFFSET(DATA!$H134,0,($D$50*5)+3))</f>
        <v>-99</v>
      </c>
      <c r="H185" s="90">
        <f ca="1">IF($A185="","",OFFSET(DATA!$H134,0,($D$50*5)+4))</f>
        <v>-99</v>
      </c>
      <c r="I185" s="90">
        <f t="shared" ref="I185:I192" ca="1" si="31">IF(A185="","",IF(SUM(D185:H185)&lt;-490,-99,IF(OR(H185=-99,H185=-98),IF(OR(G185=-99,G185=-98),E185,G185),H185)))</f>
        <v>-99</v>
      </c>
      <c r="J185" s="90" t="str">
        <f t="shared" ref="J185:J192" ca="1" si="32">IF(OR(I185="",I185=-99),"",IF(I185=H185,"CLASS","RASS"))</f>
        <v/>
      </c>
      <c r="K185" s="90">
        <f ca="1">IF($A185="","",OFFSET(DATA!$AG134,0,($D$50*5)))</f>
        <v>-99</v>
      </c>
      <c r="L185" s="90">
        <f ca="1">IF($A185="","",OFFSET(DATA!$AG134,0,($D$50*5)+1))</f>
        <v>-99</v>
      </c>
      <c r="M185" s="90">
        <f ca="1">IF($A185="","",OFFSET(DATA!$AG134,0,($D$50*5)+2))</f>
        <v>-99</v>
      </c>
      <c r="N185" s="90">
        <f ca="1">IF($A185="","",OFFSET(DATA!$AG134,0,($D$50*5)+3))</f>
        <v>-99</v>
      </c>
      <c r="O185" s="90">
        <f ca="1">IF($A185="","",OFFSET(DATA!$AG134,0,($D$50*5)+4))</f>
        <v>-99</v>
      </c>
      <c r="P185" s="90">
        <f t="shared" ref="P185:P192" ca="1" si="33">IF(I185="","",IF(SUM(K185:O185)&lt;-490,-99,IF(O185=-99,IF(N185=-99,L185,N185),O185)))</f>
        <v>-99</v>
      </c>
      <c r="Q185" s="90" t="str">
        <f t="shared" ref="Q185:Q192" ca="1" si="34">IF(OR(P185="",P185=-99),"",IF(P185=O185,"CLASS","RASS"))</f>
        <v/>
      </c>
      <c r="R185" s="699">
        <f ca="1">IF($A185="","",IF(DATA!BF134="",-99,DATA!BF134))</f>
        <v>-99</v>
      </c>
      <c r="S185" s="90">
        <f ca="1">IF($A185="","",IF(DATA!BG134="",-99,DATA!BF134-DATA!BG134))</f>
        <v>-99</v>
      </c>
      <c r="T185" s="90">
        <f ca="1">IF($A185="","",DATA!BH134)</f>
        <v>-99</v>
      </c>
      <c r="U185" s="90">
        <f ca="1">IF($A185="","",OFFSET(DATA!BM134,0,$D$48))</f>
        <v>-99</v>
      </c>
      <c r="V185" s="90">
        <f t="shared" ca="1" si="30"/>
        <v>74</v>
      </c>
      <c r="W185" s="99">
        <f t="shared" ref="W185:W195" ca="1" si="35">IF(C185="","",V185+(SUM(E185:O185,T185:U185)/10000000)+(ROW()/100000000000))</f>
        <v>73.999881201850002</v>
      </c>
      <c r="X185" s="112" t="str">
        <f t="shared" ref="X185:X195" ca="1" si="36">IFERROR(LARGE($W$56:$W$192,ROW()-ROW($X$55)),"")</f>
        <v/>
      </c>
      <c r="Y185" s="90" t="str">
        <f t="shared" ref="Y185:Y195" ca="1" si="37">IF(X185="","",MATCH(X185,$W$56:$W$192,0))</f>
        <v/>
      </c>
      <c r="AA185" s="90" t="str">
        <f ca="1">IF($Y185="","",IF(OFFSET(C$55,'Intermediate Data'!$Y185,0)=-98,"Unknown",IF(OFFSET(C$55,'Intermediate Data'!$Y185,0)=-99,"N/A",OFFSET(C$55,'Intermediate Data'!$Y185,0))))</f>
        <v/>
      </c>
      <c r="AB185" s="90" t="str">
        <f ca="1">IF($Y185="","",IF(OFFSET(D$55,'Intermediate Data'!$Y185,0)=-98,"N/A",IF(OFFSET(D$55,'Intermediate Data'!$Y185,0)=-99,"N/A",OFFSET(D$55,'Intermediate Data'!$Y185,0))))</f>
        <v/>
      </c>
      <c r="AC185" s="90" t="str">
        <f ca="1">IF($Y185="","",IF(OFFSET(E$55,'Intermediate Data'!$Y185,0)=-98,"N/A",IF(OFFSET(E$55,'Intermediate Data'!$Y185,0)=-99,"N/A",OFFSET(E$55,'Intermediate Data'!$Y185,0))))</f>
        <v/>
      </c>
      <c r="AD185" s="90" t="str">
        <f ca="1">IF($Y185="","",IF(OFFSET(F$55,'Intermediate Data'!$Y185,0)=-98,"N/A",IF(OFFSET(F$55,'Intermediate Data'!$Y185,0)=-99,"N/A",OFFSET(F$55,'Intermediate Data'!$Y185,0))))</f>
        <v/>
      </c>
      <c r="AE185" s="90" t="str">
        <f ca="1">IF($Y185="","",IF(OFFSET(G$55,'Intermediate Data'!$Y185,0)=-98,"N/A",IF(OFFSET(G$55,'Intermediate Data'!$Y185,0)=-99,"N/A",OFFSET(G$55,'Intermediate Data'!$Y185,0))))</f>
        <v/>
      </c>
      <c r="AF185" s="90" t="str">
        <f ca="1">IF($Y185="","",IF(OFFSET(H$55,'Intermediate Data'!$Y185,0)=-98,"N/A",IF(OFFSET(H$55,'Intermediate Data'!$Y185,0)=-99,"N/A",OFFSET(H$55,'Intermediate Data'!$Y185,0))))</f>
        <v/>
      </c>
      <c r="AG185" s="90" t="str">
        <f ca="1">IF($Y185="","",IF(OFFSET(I$55,'Intermediate Data'!$Y185,0)=-98,"N/A",IF(OFFSET(I$55,'Intermediate Data'!$Y185,0)=-99,"N/A",OFFSET(I$55,'Intermediate Data'!$Y185,0))))</f>
        <v/>
      </c>
      <c r="AH185" s="90" t="str">
        <f ca="1">IF($Y185="","",IF(OFFSET(J$55,'Intermediate Data'!$Y185,0)=-98,"N/A",IF(OFFSET(J$55,'Intermediate Data'!$Y185,0)=-99,"N/A",OFFSET(J$55,'Intermediate Data'!$Y185,0))))</f>
        <v/>
      </c>
      <c r="AI185" s="90" t="str">
        <f ca="1">IF($Y185="","",IF(OFFSET(K$55,'Intermediate Data'!$Y185,0)=-98,"N/A",IF(OFFSET(K$55,'Intermediate Data'!$Y185,0)=-99,"N/A",OFFSET(K$55,'Intermediate Data'!$Y185,0))))</f>
        <v/>
      </c>
      <c r="AJ185" s="90" t="str">
        <f ca="1">IF($Y185="","",IF(OFFSET(L$55,'Intermediate Data'!$Y185,0)=-98,"N/A",IF(OFFSET(L$55,'Intermediate Data'!$Y185,0)=-99,"N/A",OFFSET(L$55,'Intermediate Data'!$Y185,0))))</f>
        <v/>
      </c>
      <c r="AK185" s="90" t="str">
        <f ca="1">IF($Y185="","",IF(OFFSET(M$55,'Intermediate Data'!$Y185,0)=-98,"N/A",IF(OFFSET(M$55,'Intermediate Data'!$Y185,0)=-99,"N/A",OFFSET(M$55,'Intermediate Data'!$Y185,0))))</f>
        <v/>
      </c>
      <c r="AL185" s="90" t="str">
        <f ca="1">IF($Y185="","",IF(OFFSET(N$55,'Intermediate Data'!$Y185,0)=-98,"N/A",IF(OFFSET(N$55,'Intermediate Data'!$Y185,0)=-99,"N/A",OFFSET(N$55,'Intermediate Data'!$Y185,0))))</f>
        <v/>
      </c>
      <c r="AM185" s="90" t="str">
        <f ca="1">IF($Y185="","",IF(OFFSET(O$55,'Intermediate Data'!$Y185,0)=-98,"N/A",IF(OFFSET(O$55,'Intermediate Data'!$Y185,0)=-99,"N/A",OFFSET(O$55,'Intermediate Data'!$Y185,0))))</f>
        <v/>
      </c>
      <c r="AN185" s="90" t="str">
        <f ca="1">IF($Y185="","",IF(OFFSET(P$55,'Intermediate Data'!$Y185,0)=-98,"N/A",IF(OFFSET(P$55,'Intermediate Data'!$Y185,0)=-99,"N/A",OFFSET(P$55,'Intermediate Data'!$Y185,0))))</f>
        <v/>
      </c>
      <c r="AO185" s="90" t="str">
        <f ca="1">IF($Y185="","",IF(OFFSET(Q$55,'Intermediate Data'!$Y185,0)=-98,"N/A",IF(OFFSET(Q$55,'Intermediate Data'!$Y185,0)=-99,"N/A",OFFSET(Q$55,'Intermediate Data'!$Y185,0))))</f>
        <v/>
      </c>
      <c r="AP185" s="697" t="str">
        <f ca="1">IF($Y185="","",IF(OFFSET(S$55,'Intermediate Data'!$Y185,0)=-98,"",IF(OFFSET(S$55,'Intermediate Data'!$Y185,0)=-99,"",OFFSET(S$55,'Intermediate Data'!$Y185,0))))</f>
        <v/>
      </c>
      <c r="AQ185" s="90" t="str">
        <f ca="1">IF($Y185="","",IF(OFFSET(T$55,'Intermediate Data'!$Y185,0)=-98,"Not published",IF(OFFSET(T$55,'Intermediate Data'!$Y185,0)=-99,"",OFFSET(T$55,'Intermediate Data'!$Y185,0))))</f>
        <v/>
      </c>
      <c r="AR185" s="90" t="str">
        <f ca="1">IF($Y185="","",IF(OFFSET(U$55,'Intermediate Data'!$Y185,0)=-98,"Unknown",IF(OFFSET(U$55,'Intermediate Data'!$Y185,0)=-99,"",OFFSET(U$55,'Intermediate Data'!$Y185,0))))</f>
        <v/>
      </c>
      <c r="AU185" s="112" t="str">
        <f ca="1">IF(AND(OFFSET(DATA!$F134,0,$AX$48)='Intermediate Data'!$AY$48,DATA!$E134="Tier 1"),IF(OR($AX$49=0,$AX$48=1),DATA!A134,IF(AND($AX$49=1,INDEX('Intermediate Data'!$AY$25:$AY$44,MATCH(DATA!$B134,'Intermediate Data'!$AX$25:$AX$44,0))=TRUE),DATA!A134,"")),"")</f>
        <v/>
      </c>
      <c r="AV185" s="112" t="str">
        <f ca="1">IF($AU185="","",DATA!B134)</f>
        <v/>
      </c>
      <c r="AW185" s="112" t="str">
        <f ca="1">IF(OR($AU185="",DATA!BI134=""),"",DATA!BI134)</f>
        <v/>
      </c>
      <c r="AX185" s="112" t="str">
        <f ca="1">IF(OR($AU185="",OFFSET(DATA!BK134,0,$AX$48)=""),"",OFFSET(DATA!BK134,0,$AX$48))</f>
        <v/>
      </c>
      <c r="AY185" s="112" t="str">
        <f ca="1">IF(OR($AU185="",OFFSET(DATA!BM134,0,$AX$48)=""),"",OFFSET(DATA!BM134,0,$AX$48))</f>
        <v/>
      </c>
      <c r="AZ185" s="112" t="str">
        <f ca="1">IF(OR($AU185="",OFFSET(DATA!BO134,0,'Intermediate Data'!$AX$48)=""),"",OFFSET(DATA!BO134,0,$AX$48))</f>
        <v/>
      </c>
      <c r="BA185" s="112" t="str">
        <f ca="1">IF(OR($AU185="",DATA!BQ134=""),"",DATA!BQ134)</f>
        <v/>
      </c>
      <c r="BB185" s="112" t="str">
        <f ca="1">IF($AU185="","",OFFSET(DATA!BS134,0,$AX$48))</f>
        <v/>
      </c>
      <c r="BC185" s="112" t="str">
        <f ca="1">IF($AU185="","",OFFSET(DATA!BU134,0,$AX$48))</f>
        <v/>
      </c>
      <c r="BD185" s="112" t="str">
        <f ca="1">IF($AU185="","",OFFSET(DATA!BW134,0,$AX$48))</f>
        <v/>
      </c>
      <c r="BE185" s="112" t="str">
        <f ca="1">IF($AU185="","",OFFSET(DATA!BY134,0,$AX$48))</f>
        <v/>
      </c>
      <c r="BF185" s="112" t="str">
        <f ca="1">IF($AU185="","",OFFSET(DATA!CA134,0,$AX$48))</f>
        <v/>
      </c>
      <c r="BG185" s="112" t="str">
        <f ca="1">IF($AU185="","",DATA!CC134)</f>
        <v/>
      </c>
      <c r="BH185" s="112" t="str">
        <f ca="1">IF($AU185="","",OFFSET(DATA!CE134,0,$AX$48))</f>
        <v/>
      </c>
      <c r="BI185" s="112" t="str">
        <f ca="1">IF($AU185="","",OFFSET(DATA!CG134,0,$AX$48))</f>
        <v/>
      </c>
      <c r="BJ185" s="112" t="str">
        <f ca="1">IF($AU185="","",OFFSET(DATA!CI134,0,$AX$48))</f>
        <v/>
      </c>
      <c r="BK185" s="112" t="str">
        <f ca="1">IF($AU185="","",OFFSET(DATA!CK134,0,$AX$48))</f>
        <v/>
      </c>
      <c r="BL185" s="112" t="str">
        <f ca="1">IF($AU185="","",OFFSET(DATA!CM134,0,$AX$48))</f>
        <v/>
      </c>
      <c r="BM185" s="112" t="str">
        <f ca="1">IF($AU185="","",DATA!BH134)</f>
        <v/>
      </c>
      <c r="BN185" s="112" t="str">
        <f ca="1">IF($AU185="","",DATA!DS134)</f>
        <v/>
      </c>
      <c r="BO185" s="112" t="str">
        <f ca="1">IF($AU185="","",DATA!DU134)</f>
        <v/>
      </c>
      <c r="BP185" s="112" t="str">
        <f ca="1">IF($AU185="","",DATA!DV134)</f>
        <v/>
      </c>
      <c r="BQ185" s="112" t="str">
        <f ca="1">IF($AU185="","",DATA!DX134)</f>
        <v/>
      </c>
      <c r="BR185" s="112" t="str">
        <f ca="1">IF($AU185="","",DATA!DZ134)</f>
        <v/>
      </c>
      <c r="BS185" s="171" t="str">
        <f ca="1">IF($AU185="","",DATA!EA134)</f>
        <v/>
      </c>
      <c r="BT185" s="171" t="str">
        <f ca="1">IF($AU185="","",DATA!EC134)</f>
        <v/>
      </c>
      <c r="BU185" s="171" t="str">
        <f ca="1">IF($AU185="","",DATA!EF134)</f>
        <v/>
      </c>
      <c r="BV185" s="113" t="str">
        <f t="shared" ref="BV185:BV192" ca="1" si="38">IF(MAX(BP185,BS185,BU185)=0,"",MAX(BP185,BS185,BU185))</f>
        <v/>
      </c>
      <c r="BW185" s="680" t="str">
        <f ca="1">IF(AU185="","",OFFSET(DATA!DC134,0,'Intermediate Data'!$AX$48))</f>
        <v/>
      </c>
      <c r="BX185" s="681" t="str">
        <f ca="1">IF($AU185="","",DATA!DG134)</f>
        <v/>
      </c>
      <c r="BY185" s="680" t="str">
        <f ca="1">IF($AU185="","",OFFSET(DATA!DE134,0,'Intermediate Data'!$AX$48))</f>
        <v/>
      </c>
      <c r="BZ185" s="681" t="str">
        <f ca="1">IF($AU185="","",DATA!DH134)</f>
        <v/>
      </c>
      <c r="CA185" s="90" t="str">
        <f t="shared" ref="CA185:CA192" ca="1" si="39">IFERROR(OFFSET(AV185,0,MATCH($AY$51,$AW$54:$BZ$54,0)),"")</f>
        <v/>
      </c>
      <c r="CB185" s="99" t="str">
        <f t="shared" ref="CB185:CB192" ca="1" si="40">IFERROR(IF(AU185="","",CA185+ROW()/100000),ROW()/1000000)</f>
        <v/>
      </c>
      <c r="CC185" s="90" t="str">
        <f t="shared" ref="CC185:CC192" ca="1" si="41">IFERROR(LARGE($CB$56:$CB$192,ROW()-ROW($CC$55)),"")</f>
        <v/>
      </c>
      <c r="CD185" s="90" t="str">
        <f t="shared" ref="CD185:CD192" ca="1" si="42">IF(CC185="","",MATCH(CC185,$CB$56:$CB$192,0))</f>
        <v/>
      </c>
      <c r="CF185" s="90" t="str">
        <f ca="1">IF($CD185="","",IF(OFFSET(AV$55,'Intermediate Data'!$CD185,0)=-98,"Unknown",IF(OFFSET(AV$55,'Intermediate Data'!$CD185,0)=-99,"N/A",OFFSET(AV$55,'Intermediate Data'!$CD185,0))))</f>
        <v/>
      </c>
      <c r="CG185" s="90" t="str">
        <f ca="1">IF($CD185="","",IF(OFFSET(AW$55,'Intermediate Data'!$CD185,0)=-98,"",IF(OFFSET(AW$55,'Intermediate Data'!$CD185,0)=-99,"N/A",OFFSET(AW$55,'Intermediate Data'!$CD185,0))))</f>
        <v/>
      </c>
      <c r="CH185" s="90" t="str">
        <f ca="1">IF($CD185="","",IF(OFFSET(AX$55,'Intermediate Data'!$CD185,0)=-98,"Unknown",IF(OFFSET(AX$55,'Intermediate Data'!$CD185,0)=-99,"N/A",OFFSET(AX$55,'Intermediate Data'!$CD185,0))))</f>
        <v/>
      </c>
      <c r="CI185" s="125" t="str">
        <f ca="1">IF($CD185="","",IF(OFFSET(AY$55,'Intermediate Data'!$CD185,0)=-98,"Unknown",IF(OFFSET(AY$55,'Intermediate Data'!$CD185,0)=-99,"No spec",OFFSET(AY$55,'Intermediate Data'!$CD185,0))))</f>
        <v/>
      </c>
      <c r="CJ185" s="125" t="str">
        <f ca="1">IF($CD185="","",IF(OFFSET(AZ$55,'Intermediate Data'!$CD185,0)=-98,"Unknown",IF(OFFSET(AZ$55,'Intermediate Data'!$CD185,0)=-99,"N/A",OFFSET(AZ$55,'Intermediate Data'!$CD185,0))))</f>
        <v/>
      </c>
      <c r="CK185" s="90" t="str">
        <f ca="1">IF($CD185="","",IF(OFFSET(BA$55,'Intermediate Data'!$CD185,0)=-98,"Unknown",IF(OFFSET(BA$55,'Intermediate Data'!$CD185,0)=-99,"N/A",OFFSET(BA$55,'Intermediate Data'!$CD185,0))))</f>
        <v/>
      </c>
      <c r="CL185" s="90" t="str">
        <f ca="1">IF($CD185="","",IF(OFFSET(BB$55,'Intermediate Data'!$CD185,$AX$50)=-98,"Unknown",IF(OFFSET(BB$55,'Intermediate Data'!$CD185,$AX$50)="N/A","",OFFSET(BB$55,'Intermediate Data'!$CD185,$AX$50))))</f>
        <v/>
      </c>
      <c r="CM185" s="90" t="str">
        <f ca="1">IF($CD185="","",IF(OFFSET(BG$55,'Intermediate Data'!$CD185,0)="ET","ET",""))</f>
        <v/>
      </c>
      <c r="CN185" s="90" t="str">
        <f ca="1">IF($CD185="","",IF(OFFSET(BH$55,'Intermediate Data'!$CD185,$AX$50)=-98,"Unknown",IF(OFFSET(BH$55,'Intermediate Data'!$CD185,$AX$50)="N/A","",OFFSET(BH$55,'Intermediate Data'!$CD185,$AX$50))))</f>
        <v/>
      </c>
      <c r="CO185" s="90" t="str">
        <f ca="1">IF($CD185="","",IF(OFFSET(BM$55,'Intermediate Data'!$CD185,0)=-98,"Not published",IF(OFFSET(BM$55,'Intermediate Data'!$CD185,0)=-99,"No spec",OFFSET(BM$55,'Intermediate Data'!$CD185,0))))</f>
        <v/>
      </c>
      <c r="CP185" s="114" t="str">
        <f ca="1">IF($CD185="","",IF(OFFSET(BN$55,'Intermediate Data'!$CD185,0)=-98,"Unknown",IF(OFFSET(BN$55,'Intermediate Data'!$CD185,0)=-99,"N/A",OFFSET(BN$55,'Intermediate Data'!$CD185,0))))</f>
        <v/>
      </c>
      <c r="CQ185" s="114" t="str">
        <f ca="1">IF($CD185="","",IF(OFFSET(BO$55,'Intermediate Data'!$CD185,0)=-98,"Unknown",IF(OFFSET(BO$55,'Intermediate Data'!$CD185,0)=-99,"N/A",OFFSET(BO$55,'Intermediate Data'!$CD185,0))))</f>
        <v/>
      </c>
      <c r="CR185" s="114" t="str">
        <f ca="1">IF($CD185="","",IF(OFFSET(BP$55,'Intermediate Data'!$CD185,0)=-98,"Unknown",IF(OFFSET(BP$55,'Intermediate Data'!$CD185,0)=-99,"N/A",OFFSET(BP$55,'Intermediate Data'!$CD185,0))))</f>
        <v/>
      </c>
      <c r="CS185" s="114" t="str">
        <f ca="1">IF($CD185="","",IF(OFFSET(BQ$55,'Intermediate Data'!$CD185,0)=-98,"Unknown",IF(OFFSET(BQ$55,'Intermediate Data'!$CD185,0)=-99,"N/A",OFFSET(BQ$55,'Intermediate Data'!$CD185,0))))</f>
        <v/>
      </c>
      <c r="CT185" s="114" t="str">
        <f ca="1">IF($CD185="","",IF(OFFSET(BR$55,'Intermediate Data'!$CD185,0)=-98,"Unknown",IF(OFFSET(BR$55,'Intermediate Data'!$CD185,0)=-99,"N/A",OFFSET(BR$55,'Intermediate Data'!$CD185,0))))</f>
        <v/>
      </c>
      <c r="CU185" s="114" t="str">
        <f ca="1">IF($CD185="","",IF(OFFSET(BS$55,'Intermediate Data'!$CD185,0)=-98,"Unknown",IF(OFFSET(BS$55,'Intermediate Data'!$CD185,0)=-99,"N/A",OFFSET(BS$55,'Intermediate Data'!$CD185,0))))</f>
        <v/>
      </c>
      <c r="CV185" s="114" t="str">
        <f ca="1">IF($CD185="","",IF(OFFSET(BT$55,'Intermediate Data'!$CD185,0)=-98,"Unknown",IF(OFFSET(BT$55,'Intermediate Data'!$CD185,0)=-99,"N/A",OFFSET(BT$55,'Intermediate Data'!$CD185,0))))</f>
        <v/>
      </c>
      <c r="CW185" s="114" t="str">
        <f ca="1">IF($CD185="","",IF(OFFSET(BU$55,'Intermediate Data'!$CD185,0)=-98,"Unknown",IF(OFFSET(BU$55,'Intermediate Data'!$CD185,0)=-99,"N/A",OFFSET(BU$55,'Intermediate Data'!$CD185,0))))</f>
        <v/>
      </c>
      <c r="CX185" s="114" t="str">
        <f ca="1">IF($CD185="","",IF(OFFSET(BV$55,'Intermediate Data'!$CD185,0)=-98,"Unknown",IF(OFFSET(BV$55,'Intermediate Data'!$CD185,0)=-99,"N/A",OFFSET(BV$55,'Intermediate Data'!$CD185,0))))</f>
        <v/>
      </c>
      <c r="CY185" s="682" t="str">
        <f ca="1">IF($CD185="","",IF(OFFSET(BW$55,'Intermediate Data'!$CD185,0)=-98,"Unknown",IF(OFFSET(BW$55,'Intermediate Data'!$CD185,0)="N/A","",OFFSET(BW$55,'Intermediate Data'!$CD185,0))))</f>
        <v/>
      </c>
      <c r="CZ185" s="682" t="str">
        <f ca="1">IF($CD185="","",IF(OFFSET(BX$55,'Intermediate Data'!$CD185,0)=-98,"Unknown",IF(OFFSET(BX$55,'Intermediate Data'!$CD185,0)="N/A","",OFFSET(BX$55,'Intermediate Data'!$CD185,0))))</f>
        <v/>
      </c>
      <c r="DA185" s="682" t="str">
        <f ca="1">IF($CD185="","",IF(OFFSET(BY$55,'Intermediate Data'!$CD185,0)=-98,"Unknown",IF(OFFSET(BY$55,'Intermediate Data'!$CD185,0)="N/A","",OFFSET(BY$55,'Intermediate Data'!$CD185,0))))</f>
        <v/>
      </c>
      <c r="DB185" s="682" t="str">
        <f ca="1">IF($CD185="","",IF(OFFSET(BZ$55,'Intermediate Data'!$CD185,0)=-98,"Unknown",IF(OFFSET(BZ$55,'Intermediate Data'!$CD185,0)="N/A","",OFFSET(BZ$55,'Intermediate Data'!$CD185,0))))</f>
        <v/>
      </c>
    </row>
    <row r="186" spans="1:106" x14ac:dyDescent="0.2">
      <c r="A186" s="90">
        <f ca="1">IF(OFFSET(DATA!F135,0,$D$48)='Intermediate Data'!$E$48,IF(OR($E$49=$C$27,$E$48=$B$4),DATA!A135,IF($G$49=DATA!D135,DATA!A135,"")),"")</f>
        <v>131</v>
      </c>
      <c r="B186" s="90">
        <f ca="1">IF($A186="","",DATA!EH135)</f>
        <v>69</v>
      </c>
      <c r="C186" s="90" t="str">
        <f ca="1">IF($A186="","",DATA!B135)</f>
        <v>Irrigation system</v>
      </c>
      <c r="D186" s="90">
        <f ca="1">IF($A186="","",OFFSET(DATA!$H135,0,($D$50*5)))</f>
        <v>-99</v>
      </c>
      <c r="E186" s="90">
        <f ca="1">IF($A186="","",OFFSET(DATA!$H135,0,($D$50*5)+1))</f>
        <v>-99</v>
      </c>
      <c r="F186" s="90">
        <f ca="1">IF($A186="","",OFFSET(DATA!$H135,0,($D$50*5)+2))</f>
        <v>-99</v>
      </c>
      <c r="G186" s="90">
        <f ca="1">IF($A186="","",OFFSET(DATA!$H135,0,($D$50*5)+3))</f>
        <v>-99</v>
      </c>
      <c r="H186" s="90">
        <f ca="1">IF($A186="","",OFFSET(DATA!$H135,0,($D$50*5)+4))</f>
        <v>-99</v>
      </c>
      <c r="I186" s="90">
        <f t="shared" ca="1" si="31"/>
        <v>-99</v>
      </c>
      <c r="J186" s="90" t="str">
        <f t="shared" ca="1" si="32"/>
        <v/>
      </c>
      <c r="K186" s="90">
        <f ca="1">IF($A186="","",OFFSET(DATA!$AG135,0,($D$50*5)))</f>
        <v>-99</v>
      </c>
      <c r="L186" s="90">
        <f ca="1">IF($A186="","",OFFSET(DATA!$AG135,0,($D$50*5)+1))</f>
        <v>-99</v>
      </c>
      <c r="M186" s="90">
        <f ca="1">IF($A186="","",OFFSET(DATA!$AG135,0,($D$50*5)+2))</f>
        <v>-99</v>
      </c>
      <c r="N186" s="90">
        <f ca="1">IF($A186="","",OFFSET(DATA!$AG135,0,($D$50*5)+3))</f>
        <v>-99</v>
      </c>
      <c r="O186" s="90">
        <f ca="1">IF($A186="","",OFFSET(DATA!$AG135,0,($D$50*5)+4))</f>
        <v>-99</v>
      </c>
      <c r="P186" s="90">
        <f t="shared" ca="1" si="33"/>
        <v>-99</v>
      </c>
      <c r="Q186" s="90" t="str">
        <f t="shared" ca="1" si="34"/>
        <v/>
      </c>
      <c r="R186" s="699">
        <f ca="1">IF($A186="","",IF(DATA!BF135="",-99,DATA!BF135))</f>
        <v>-99</v>
      </c>
      <c r="S186" s="90">
        <f ca="1">IF($A186="","",IF(DATA!BG135="",-99,DATA!BF135-DATA!BG135))</f>
        <v>-99</v>
      </c>
      <c r="T186" s="90">
        <f ca="1">IF($A186="","",DATA!BH135)</f>
        <v>-99</v>
      </c>
      <c r="U186" s="90">
        <f ca="1">IF($A186="","",OFFSET(DATA!BM135,0,$D$48))</f>
        <v>-99</v>
      </c>
      <c r="V186" s="90">
        <f t="shared" ca="1" si="30"/>
        <v>69</v>
      </c>
      <c r="W186" s="99">
        <f t="shared" ca="1" si="35"/>
        <v>68.999881201860006</v>
      </c>
      <c r="X186" s="112" t="str">
        <f t="shared" ca="1" si="36"/>
        <v/>
      </c>
      <c r="Y186" s="90" t="str">
        <f t="shared" ca="1" si="37"/>
        <v/>
      </c>
      <c r="AA186" s="90" t="str">
        <f ca="1">IF($Y186="","",IF(OFFSET(C$55,'Intermediate Data'!$Y186,0)=-98,"Unknown",IF(OFFSET(C$55,'Intermediate Data'!$Y186,0)=-99,"N/A",OFFSET(C$55,'Intermediate Data'!$Y186,0))))</f>
        <v/>
      </c>
      <c r="AB186" s="90" t="str">
        <f ca="1">IF($Y186="","",IF(OFFSET(D$55,'Intermediate Data'!$Y186,0)=-98,"N/A",IF(OFFSET(D$55,'Intermediate Data'!$Y186,0)=-99,"N/A",OFFSET(D$55,'Intermediate Data'!$Y186,0))))</f>
        <v/>
      </c>
      <c r="AC186" s="90" t="str">
        <f ca="1">IF($Y186="","",IF(OFFSET(E$55,'Intermediate Data'!$Y186,0)=-98,"N/A",IF(OFFSET(E$55,'Intermediate Data'!$Y186,0)=-99,"N/A",OFFSET(E$55,'Intermediate Data'!$Y186,0))))</f>
        <v/>
      </c>
      <c r="AD186" s="90" t="str">
        <f ca="1">IF($Y186="","",IF(OFFSET(F$55,'Intermediate Data'!$Y186,0)=-98,"N/A",IF(OFFSET(F$55,'Intermediate Data'!$Y186,0)=-99,"N/A",OFFSET(F$55,'Intermediate Data'!$Y186,0))))</f>
        <v/>
      </c>
      <c r="AE186" s="90" t="str">
        <f ca="1">IF($Y186="","",IF(OFFSET(G$55,'Intermediate Data'!$Y186,0)=-98,"N/A",IF(OFFSET(G$55,'Intermediate Data'!$Y186,0)=-99,"N/A",OFFSET(G$55,'Intermediate Data'!$Y186,0))))</f>
        <v/>
      </c>
      <c r="AF186" s="90" t="str">
        <f ca="1">IF($Y186="","",IF(OFFSET(H$55,'Intermediate Data'!$Y186,0)=-98,"N/A",IF(OFFSET(H$55,'Intermediate Data'!$Y186,0)=-99,"N/A",OFFSET(H$55,'Intermediate Data'!$Y186,0))))</f>
        <v/>
      </c>
      <c r="AG186" s="90" t="str">
        <f ca="1">IF($Y186="","",IF(OFFSET(I$55,'Intermediate Data'!$Y186,0)=-98,"N/A",IF(OFFSET(I$55,'Intermediate Data'!$Y186,0)=-99,"N/A",OFFSET(I$55,'Intermediate Data'!$Y186,0))))</f>
        <v/>
      </c>
      <c r="AH186" s="90" t="str">
        <f ca="1">IF($Y186="","",IF(OFFSET(J$55,'Intermediate Data'!$Y186,0)=-98,"N/A",IF(OFFSET(J$55,'Intermediate Data'!$Y186,0)=-99,"N/A",OFFSET(J$55,'Intermediate Data'!$Y186,0))))</f>
        <v/>
      </c>
      <c r="AI186" s="90" t="str">
        <f ca="1">IF($Y186="","",IF(OFFSET(K$55,'Intermediate Data'!$Y186,0)=-98,"N/A",IF(OFFSET(K$55,'Intermediate Data'!$Y186,0)=-99,"N/A",OFFSET(K$55,'Intermediate Data'!$Y186,0))))</f>
        <v/>
      </c>
      <c r="AJ186" s="90" t="str">
        <f ca="1">IF($Y186="","",IF(OFFSET(L$55,'Intermediate Data'!$Y186,0)=-98,"N/A",IF(OFFSET(L$55,'Intermediate Data'!$Y186,0)=-99,"N/A",OFFSET(L$55,'Intermediate Data'!$Y186,0))))</f>
        <v/>
      </c>
      <c r="AK186" s="90" t="str">
        <f ca="1">IF($Y186="","",IF(OFFSET(M$55,'Intermediate Data'!$Y186,0)=-98,"N/A",IF(OFFSET(M$55,'Intermediate Data'!$Y186,0)=-99,"N/A",OFFSET(M$55,'Intermediate Data'!$Y186,0))))</f>
        <v/>
      </c>
      <c r="AL186" s="90" t="str">
        <f ca="1">IF($Y186="","",IF(OFFSET(N$55,'Intermediate Data'!$Y186,0)=-98,"N/A",IF(OFFSET(N$55,'Intermediate Data'!$Y186,0)=-99,"N/A",OFFSET(N$55,'Intermediate Data'!$Y186,0))))</f>
        <v/>
      </c>
      <c r="AM186" s="90" t="str">
        <f ca="1">IF($Y186="","",IF(OFFSET(O$55,'Intermediate Data'!$Y186,0)=-98,"N/A",IF(OFFSET(O$55,'Intermediate Data'!$Y186,0)=-99,"N/A",OFFSET(O$55,'Intermediate Data'!$Y186,0))))</f>
        <v/>
      </c>
      <c r="AN186" s="90" t="str">
        <f ca="1">IF($Y186="","",IF(OFFSET(P$55,'Intermediate Data'!$Y186,0)=-98,"N/A",IF(OFFSET(P$55,'Intermediate Data'!$Y186,0)=-99,"N/A",OFFSET(P$55,'Intermediate Data'!$Y186,0))))</f>
        <v/>
      </c>
      <c r="AO186" s="90" t="str">
        <f ca="1">IF($Y186="","",IF(OFFSET(Q$55,'Intermediate Data'!$Y186,0)=-98,"N/A",IF(OFFSET(Q$55,'Intermediate Data'!$Y186,0)=-99,"N/A",OFFSET(Q$55,'Intermediate Data'!$Y186,0))))</f>
        <v/>
      </c>
      <c r="AP186" s="697" t="str">
        <f ca="1">IF($Y186="","",IF(OFFSET(S$55,'Intermediate Data'!$Y186,0)=-98,"",IF(OFFSET(S$55,'Intermediate Data'!$Y186,0)=-99,"",OFFSET(S$55,'Intermediate Data'!$Y186,0))))</f>
        <v/>
      </c>
      <c r="AQ186" s="90" t="str">
        <f ca="1">IF($Y186="","",IF(OFFSET(T$55,'Intermediate Data'!$Y186,0)=-98,"Not published",IF(OFFSET(T$55,'Intermediate Data'!$Y186,0)=-99,"",OFFSET(T$55,'Intermediate Data'!$Y186,0))))</f>
        <v/>
      </c>
      <c r="AR186" s="90" t="str">
        <f ca="1">IF($Y186="","",IF(OFFSET(U$55,'Intermediate Data'!$Y186,0)=-98,"Unknown",IF(OFFSET(U$55,'Intermediate Data'!$Y186,0)=-99,"",OFFSET(U$55,'Intermediate Data'!$Y186,0))))</f>
        <v/>
      </c>
      <c r="AU186" s="112" t="str">
        <f ca="1">IF(AND(OFFSET(DATA!$F135,0,$AX$48)='Intermediate Data'!$AY$48,DATA!$E135="Tier 1"),IF(OR($AX$49=0,$AX$48=1),DATA!A135,IF(AND($AX$49=1,INDEX('Intermediate Data'!$AY$25:$AY$44,MATCH(DATA!$B135,'Intermediate Data'!$AX$25:$AX$44,0))=TRUE),DATA!A135,"")),"")</f>
        <v/>
      </c>
      <c r="AV186" s="112" t="str">
        <f ca="1">IF($AU186="","",DATA!B135)</f>
        <v/>
      </c>
      <c r="AW186" s="112" t="str">
        <f ca="1">IF(OR($AU186="",DATA!BI135=""),"",DATA!BI135)</f>
        <v/>
      </c>
      <c r="AX186" s="112" t="str">
        <f ca="1">IF(OR($AU186="",OFFSET(DATA!BK135,0,$AX$48)=""),"",OFFSET(DATA!BK135,0,$AX$48))</f>
        <v/>
      </c>
      <c r="AY186" s="112" t="str">
        <f ca="1">IF(OR($AU186="",OFFSET(DATA!BM135,0,$AX$48)=""),"",OFFSET(DATA!BM135,0,$AX$48))</f>
        <v/>
      </c>
      <c r="AZ186" s="112" t="str">
        <f ca="1">IF(OR($AU186="",OFFSET(DATA!BO135,0,'Intermediate Data'!$AX$48)=""),"",OFFSET(DATA!BO135,0,$AX$48))</f>
        <v/>
      </c>
      <c r="BA186" s="112" t="str">
        <f ca="1">IF(OR($AU186="",DATA!BQ135=""),"",DATA!BQ135)</f>
        <v/>
      </c>
      <c r="BB186" s="112" t="str">
        <f ca="1">IF($AU186="","",OFFSET(DATA!BS135,0,$AX$48))</f>
        <v/>
      </c>
      <c r="BC186" s="112" t="str">
        <f ca="1">IF($AU186="","",OFFSET(DATA!BU135,0,$AX$48))</f>
        <v/>
      </c>
      <c r="BD186" s="112" t="str">
        <f ca="1">IF($AU186="","",OFFSET(DATA!BW135,0,$AX$48))</f>
        <v/>
      </c>
      <c r="BE186" s="112" t="str">
        <f ca="1">IF($AU186="","",OFFSET(DATA!BY135,0,$AX$48))</f>
        <v/>
      </c>
      <c r="BF186" s="112" t="str">
        <f ca="1">IF($AU186="","",OFFSET(DATA!CA135,0,$AX$48))</f>
        <v/>
      </c>
      <c r="BG186" s="112" t="str">
        <f ca="1">IF($AU186="","",DATA!CC135)</f>
        <v/>
      </c>
      <c r="BH186" s="112" t="str">
        <f ca="1">IF($AU186="","",OFFSET(DATA!CE135,0,$AX$48))</f>
        <v/>
      </c>
      <c r="BI186" s="112" t="str">
        <f ca="1">IF($AU186="","",OFFSET(DATA!CG135,0,$AX$48))</f>
        <v/>
      </c>
      <c r="BJ186" s="112" t="str">
        <f ca="1">IF($AU186="","",OFFSET(DATA!CI135,0,$AX$48))</f>
        <v/>
      </c>
      <c r="BK186" s="112" t="str">
        <f ca="1">IF($AU186="","",OFFSET(DATA!CK135,0,$AX$48))</f>
        <v/>
      </c>
      <c r="BL186" s="112" t="str">
        <f ca="1">IF($AU186="","",OFFSET(DATA!CM135,0,$AX$48))</f>
        <v/>
      </c>
      <c r="BM186" s="112" t="str">
        <f ca="1">IF($AU186="","",DATA!BH135)</f>
        <v/>
      </c>
      <c r="BN186" s="112" t="str">
        <f ca="1">IF($AU186="","",DATA!DS135)</f>
        <v/>
      </c>
      <c r="BO186" s="112" t="str">
        <f ca="1">IF($AU186="","",DATA!DU135)</f>
        <v/>
      </c>
      <c r="BP186" s="112" t="str">
        <f ca="1">IF($AU186="","",DATA!DV135)</f>
        <v/>
      </c>
      <c r="BQ186" s="112" t="str">
        <f ca="1">IF($AU186="","",DATA!DX135)</f>
        <v/>
      </c>
      <c r="BR186" s="112" t="str">
        <f ca="1">IF($AU186="","",DATA!DZ135)</f>
        <v/>
      </c>
      <c r="BS186" s="171" t="str">
        <f ca="1">IF($AU186="","",DATA!EA135)</f>
        <v/>
      </c>
      <c r="BT186" s="171" t="str">
        <f ca="1">IF($AU186="","",DATA!EC135)</f>
        <v/>
      </c>
      <c r="BU186" s="171" t="str">
        <f ca="1">IF($AU186="","",DATA!EF135)</f>
        <v/>
      </c>
      <c r="BV186" s="113" t="str">
        <f t="shared" ca="1" si="38"/>
        <v/>
      </c>
      <c r="BW186" s="680" t="str">
        <f ca="1">IF(AU186="","",OFFSET(DATA!DC135,0,'Intermediate Data'!$AX$48))</f>
        <v/>
      </c>
      <c r="BX186" s="681" t="str">
        <f ca="1">IF($AU186="","",DATA!DG135)</f>
        <v/>
      </c>
      <c r="BY186" s="680" t="str">
        <f ca="1">IF($AU186="","",OFFSET(DATA!DE135,0,'Intermediate Data'!$AX$48))</f>
        <v/>
      </c>
      <c r="BZ186" s="681" t="str">
        <f ca="1">IF($AU186="","",DATA!DH135)</f>
        <v/>
      </c>
      <c r="CA186" s="90" t="str">
        <f t="shared" ca="1" si="39"/>
        <v/>
      </c>
      <c r="CB186" s="99" t="str">
        <f t="shared" ca="1" si="40"/>
        <v/>
      </c>
      <c r="CC186" s="90" t="str">
        <f t="shared" ca="1" si="41"/>
        <v/>
      </c>
      <c r="CD186" s="90" t="str">
        <f t="shared" ca="1" si="42"/>
        <v/>
      </c>
      <c r="CF186" s="90" t="str">
        <f ca="1">IF($CD186="","",IF(OFFSET(AV$55,'Intermediate Data'!$CD186,0)=-98,"Unknown",IF(OFFSET(AV$55,'Intermediate Data'!$CD186,0)=-99,"N/A",OFFSET(AV$55,'Intermediate Data'!$CD186,0))))</f>
        <v/>
      </c>
      <c r="CG186" s="90" t="str">
        <f ca="1">IF($CD186="","",IF(OFFSET(AW$55,'Intermediate Data'!$CD186,0)=-98,"",IF(OFFSET(AW$55,'Intermediate Data'!$CD186,0)=-99,"N/A",OFFSET(AW$55,'Intermediate Data'!$CD186,0))))</f>
        <v/>
      </c>
      <c r="CH186" s="90" t="str">
        <f ca="1">IF($CD186="","",IF(OFFSET(AX$55,'Intermediate Data'!$CD186,0)=-98,"Unknown",IF(OFFSET(AX$55,'Intermediate Data'!$CD186,0)=-99,"N/A",OFFSET(AX$55,'Intermediate Data'!$CD186,0))))</f>
        <v/>
      </c>
      <c r="CI186" s="125" t="str">
        <f ca="1">IF($CD186="","",IF(OFFSET(AY$55,'Intermediate Data'!$CD186,0)=-98,"Unknown",IF(OFFSET(AY$55,'Intermediate Data'!$CD186,0)=-99,"No spec",OFFSET(AY$55,'Intermediate Data'!$CD186,0))))</f>
        <v/>
      </c>
      <c r="CJ186" s="125" t="str">
        <f ca="1">IF($CD186="","",IF(OFFSET(AZ$55,'Intermediate Data'!$CD186,0)=-98,"Unknown",IF(OFFSET(AZ$55,'Intermediate Data'!$CD186,0)=-99,"N/A",OFFSET(AZ$55,'Intermediate Data'!$CD186,0))))</f>
        <v/>
      </c>
      <c r="CK186" s="90" t="str">
        <f ca="1">IF($CD186="","",IF(OFFSET(BA$55,'Intermediate Data'!$CD186,0)=-98,"Unknown",IF(OFFSET(BA$55,'Intermediate Data'!$CD186,0)=-99,"N/A",OFFSET(BA$55,'Intermediate Data'!$CD186,0))))</f>
        <v/>
      </c>
      <c r="CL186" s="90" t="str">
        <f ca="1">IF($CD186="","",IF(OFFSET(BB$55,'Intermediate Data'!$CD186,$AX$50)=-98,"Unknown",IF(OFFSET(BB$55,'Intermediate Data'!$CD186,$AX$50)="N/A","",OFFSET(BB$55,'Intermediate Data'!$CD186,$AX$50))))</f>
        <v/>
      </c>
      <c r="CM186" s="90" t="str">
        <f ca="1">IF($CD186="","",IF(OFFSET(BG$55,'Intermediate Data'!$CD186,0)="ET","ET",""))</f>
        <v/>
      </c>
      <c r="CN186" s="90" t="str">
        <f ca="1">IF($CD186="","",IF(OFFSET(BH$55,'Intermediate Data'!$CD186,$AX$50)=-98,"Unknown",IF(OFFSET(BH$55,'Intermediate Data'!$CD186,$AX$50)="N/A","",OFFSET(BH$55,'Intermediate Data'!$CD186,$AX$50))))</f>
        <v/>
      </c>
      <c r="CO186" s="90" t="str">
        <f ca="1">IF($CD186="","",IF(OFFSET(BM$55,'Intermediate Data'!$CD186,0)=-98,"Not published",IF(OFFSET(BM$55,'Intermediate Data'!$CD186,0)=-99,"No spec",OFFSET(BM$55,'Intermediate Data'!$CD186,0))))</f>
        <v/>
      </c>
      <c r="CP186" s="114" t="str">
        <f ca="1">IF($CD186="","",IF(OFFSET(BN$55,'Intermediate Data'!$CD186,0)=-98,"Unknown",IF(OFFSET(BN$55,'Intermediate Data'!$CD186,0)=-99,"N/A",OFFSET(BN$55,'Intermediate Data'!$CD186,0))))</f>
        <v/>
      </c>
      <c r="CQ186" s="114" t="str">
        <f ca="1">IF($CD186="","",IF(OFFSET(BO$55,'Intermediate Data'!$CD186,0)=-98,"Unknown",IF(OFFSET(BO$55,'Intermediate Data'!$CD186,0)=-99,"N/A",OFFSET(BO$55,'Intermediate Data'!$CD186,0))))</f>
        <v/>
      </c>
      <c r="CR186" s="114" t="str">
        <f ca="1">IF($CD186="","",IF(OFFSET(BP$55,'Intermediate Data'!$CD186,0)=-98,"Unknown",IF(OFFSET(BP$55,'Intermediate Data'!$CD186,0)=-99,"N/A",OFFSET(BP$55,'Intermediate Data'!$CD186,0))))</f>
        <v/>
      </c>
      <c r="CS186" s="114" t="str">
        <f ca="1">IF($CD186="","",IF(OFFSET(BQ$55,'Intermediate Data'!$CD186,0)=-98,"Unknown",IF(OFFSET(BQ$55,'Intermediate Data'!$CD186,0)=-99,"N/A",OFFSET(BQ$55,'Intermediate Data'!$CD186,0))))</f>
        <v/>
      </c>
      <c r="CT186" s="114" t="str">
        <f ca="1">IF($CD186="","",IF(OFFSET(BR$55,'Intermediate Data'!$CD186,0)=-98,"Unknown",IF(OFFSET(BR$55,'Intermediate Data'!$CD186,0)=-99,"N/A",OFFSET(BR$55,'Intermediate Data'!$CD186,0))))</f>
        <v/>
      </c>
      <c r="CU186" s="114" t="str">
        <f ca="1">IF($CD186="","",IF(OFFSET(BS$55,'Intermediate Data'!$CD186,0)=-98,"Unknown",IF(OFFSET(BS$55,'Intermediate Data'!$CD186,0)=-99,"N/A",OFFSET(BS$55,'Intermediate Data'!$CD186,0))))</f>
        <v/>
      </c>
      <c r="CV186" s="114" t="str">
        <f ca="1">IF($CD186="","",IF(OFFSET(BT$55,'Intermediate Data'!$CD186,0)=-98,"Unknown",IF(OFFSET(BT$55,'Intermediate Data'!$CD186,0)=-99,"N/A",OFFSET(BT$55,'Intermediate Data'!$CD186,0))))</f>
        <v/>
      </c>
      <c r="CW186" s="114" t="str">
        <f ca="1">IF($CD186="","",IF(OFFSET(BU$55,'Intermediate Data'!$CD186,0)=-98,"Unknown",IF(OFFSET(BU$55,'Intermediate Data'!$CD186,0)=-99,"N/A",OFFSET(BU$55,'Intermediate Data'!$CD186,0))))</f>
        <v/>
      </c>
      <c r="CX186" s="114" t="str">
        <f ca="1">IF($CD186="","",IF(OFFSET(BV$55,'Intermediate Data'!$CD186,0)=-98,"Unknown",IF(OFFSET(BV$55,'Intermediate Data'!$CD186,0)=-99,"N/A",OFFSET(BV$55,'Intermediate Data'!$CD186,0))))</f>
        <v/>
      </c>
      <c r="CY186" s="682" t="str">
        <f ca="1">IF($CD186="","",IF(OFFSET(BW$55,'Intermediate Data'!$CD186,0)=-98,"Unknown",IF(OFFSET(BW$55,'Intermediate Data'!$CD186,0)="N/A","",OFFSET(BW$55,'Intermediate Data'!$CD186,0))))</f>
        <v/>
      </c>
      <c r="CZ186" s="682" t="str">
        <f ca="1">IF($CD186="","",IF(OFFSET(BX$55,'Intermediate Data'!$CD186,0)=-98,"Unknown",IF(OFFSET(BX$55,'Intermediate Data'!$CD186,0)="N/A","",OFFSET(BX$55,'Intermediate Data'!$CD186,0))))</f>
        <v/>
      </c>
      <c r="DA186" s="682" t="str">
        <f ca="1">IF($CD186="","",IF(OFFSET(BY$55,'Intermediate Data'!$CD186,0)=-98,"Unknown",IF(OFFSET(BY$55,'Intermediate Data'!$CD186,0)="N/A","",OFFSET(BY$55,'Intermediate Data'!$CD186,0))))</f>
        <v/>
      </c>
      <c r="DB186" s="682" t="str">
        <f ca="1">IF($CD186="","",IF(OFFSET(BZ$55,'Intermediate Data'!$CD186,0)=-98,"Unknown",IF(OFFSET(BZ$55,'Intermediate Data'!$CD186,0)="N/A","",OFFSET(BZ$55,'Intermediate Data'!$CD186,0))))</f>
        <v/>
      </c>
    </row>
    <row r="187" spans="1:106" x14ac:dyDescent="0.2">
      <c r="A187" s="90">
        <f ca="1">IF(OFFSET(DATA!F136,0,$D$48)='Intermediate Data'!$E$48,IF(OR($E$49=$C$27,$E$48=$B$4),DATA!A136,IF($G$49=DATA!D136,DATA!A136,"")),"")</f>
        <v>132</v>
      </c>
      <c r="B187" s="90">
        <f ca="1">IF($A187="","",DATA!EH136)</f>
        <v>56</v>
      </c>
      <c r="C187" s="90" t="str">
        <f ca="1">IF($A187="","",DATA!B136)</f>
        <v>Pond pump</v>
      </c>
      <c r="D187" s="90">
        <f ca="1">IF($A187="","",OFFSET(DATA!$H136,0,($D$50*5)))</f>
        <v>-99</v>
      </c>
      <c r="E187" s="90">
        <f ca="1">IF($A187="","",OFFSET(DATA!$H136,0,($D$50*5)+1))</f>
        <v>6.7916924928752453E-2</v>
      </c>
      <c r="F187" s="90">
        <f ca="1">IF($A187="","",OFFSET(DATA!$H136,0,($D$50*5)+2))</f>
        <v>-99</v>
      </c>
      <c r="G187" s="90">
        <f ca="1">IF($A187="","",OFFSET(DATA!$H136,0,($D$50*5)+3))</f>
        <v>8.9089064933867201E-2</v>
      </c>
      <c r="H187" s="90">
        <f ca="1">IF($A187="","",OFFSET(DATA!$H136,0,($D$50*5)+4))</f>
        <v>-99</v>
      </c>
      <c r="I187" s="90">
        <f t="shared" ca="1" si="31"/>
        <v>8.9089064933867201E-2</v>
      </c>
      <c r="J187" s="90" t="str">
        <f t="shared" ca="1" si="32"/>
        <v>RASS</v>
      </c>
      <c r="K187" s="90">
        <f ca="1">IF($A187="","",OFFSET(DATA!$AG136,0,($D$50*5)))</f>
        <v>-99</v>
      </c>
      <c r="L187" s="90">
        <f ca="1">IF($A187="","",OFFSET(DATA!$AG136,0,($D$50*5)+1))</f>
        <v>7.7998270741605993E-2</v>
      </c>
      <c r="M187" s="90">
        <f ca="1">IF($A187="","",OFFSET(DATA!$AG136,0,($D$50*5)+2))</f>
        <v>-99</v>
      </c>
      <c r="N187" s="90">
        <f ca="1">IF($A187="","",OFFSET(DATA!$AG136,0,($D$50*5)+3))</f>
        <v>0.10189298936826235</v>
      </c>
      <c r="O187" s="90">
        <f ca="1">IF($A187="","",OFFSET(DATA!$AG136,0,($D$50*5)+4))</f>
        <v>-99</v>
      </c>
      <c r="P187" s="90">
        <f t="shared" ca="1" si="33"/>
        <v>0.10189298936826235</v>
      </c>
      <c r="Q187" s="90" t="str">
        <f t="shared" ca="1" si="34"/>
        <v>RASS</v>
      </c>
      <c r="R187" s="699">
        <f ca="1">IF($A187="","",IF(DATA!BF136="",-99,DATA!BF136))</f>
        <v>-99</v>
      </c>
      <c r="S187" s="90">
        <f ca="1">IF($A187="","",IF(DATA!BG136="",-99,DATA!BF136-DATA!BG136))</f>
        <v>-99</v>
      </c>
      <c r="T187" s="90">
        <f ca="1">IF($A187="","",DATA!BH136)</f>
        <v>-99</v>
      </c>
      <c r="U187" s="90">
        <f ca="1">IF($A187="","",OFFSET(DATA!BM136,0,$D$48))</f>
        <v>-99</v>
      </c>
      <c r="V187" s="90">
        <f t="shared" ca="1" si="30"/>
        <v>56</v>
      </c>
      <c r="W187" s="99">
        <f t="shared" ca="1" si="35"/>
        <v>55.999930744468628</v>
      </c>
      <c r="X187" s="112" t="str">
        <f t="shared" ca="1" si="36"/>
        <v/>
      </c>
      <c r="Y187" s="90" t="str">
        <f t="shared" ca="1" si="37"/>
        <v/>
      </c>
      <c r="AA187" s="90" t="str">
        <f ca="1">IF($Y187="","",IF(OFFSET(C$55,'Intermediate Data'!$Y187,0)=-98,"Unknown",IF(OFFSET(C$55,'Intermediate Data'!$Y187,0)=-99,"N/A",OFFSET(C$55,'Intermediate Data'!$Y187,0))))</f>
        <v/>
      </c>
      <c r="AB187" s="90" t="str">
        <f ca="1">IF($Y187="","",IF(OFFSET(D$55,'Intermediate Data'!$Y187,0)=-98,"N/A",IF(OFFSET(D$55,'Intermediate Data'!$Y187,0)=-99,"N/A",OFFSET(D$55,'Intermediate Data'!$Y187,0))))</f>
        <v/>
      </c>
      <c r="AC187" s="90" t="str">
        <f ca="1">IF($Y187="","",IF(OFFSET(E$55,'Intermediate Data'!$Y187,0)=-98,"N/A",IF(OFFSET(E$55,'Intermediate Data'!$Y187,0)=-99,"N/A",OFFSET(E$55,'Intermediate Data'!$Y187,0))))</f>
        <v/>
      </c>
      <c r="AD187" s="90" t="str">
        <f ca="1">IF($Y187="","",IF(OFFSET(F$55,'Intermediate Data'!$Y187,0)=-98,"N/A",IF(OFFSET(F$55,'Intermediate Data'!$Y187,0)=-99,"N/A",OFFSET(F$55,'Intermediate Data'!$Y187,0))))</f>
        <v/>
      </c>
      <c r="AE187" s="90" t="str">
        <f ca="1">IF($Y187="","",IF(OFFSET(G$55,'Intermediate Data'!$Y187,0)=-98,"N/A",IF(OFFSET(G$55,'Intermediate Data'!$Y187,0)=-99,"N/A",OFFSET(G$55,'Intermediate Data'!$Y187,0))))</f>
        <v/>
      </c>
      <c r="AF187" s="90" t="str">
        <f ca="1">IF($Y187="","",IF(OFFSET(H$55,'Intermediate Data'!$Y187,0)=-98,"N/A",IF(OFFSET(H$55,'Intermediate Data'!$Y187,0)=-99,"N/A",OFFSET(H$55,'Intermediate Data'!$Y187,0))))</f>
        <v/>
      </c>
      <c r="AG187" s="90" t="str">
        <f ca="1">IF($Y187="","",IF(OFFSET(I$55,'Intermediate Data'!$Y187,0)=-98,"N/A",IF(OFFSET(I$55,'Intermediate Data'!$Y187,0)=-99,"N/A",OFFSET(I$55,'Intermediate Data'!$Y187,0))))</f>
        <v/>
      </c>
      <c r="AH187" s="90" t="str">
        <f ca="1">IF($Y187="","",IF(OFFSET(J$55,'Intermediate Data'!$Y187,0)=-98,"N/A",IF(OFFSET(J$55,'Intermediate Data'!$Y187,0)=-99,"N/A",OFFSET(J$55,'Intermediate Data'!$Y187,0))))</f>
        <v/>
      </c>
      <c r="AI187" s="90" t="str">
        <f ca="1">IF($Y187="","",IF(OFFSET(K$55,'Intermediate Data'!$Y187,0)=-98,"N/A",IF(OFFSET(K$55,'Intermediate Data'!$Y187,0)=-99,"N/A",OFFSET(K$55,'Intermediate Data'!$Y187,0))))</f>
        <v/>
      </c>
      <c r="AJ187" s="90" t="str">
        <f ca="1">IF($Y187="","",IF(OFFSET(L$55,'Intermediate Data'!$Y187,0)=-98,"N/A",IF(OFFSET(L$55,'Intermediate Data'!$Y187,0)=-99,"N/A",OFFSET(L$55,'Intermediate Data'!$Y187,0))))</f>
        <v/>
      </c>
      <c r="AK187" s="90" t="str">
        <f ca="1">IF($Y187="","",IF(OFFSET(M$55,'Intermediate Data'!$Y187,0)=-98,"N/A",IF(OFFSET(M$55,'Intermediate Data'!$Y187,0)=-99,"N/A",OFFSET(M$55,'Intermediate Data'!$Y187,0))))</f>
        <v/>
      </c>
      <c r="AL187" s="90" t="str">
        <f ca="1">IF($Y187="","",IF(OFFSET(N$55,'Intermediate Data'!$Y187,0)=-98,"N/A",IF(OFFSET(N$55,'Intermediate Data'!$Y187,0)=-99,"N/A",OFFSET(N$55,'Intermediate Data'!$Y187,0))))</f>
        <v/>
      </c>
      <c r="AM187" s="90" t="str">
        <f ca="1">IF($Y187="","",IF(OFFSET(O$55,'Intermediate Data'!$Y187,0)=-98,"N/A",IF(OFFSET(O$55,'Intermediate Data'!$Y187,0)=-99,"N/A",OFFSET(O$55,'Intermediate Data'!$Y187,0))))</f>
        <v/>
      </c>
      <c r="AN187" s="90" t="str">
        <f ca="1">IF($Y187="","",IF(OFFSET(P$55,'Intermediate Data'!$Y187,0)=-98,"N/A",IF(OFFSET(P$55,'Intermediate Data'!$Y187,0)=-99,"N/A",OFFSET(P$55,'Intermediate Data'!$Y187,0))))</f>
        <v/>
      </c>
      <c r="AO187" s="90" t="str">
        <f ca="1">IF($Y187="","",IF(OFFSET(Q$55,'Intermediate Data'!$Y187,0)=-98,"N/A",IF(OFFSET(Q$55,'Intermediate Data'!$Y187,0)=-99,"N/A",OFFSET(Q$55,'Intermediate Data'!$Y187,0))))</f>
        <v/>
      </c>
      <c r="AP187" s="697" t="str">
        <f ca="1">IF($Y187="","",IF(OFFSET(S$55,'Intermediate Data'!$Y187,0)=-98,"",IF(OFFSET(S$55,'Intermediate Data'!$Y187,0)=-99,"",OFFSET(S$55,'Intermediate Data'!$Y187,0))))</f>
        <v/>
      </c>
      <c r="AQ187" s="90" t="str">
        <f ca="1">IF($Y187="","",IF(OFFSET(T$55,'Intermediate Data'!$Y187,0)=-98,"Not published",IF(OFFSET(T$55,'Intermediate Data'!$Y187,0)=-99,"",OFFSET(T$55,'Intermediate Data'!$Y187,0))))</f>
        <v/>
      </c>
      <c r="AR187" s="90" t="str">
        <f ca="1">IF($Y187="","",IF(OFFSET(U$55,'Intermediate Data'!$Y187,0)=-98,"Unknown",IF(OFFSET(U$55,'Intermediate Data'!$Y187,0)=-99,"",OFFSET(U$55,'Intermediate Data'!$Y187,0))))</f>
        <v/>
      </c>
      <c r="AU187" s="112" t="str">
        <f ca="1">IF(AND(OFFSET(DATA!$F136,0,$AX$48)='Intermediate Data'!$AY$48,DATA!$E136="Tier 1"),IF(OR($AX$49=0,$AX$48=1),DATA!A136,IF(AND($AX$49=1,INDEX('Intermediate Data'!$AY$25:$AY$44,MATCH(DATA!$B136,'Intermediate Data'!$AX$25:$AX$44,0))=TRUE),DATA!A136,"")),"")</f>
        <v/>
      </c>
      <c r="AV187" s="112" t="str">
        <f ca="1">IF($AU187="","",DATA!B136)</f>
        <v/>
      </c>
      <c r="AW187" s="112" t="str">
        <f ca="1">IF(OR($AU187="",DATA!BI136=""),"",DATA!BI136)</f>
        <v/>
      </c>
      <c r="AX187" s="112" t="str">
        <f ca="1">IF(OR($AU187="",OFFSET(DATA!BK136,0,$AX$48)=""),"",OFFSET(DATA!BK136,0,$AX$48))</f>
        <v/>
      </c>
      <c r="AY187" s="112" t="str">
        <f ca="1">IF(OR($AU187="",OFFSET(DATA!BM136,0,$AX$48)=""),"",OFFSET(DATA!BM136,0,$AX$48))</f>
        <v/>
      </c>
      <c r="AZ187" s="112" t="str">
        <f ca="1">IF(OR($AU187="",OFFSET(DATA!BO136,0,'Intermediate Data'!$AX$48)=""),"",OFFSET(DATA!BO136,0,$AX$48))</f>
        <v/>
      </c>
      <c r="BA187" s="112" t="str">
        <f ca="1">IF(OR($AU187="",DATA!BQ136=""),"",DATA!BQ136)</f>
        <v/>
      </c>
      <c r="BB187" s="112" t="str">
        <f ca="1">IF($AU187="","",OFFSET(DATA!BS136,0,$AX$48))</f>
        <v/>
      </c>
      <c r="BC187" s="112" t="str">
        <f ca="1">IF($AU187="","",OFFSET(DATA!BU136,0,$AX$48))</f>
        <v/>
      </c>
      <c r="BD187" s="112" t="str">
        <f ca="1">IF($AU187="","",OFFSET(DATA!BW136,0,$AX$48))</f>
        <v/>
      </c>
      <c r="BE187" s="112" t="str">
        <f ca="1">IF($AU187="","",OFFSET(DATA!BY136,0,$AX$48))</f>
        <v/>
      </c>
      <c r="BF187" s="112" t="str">
        <f ca="1">IF($AU187="","",OFFSET(DATA!CA136,0,$AX$48))</f>
        <v/>
      </c>
      <c r="BG187" s="112" t="str">
        <f ca="1">IF($AU187="","",DATA!CC136)</f>
        <v/>
      </c>
      <c r="BH187" s="112" t="str">
        <f ca="1">IF($AU187="","",OFFSET(DATA!CE136,0,$AX$48))</f>
        <v/>
      </c>
      <c r="BI187" s="112" t="str">
        <f ca="1">IF($AU187="","",OFFSET(DATA!CG136,0,$AX$48))</f>
        <v/>
      </c>
      <c r="BJ187" s="112" t="str">
        <f ca="1">IF($AU187="","",OFFSET(DATA!CI136,0,$AX$48))</f>
        <v/>
      </c>
      <c r="BK187" s="112" t="str">
        <f ca="1">IF($AU187="","",OFFSET(DATA!CK136,0,$AX$48))</f>
        <v/>
      </c>
      <c r="BL187" s="112" t="str">
        <f ca="1">IF($AU187="","",OFFSET(DATA!CM136,0,$AX$48))</f>
        <v/>
      </c>
      <c r="BM187" s="112" t="str">
        <f ca="1">IF($AU187="","",DATA!BH136)</f>
        <v/>
      </c>
      <c r="BN187" s="112" t="str">
        <f ca="1">IF($AU187="","",DATA!DS136)</f>
        <v/>
      </c>
      <c r="BO187" s="112" t="str">
        <f ca="1">IF($AU187="","",DATA!DU136)</f>
        <v/>
      </c>
      <c r="BP187" s="112" t="str">
        <f ca="1">IF($AU187="","",DATA!DV136)</f>
        <v/>
      </c>
      <c r="BQ187" s="112" t="str">
        <f ca="1">IF($AU187="","",DATA!DX136)</f>
        <v/>
      </c>
      <c r="BR187" s="112" t="str">
        <f ca="1">IF($AU187="","",DATA!DZ136)</f>
        <v/>
      </c>
      <c r="BS187" s="171" t="str">
        <f ca="1">IF($AU187="","",DATA!EA136)</f>
        <v/>
      </c>
      <c r="BT187" s="171" t="str">
        <f ca="1">IF($AU187="","",DATA!EC136)</f>
        <v/>
      </c>
      <c r="BU187" s="171" t="str">
        <f ca="1">IF($AU187="","",DATA!EF136)</f>
        <v/>
      </c>
      <c r="BV187" s="113" t="str">
        <f t="shared" ca="1" si="38"/>
        <v/>
      </c>
      <c r="BW187" s="680" t="str">
        <f ca="1">IF(AU187="","",OFFSET(DATA!DC136,0,'Intermediate Data'!$AX$48))</f>
        <v/>
      </c>
      <c r="BX187" s="681" t="str">
        <f ca="1">IF($AU187="","",DATA!DG136)</f>
        <v/>
      </c>
      <c r="BY187" s="680" t="str">
        <f ca="1">IF($AU187="","",OFFSET(DATA!DE136,0,'Intermediate Data'!$AX$48))</f>
        <v/>
      </c>
      <c r="BZ187" s="681" t="str">
        <f ca="1">IF($AU187="","",DATA!DH136)</f>
        <v/>
      </c>
      <c r="CA187" s="90" t="str">
        <f t="shared" ca="1" si="39"/>
        <v/>
      </c>
      <c r="CB187" s="99" t="str">
        <f t="shared" ca="1" si="40"/>
        <v/>
      </c>
      <c r="CC187" s="90" t="str">
        <f t="shared" ca="1" si="41"/>
        <v/>
      </c>
      <c r="CD187" s="90" t="str">
        <f t="shared" ca="1" si="42"/>
        <v/>
      </c>
      <c r="CF187" s="90" t="str">
        <f ca="1">IF($CD187="","",IF(OFFSET(AV$55,'Intermediate Data'!$CD187,0)=-98,"Unknown",IF(OFFSET(AV$55,'Intermediate Data'!$CD187,0)=-99,"N/A",OFFSET(AV$55,'Intermediate Data'!$CD187,0))))</f>
        <v/>
      </c>
      <c r="CG187" s="90" t="str">
        <f ca="1">IF($CD187="","",IF(OFFSET(AW$55,'Intermediate Data'!$CD187,0)=-98,"",IF(OFFSET(AW$55,'Intermediate Data'!$CD187,0)=-99,"N/A",OFFSET(AW$55,'Intermediate Data'!$CD187,0))))</f>
        <v/>
      </c>
      <c r="CH187" s="90" t="str">
        <f ca="1">IF($CD187="","",IF(OFFSET(AX$55,'Intermediate Data'!$CD187,0)=-98,"Unknown",IF(OFFSET(AX$55,'Intermediate Data'!$CD187,0)=-99,"N/A",OFFSET(AX$55,'Intermediate Data'!$CD187,0))))</f>
        <v/>
      </c>
      <c r="CI187" s="125" t="str">
        <f ca="1">IF($CD187="","",IF(OFFSET(AY$55,'Intermediate Data'!$CD187,0)=-98,"Unknown",IF(OFFSET(AY$55,'Intermediate Data'!$CD187,0)=-99,"No spec",OFFSET(AY$55,'Intermediate Data'!$CD187,0))))</f>
        <v/>
      </c>
      <c r="CJ187" s="125" t="str">
        <f ca="1">IF($CD187="","",IF(OFFSET(AZ$55,'Intermediate Data'!$CD187,0)=-98,"Unknown",IF(OFFSET(AZ$55,'Intermediate Data'!$CD187,0)=-99,"N/A",OFFSET(AZ$55,'Intermediate Data'!$CD187,0))))</f>
        <v/>
      </c>
      <c r="CK187" s="90" t="str">
        <f ca="1">IF($CD187="","",IF(OFFSET(BA$55,'Intermediate Data'!$CD187,0)=-98,"Unknown",IF(OFFSET(BA$55,'Intermediate Data'!$CD187,0)=-99,"N/A",OFFSET(BA$55,'Intermediate Data'!$CD187,0))))</f>
        <v/>
      </c>
      <c r="CL187" s="90" t="str">
        <f ca="1">IF($CD187="","",IF(OFFSET(BB$55,'Intermediate Data'!$CD187,$AX$50)=-98,"Unknown",IF(OFFSET(BB$55,'Intermediate Data'!$CD187,$AX$50)="N/A","",OFFSET(BB$55,'Intermediate Data'!$CD187,$AX$50))))</f>
        <v/>
      </c>
      <c r="CM187" s="90" t="str">
        <f ca="1">IF($CD187="","",IF(OFFSET(BG$55,'Intermediate Data'!$CD187,0)="ET","ET",""))</f>
        <v/>
      </c>
      <c r="CN187" s="90" t="str">
        <f ca="1">IF($CD187="","",IF(OFFSET(BH$55,'Intermediate Data'!$CD187,$AX$50)=-98,"Unknown",IF(OFFSET(BH$55,'Intermediate Data'!$CD187,$AX$50)="N/A","",OFFSET(BH$55,'Intermediate Data'!$CD187,$AX$50))))</f>
        <v/>
      </c>
      <c r="CO187" s="90" t="str">
        <f ca="1">IF($CD187="","",IF(OFFSET(BM$55,'Intermediate Data'!$CD187,0)=-98,"Not published",IF(OFFSET(BM$55,'Intermediate Data'!$CD187,0)=-99,"No spec",OFFSET(BM$55,'Intermediate Data'!$CD187,0))))</f>
        <v/>
      </c>
      <c r="CP187" s="114" t="str">
        <f ca="1">IF($CD187="","",IF(OFFSET(BN$55,'Intermediate Data'!$CD187,0)=-98,"Unknown",IF(OFFSET(BN$55,'Intermediate Data'!$CD187,0)=-99,"N/A",OFFSET(BN$55,'Intermediate Data'!$CD187,0))))</f>
        <v/>
      </c>
      <c r="CQ187" s="114" t="str">
        <f ca="1">IF($CD187="","",IF(OFFSET(BO$55,'Intermediate Data'!$CD187,0)=-98,"Unknown",IF(OFFSET(BO$55,'Intermediate Data'!$CD187,0)=-99,"N/A",OFFSET(BO$55,'Intermediate Data'!$CD187,0))))</f>
        <v/>
      </c>
      <c r="CR187" s="114" t="str">
        <f ca="1">IF($CD187="","",IF(OFFSET(BP$55,'Intermediate Data'!$CD187,0)=-98,"Unknown",IF(OFFSET(BP$55,'Intermediate Data'!$CD187,0)=-99,"N/A",OFFSET(BP$55,'Intermediate Data'!$CD187,0))))</f>
        <v/>
      </c>
      <c r="CS187" s="114" t="str">
        <f ca="1">IF($CD187="","",IF(OFFSET(BQ$55,'Intermediate Data'!$CD187,0)=-98,"Unknown",IF(OFFSET(BQ$55,'Intermediate Data'!$CD187,0)=-99,"N/A",OFFSET(BQ$55,'Intermediate Data'!$CD187,0))))</f>
        <v/>
      </c>
      <c r="CT187" s="114" t="str">
        <f ca="1">IF($CD187="","",IF(OFFSET(BR$55,'Intermediate Data'!$CD187,0)=-98,"Unknown",IF(OFFSET(BR$55,'Intermediate Data'!$CD187,0)=-99,"N/A",OFFSET(BR$55,'Intermediate Data'!$CD187,0))))</f>
        <v/>
      </c>
      <c r="CU187" s="114" t="str">
        <f ca="1">IF($CD187="","",IF(OFFSET(BS$55,'Intermediate Data'!$CD187,0)=-98,"Unknown",IF(OFFSET(BS$55,'Intermediate Data'!$CD187,0)=-99,"N/A",OFFSET(BS$55,'Intermediate Data'!$CD187,0))))</f>
        <v/>
      </c>
      <c r="CV187" s="114" t="str">
        <f ca="1">IF($CD187="","",IF(OFFSET(BT$55,'Intermediate Data'!$CD187,0)=-98,"Unknown",IF(OFFSET(BT$55,'Intermediate Data'!$CD187,0)=-99,"N/A",OFFSET(BT$55,'Intermediate Data'!$CD187,0))))</f>
        <v/>
      </c>
      <c r="CW187" s="114" t="str">
        <f ca="1">IF($CD187="","",IF(OFFSET(BU$55,'Intermediate Data'!$CD187,0)=-98,"Unknown",IF(OFFSET(BU$55,'Intermediate Data'!$CD187,0)=-99,"N/A",OFFSET(BU$55,'Intermediate Data'!$CD187,0))))</f>
        <v/>
      </c>
      <c r="CX187" s="114" t="str">
        <f ca="1">IF($CD187="","",IF(OFFSET(BV$55,'Intermediate Data'!$CD187,0)=-98,"Unknown",IF(OFFSET(BV$55,'Intermediate Data'!$CD187,0)=-99,"N/A",OFFSET(BV$55,'Intermediate Data'!$CD187,0))))</f>
        <v/>
      </c>
      <c r="CY187" s="682" t="str">
        <f ca="1">IF($CD187="","",IF(OFFSET(BW$55,'Intermediate Data'!$CD187,0)=-98,"Unknown",IF(OFFSET(BW$55,'Intermediate Data'!$CD187,0)="N/A","",OFFSET(BW$55,'Intermediate Data'!$CD187,0))))</f>
        <v/>
      </c>
      <c r="CZ187" s="682" t="str">
        <f ca="1">IF($CD187="","",IF(OFFSET(BX$55,'Intermediate Data'!$CD187,0)=-98,"Unknown",IF(OFFSET(BX$55,'Intermediate Data'!$CD187,0)="N/A","",OFFSET(BX$55,'Intermediate Data'!$CD187,0))))</f>
        <v/>
      </c>
      <c r="DA187" s="682" t="str">
        <f ca="1">IF($CD187="","",IF(OFFSET(BY$55,'Intermediate Data'!$CD187,0)=-98,"Unknown",IF(OFFSET(BY$55,'Intermediate Data'!$CD187,0)="N/A","",OFFSET(BY$55,'Intermediate Data'!$CD187,0))))</f>
        <v/>
      </c>
      <c r="DB187" s="682" t="str">
        <f ca="1">IF($CD187="","",IF(OFFSET(BZ$55,'Intermediate Data'!$CD187,0)=-98,"Unknown",IF(OFFSET(BZ$55,'Intermediate Data'!$CD187,0)="N/A","",OFFSET(BZ$55,'Intermediate Data'!$CD187,0))))</f>
        <v/>
      </c>
    </row>
    <row r="188" spans="1:106" x14ac:dyDescent="0.2">
      <c r="A188" s="90" t="str">
        <f ca="1">IF(OFFSET(DATA!F137,0,$D$48)='Intermediate Data'!$E$48,IF(OR($E$49=$C$27,$E$48=$B$4),DATA!A137,IF($G$49=DATA!D137,DATA!A137,"")),"")</f>
        <v/>
      </c>
      <c r="B188" s="90" t="str">
        <f ca="1">IF($A188="","",DATA!EH137)</f>
        <v/>
      </c>
      <c r="C188" s="90" t="str">
        <f ca="1">IF($A188="","",DATA!B137)</f>
        <v/>
      </c>
      <c r="D188" s="90" t="str">
        <f ca="1">IF($A188="","",OFFSET(DATA!$H137,0,($D$50*5)))</f>
        <v/>
      </c>
      <c r="E188" s="90" t="str">
        <f ca="1">IF($A188="","",OFFSET(DATA!$H137,0,($D$50*5)+1))</f>
        <v/>
      </c>
      <c r="F188" s="90" t="str">
        <f ca="1">IF($A188="","",OFFSET(DATA!$H137,0,($D$50*5)+2))</f>
        <v/>
      </c>
      <c r="G188" s="90" t="str">
        <f ca="1">IF($A188="","",OFFSET(DATA!$H137,0,($D$50*5)+3))</f>
        <v/>
      </c>
      <c r="H188" s="90" t="str">
        <f ca="1">IF($A188="","",OFFSET(DATA!$H137,0,($D$50*5)+4))</f>
        <v/>
      </c>
      <c r="I188" s="90" t="str">
        <f t="shared" ca="1" si="31"/>
        <v/>
      </c>
      <c r="J188" s="90" t="str">
        <f t="shared" ca="1" si="32"/>
        <v/>
      </c>
      <c r="K188" s="90" t="str">
        <f ca="1">IF($A188="","",OFFSET(DATA!$AG137,0,($D$50*5)))</f>
        <v/>
      </c>
      <c r="L188" s="90" t="str">
        <f ca="1">IF($A188="","",OFFSET(DATA!$AG137,0,($D$50*5)+1))</f>
        <v/>
      </c>
      <c r="M188" s="90" t="str">
        <f ca="1">IF($A188="","",OFFSET(DATA!$AG137,0,($D$50*5)+2))</f>
        <v/>
      </c>
      <c r="N188" s="90" t="str">
        <f ca="1">IF($A188="","",OFFSET(DATA!$AG137,0,($D$50*5)+3))</f>
        <v/>
      </c>
      <c r="O188" s="90" t="str">
        <f ca="1">IF($A188="","",OFFSET(DATA!$AG137,0,($D$50*5)+4))</f>
        <v/>
      </c>
      <c r="P188" s="90" t="str">
        <f t="shared" ca="1" si="33"/>
        <v/>
      </c>
      <c r="Q188" s="90" t="str">
        <f t="shared" ca="1" si="34"/>
        <v/>
      </c>
      <c r="R188" s="699" t="str">
        <f ca="1">IF($A188="","",IF(DATA!BF137="",-99,DATA!BF137))</f>
        <v/>
      </c>
      <c r="S188" s="90" t="str">
        <f ca="1">IF($A188="","",IF(DATA!BG137="",-99,DATA!BF137-DATA!BG137))</f>
        <v/>
      </c>
      <c r="T188" s="90" t="str">
        <f ca="1">IF($A188="","",DATA!BH137)</f>
        <v/>
      </c>
      <c r="U188" s="90" t="str">
        <f ca="1">IF($A188="","",OFFSET(DATA!BM137,0,$D$48))</f>
        <v/>
      </c>
      <c r="V188" s="90" t="str">
        <f t="shared" ca="1" si="30"/>
        <v/>
      </c>
      <c r="W188" s="99" t="str">
        <f t="shared" ca="1" si="35"/>
        <v/>
      </c>
      <c r="X188" s="112" t="str">
        <f t="shared" ca="1" si="36"/>
        <v/>
      </c>
      <c r="Y188" s="90" t="str">
        <f t="shared" ca="1" si="37"/>
        <v/>
      </c>
      <c r="AA188" s="90" t="str">
        <f ca="1">IF($Y188="","",IF(OFFSET(C$55,'Intermediate Data'!$Y188,0)=-98,"Unknown",IF(OFFSET(C$55,'Intermediate Data'!$Y188,0)=-99,"N/A",OFFSET(C$55,'Intermediate Data'!$Y188,0))))</f>
        <v/>
      </c>
      <c r="AB188" s="90" t="str">
        <f ca="1">IF($Y188="","",IF(OFFSET(D$55,'Intermediate Data'!$Y188,0)=-98,"N/A",IF(OFFSET(D$55,'Intermediate Data'!$Y188,0)=-99,"N/A",OFFSET(D$55,'Intermediate Data'!$Y188,0))))</f>
        <v/>
      </c>
      <c r="AC188" s="90" t="str">
        <f ca="1">IF($Y188="","",IF(OFFSET(E$55,'Intermediate Data'!$Y188,0)=-98,"N/A",IF(OFFSET(E$55,'Intermediate Data'!$Y188,0)=-99,"N/A",OFFSET(E$55,'Intermediate Data'!$Y188,0))))</f>
        <v/>
      </c>
      <c r="AD188" s="90" t="str">
        <f ca="1">IF($Y188="","",IF(OFFSET(F$55,'Intermediate Data'!$Y188,0)=-98,"N/A",IF(OFFSET(F$55,'Intermediate Data'!$Y188,0)=-99,"N/A",OFFSET(F$55,'Intermediate Data'!$Y188,0))))</f>
        <v/>
      </c>
      <c r="AE188" s="90" t="str">
        <f ca="1">IF($Y188="","",IF(OFFSET(G$55,'Intermediate Data'!$Y188,0)=-98,"N/A",IF(OFFSET(G$55,'Intermediate Data'!$Y188,0)=-99,"N/A",OFFSET(G$55,'Intermediate Data'!$Y188,0))))</f>
        <v/>
      </c>
      <c r="AF188" s="90" t="str">
        <f ca="1">IF($Y188="","",IF(OFFSET(H$55,'Intermediate Data'!$Y188,0)=-98,"N/A",IF(OFFSET(H$55,'Intermediate Data'!$Y188,0)=-99,"N/A",OFFSET(H$55,'Intermediate Data'!$Y188,0))))</f>
        <v/>
      </c>
      <c r="AG188" s="90" t="str">
        <f ca="1">IF($Y188="","",IF(OFFSET(I$55,'Intermediate Data'!$Y188,0)=-98,"N/A",IF(OFFSET(I$55,'Intermediate Data'!$Y188,0)=-99,"N/A",OFFSET(I$55,'Intermediate Data'!$Y188,0))))</f>
        <v/>
      </c>
      <c r="AH188" s="90" t="str">
        <f ca="1">IF($Y188="","",IF(OFFSET(J$55,'Intermediate Data'!$Y188,0)=-98,"N/A",IF(OFFSET(J$55,'Intermediate Data'!$Y188,0)=-99,"N/A",OFFSET(J$55,'Intermediate Data'!$Y188,0))))</f>
        <v/>
      </c>
      <c r="AI188" s="90" t="str">
        <f ca="1">IF($Y188="","",IF(OFFSET(K$55,'Intermediate Data'!$Y188,0)=-98,"N/A",IF(OFFSET(K$55,'Intermediate Data'!$Y188,0)=-99,"N/A",OFFSET(K$55,'Intermediate Data'!$Y188,0))))</f>
        <v/>
      </c>
      <c r="AJ188" s="90" t="str">
        <f ca="1">IF($Y188="","",IF(OFFSET(L$55,'Intermediate Data'!$Y188,0)=-98,"N/A",IF(OFFSET(L$55,'Intermediate Data'!$Y188,0)=-99,"N/A",OFFSET(L$55,'Intermediate Data'!$Y188,0))))</f>
        <v/>
      </c>
      <c r="AK188" s="90" t="str">
        <f ca="1">IF($Y188="","",IF(OFFSET(M$55,'Intermediate Data'!$Y188,0)=-98,"N/A",IF(OFFSET(M$55,'Intermediate Data'!$Y188,0)=-99,"N/A",OFFSET(M$55,'Intermediate Data'!$Y188,0))))</f>
        <v/>
      </c>
      <c r="AL188" s="90" t="str">
        <f ca="1">IF($Y188="","",IF(OFFSET(N$55,'Intermediate Data'!$Y188,0)=-98,"N/A",IF(OFFSET(N$55,'Intermediate Data'!$Y188,0)=-99,"N/A",OFFSET(N$55,'Intermediate Data'!$Y188,0))))</f>
        <v/>
      </c>
      <c r="AM188" s="90" t="str">
        <f ca="1">IF($Y188="","",IF(OFFSET(O$55,'Intermediate Data'!$Y188,0)=-98,"N/A",IF(OFFSET(O$55,'Intermediate Data'!$Y188,0)=-99,"N/A",OFFSET(O$55,'Intermediate Data'!$Y188,0))))</f>
        <v/>
      </c>
      <c r="AN188" s="90" t="str">
        <f ca="1">IF($Y188="","",IF(OFFSET(P$55,'Intermediate Data'!$Y188,0)=-98,"N/A",IF(OFFSET(P$55,'Intermediate Data'!$Y188,0)=-99,"N/A",OFFSET(P$55,'Intermediate Data'!$Y188,0))))</f>
        <v/>
      </c>
      <c r="AO188" s="90" t="str">
        <f ca="1">IF($Y188="","",IF(OFFSET(Q$55,'Intermediate Data'!$Y188,0)=-98,"N/A",IF(OFFSET(Q$55,'Intermediate Data'!$Y188,0)=-99,"N/A",OFFSET(Q$55,'Intermediate Data'!$Y188,0))))</f>
        <v/>
      </c>
      <c r="AP188" s="697" t="str">
        <f ca="1">IF($Y188="","",IF(OFFSET(S$55,'Intermediate Data'!$Y188,0)=-98,"",IF(OFFSET(S$55,'Intermediate Data'!$Y188,0)=-99,"",OFFSET(S$55,'Intermediate Data'!$Y188,0))))</f>
        <v/>
      </c>
      <c r="AQ188" s="90" t="str">
        <f ca="1">IF($Y188="","",IF(OFFSET(T$55,'Intermediate Data'!$Y188,0)=-98,"Not published",IF(OFFSET(T$55,'Intermediate Data'!$Y188,0)=-99,"",OFFSET(T$55,'Intermediate Data'!$Y188,0))))</f>
        <v/>
      </c>
      <c r="AR188" s="90" t="str">
        <f ca="1">IF($Y188="","",IF(OFFSET(U$55,'Intermediate Data'!$Y188,0)=-98,"Unknown",IF(OFFSET(U$55,'Intermediate Data'!$Y188,0)=-99,"",OFFSET(U$55,'Intermediate Data'!$Y188,0))))</f>
        <v/>
      </c>
      <c r="AU188" s="112" t="str">
        <f ca="1">IF(AND(OFFSET(DATA!$F137,0,$AX$48)='Intermediate Data'!$AY$48,DATA!$E137="Tier 1"),IF(OR($AX$49=0,$AX$48=1),DATA!A137,IF(AND($AX$49=1,INDEX('Intermediate Data'!$AY$25:$AY$44,MATCH(DATA!$B137,'Intermediate Data'!$AX$25:$AX$44,0))=TRUE),DATA!A137,"")),"")</f>
        <v/>
      </c>
      <c r="AV188" s="112" t="str">
        <f ca="1">IF($AU188="","",DATA!B137)</f>
        <v/>
      </c>
      <c r="AW188" s="112" t="str">
        <f ca="1">IF(OR($AU188="",DATA!BI137=""),"",DATA!BI137)</f>
        <v/>
      </c>
      <c r="AX188" s="112" t="str">
        <f ca="1">IF(OR($AU188="",OFFSET(DATA!BK137,0,$AX$48)=""),"",OFFSET(DATA!BK137,0,$AX$48))</f>
        <v/>
      </c>
      <c r="AY188" s="112" t="str">
        <f ca="1">IF(OR($AU188="",OFFSET(DATA!BM137,0,$AX$48)=""),"",OFFSET(DATA!BM137,0,$AX$48))</f>
        <v/>
      </c>
      <c r="AZ188" s="112" t="str">
        <f ca="1">IF(OR($AU188="",OFFSET(DATA!BO137,0,'Intermediate Data'!$AX$48)=""),"",OFFSET(DATA!BO137,0,$AX$48))</f>
        <v/>
      </c>
      <c r="BA188" s="112" t="str">
        <f ca="1">IF(OR($AU188="",DATA!BQ137=""),"",DATA!BQ137)</f>
        <v/>
      </c>
      <c r="BB188" s="112" t="str">
        <f ca="1">IF($AU188="","",OFFSET(DATA!BS137,0,$AX$48))</f>
        <v/>
      </c>
      <c r="BC188" s="112" t="str">
        <f ca="1">IF($AU188="","",OFFSET(DATA!BU137,0,$AX$48))</f>
        <v/>
      </c>
      <c r="BD188" s="112" t="str">
        <f ca="1">IF($AU188="","",OFFSET(DATA!BW137,0,$AX$48))</f>
        <v/>
      </c>
      <c r="BE188" s="112" t="str">
        <f ca="1">IF($AU188="","",OFFSET(DATA!BY137,0,$AX$48))</f>
        <v/>
      </c>
      <c r="BF188" s="112" t="str">
        <f ca="1">IF($AU188="","",OFFSET(DATA!CA137,0,$AX$48))</f>
        <v/>
      </c>
      <c r="BG188" s="112" t="str">
        <f ca="1">IF($AU188="","",DATA!CC137)</f>
        <v/>
      </c>
      <c r="BH188" s="112" t="str">
        <f ca="1">IF($AU188="","",OFFSET(DATA!CE137,0,$AX$48))</f>
        <v/>
      </c>
      <c r="BI188" s="112" t="str">
        <f ca="1">IF($AU188="","",OFFSET(DATA!CG137,0,$AX$48))</f>
        <v/>
      </c>
      <c r="BJ188" s="112" t="str">
        <f ca="1">IF($AU188="","",OFFSET(DATA!CI137,0,$AX$48))</f>
        <v/>
      </c>
      <c r="BK188" s="112" t="str">
        <f ca="1">IF($AU188="","",OFFSET(DATA!CK137,0,$AX$48))</f>
        <v/>
      </c>
      <c r="BL188" s="112" t="str">
        <f ca="1">IF($AU188="","",OFFSET(DATA!CM137,0,$AX$48))</f>
        <v/>
      </c>
      <c r="BM188" s="112" t="str">
        <f ca="1">IF($AU188="","",DATA!BH137)</f>
        <v/>
      </c>
      <c r="BN188" s="112" t="str">
        <f ca="1">IF($AU188="","",DATA!DS137)</f>
        <v/>
      </c>
      <c r="BO188" s="112" t="str">
        <f ca="1">IF($AU188="","",DATA!DU137)</f>
        <v/>
      </c>
      <c r="BP188" s="112" t="str">
        <f ca="1">IF($AU188="","",DATA!DV137)</f>
        <v/>
      </c>
      <c r="BQ188" s="112" t="str">
        <f ca="1">IF($AU188="","",DATA!DX137)</f>
        <v/>
      </c>
      <c r="BR188" s="112" t="str">
        <f ca="1">IF($AU188="","",DATA!DZ137)</f>
        <v/>
      </c>
      <c r="BS188" s="171" t="str">
        <f ca="1">IF($AU188="","",DATA!EA137)</f>
        <v/>
      </c>
      <c r="BT188" s="171" t="str">
        <f ca="1">IF($AU188="","",DATA!EC137)</f>
        <v/>
      </c>
      <c r="BU188" s="171" t="str">
        <f ca="1">IF($AU188="","",DATA!EF137)</f>
        <v/>
      </c>
      <c r="BV188" s="113" t="str">
        <f t="shared" ca="1" si="38"/>
        <v/>
      </c>
      <c r="BW188" s="680" t="str">
        <f ca="1">IF(AU188="","",OFFSET(DATA!DC137,0,'Intermediate Data'!$AX$48))</f>
        <v/>
      </c>
      <c r="BX188" s="681" t="str">
        <f ca="1">IF($AU188="","",DATA!DG137)</f>
        <v/>
      </c>
      <c r="BY188" s="680" t="str">
        <f ca="1">IF($AU188="","",OFFSET(DATA!DE137,0,'Intermediate Data'!$AX$48))</f>
        <v/>
      </c>
      <c r="BZ188" s="681" t="str">
        <f ca="1">IF($AU188="","",DATA!DH137)</f>
        <v/>
      </c>
      <c r="CA188" s="90" t="str">
        <f t="shared" ca="1" si="39"/>
        <v/>
      </c>
      <c r="CB188" s="99" t="str">
        <f t="shared" ca="1" si="40"/>
        <v/>
      </c>
      <c r="CC188" s="90" t="str">
        <f t="shared" ca="1" si="41"/>
        <v/>
      </c>
      <c r="CD188" s="90" t="str">
        <f t="shared" ca="1" si="42"/>
        <v/>
      </c>
      <c r="CF188" s="90" t="str">
        <f ca="1">IF($CD188="","",IF(OFFSET(AV$55,'Intermediate Data'!$CD188,0)=-98,"Unknown",IF(OFFSET(AV$55,'Intermediate Data'!$CD188,0)=-99,"N/A",OFFSET(AV$55,'Intermediate Data'!$CD188,0))))</f>
        <v/>
      </c>
      <c r="CG188" s="90" t="str">
        <f ca="1">IF($CD188="","",IF(OFFSET(AW$55,'Intermediate Data'!$CD188,0)=-98,"",IF(OFFSET(AW$55,'Intermediate Data'!$CD188,0)=-99,"N/A",OFFSET(AW$55,'Intermediate Data'!$CD188,0))))</f>
        <v/>
      </c>
      <c r="CH188" s="90" t="str">
        <f ca="1">IF($CD188="","",IF(OFFSET(AX$55,'Intermediate Data'!$CD188,0)=-98,"Unknown",IF(OFFSET(AX$55,'Intermediate Data'!$CD188,0)=-99,"N/A",OFFSET(AX$55,'Intermediate Data'!$CD188,0))))</f>
        <v/>
      </c>
      <c r="CI188" s="125" t="str">
        <f ca="1">IF($CD188="","",IF(OFFSET(AY$55,'Intermediate Data'!$CD188,0)=-98,"Unknown",IF(OFFSET(AY$55,'Intermediate Data'!$CD188,0)=-99,"No spec",OFFSET(AY$55,'Intermediate Data'!$CD188,0))))</f>
        <v/>
      </c>
      <c r="CJ188" s="125" t="str">
        <f ca="1">IF($CD188="","",IF(OFFSET(AZ$55,'Intermediate Data'!$CD188,0)=-98,"Unknown",IF(OFFSET(AZ$55,'Intermediate Data'!$CD188,0)=-99,"N/A",OFFSET(AZ$55,'Intermediate Data'!$CD188,0))))</f>
        <v/>
      </c>
      <c r="CK188" s="90" t="str">
        <f ca="1">IF($CD188="","",IF(OFFSET(BA$55,'Intermediate Data'!$CD188,0)=-98,"Unknown",IF(OFFSET(BA$55,'Intermediate Data'!$CD188,0)=-99,"N/A",OFFSET(BA$55,'Intermediate Data'!$CD188,0))))</f>
        <v/>
      </c>
      <c r="CL188" s="90" t="str">
        <f ca="1">IF($CD188="","",IF(OFFSET(BB$55,'Intermediate Data'!$CD188,$AX$50)=-98,"Unknown",IF(OFFSET(BB$55,'Intermediate Data'!$CD188,$AX$50)="N/A","",OFFSET(BB$55,'Intermediate Data'!$CD188,$AX$50))))</f>
        <v/>
      </c>
      <c r="CM188" s="90" t="str">
        <f ca="1">IF($CD188="","",IF(OFFSET(BG$55,'Intermediate Data'!$CD188,0)="ET","ET",""))</f>
        <v/>
      </c>
      <c r="CN188" s="90" t="str">
        <f ca="1">IF($CD188="","",IF(OFFSET(BH$55,'Intermediate Data'!$CD188,$AX$50)=-98,"Unknown",IF(OFFSET(BH$55,'Intermediate Data'!$CD188,$AX$50)="N/A","",OFFSET(BH$55,'Intermediate Data'!$CD188,$AX$50))))</f>
        <v/>
      </c>
      <c r="CO188" s="90" t="str">
        <f ca="1">IF($CD188="","",IF(OFFSET(BM$55,'Intermediate Data'!$CD188,0)=-98,"Not published",IF(OFFSET(BM$55,'Intermediate Data'!$CD188,0)=-99,"No spec",OFFSET(BM$55,'Intermediate Data'!$CD188,0))))</f>
        <v/>
      </c>
      <c r="CP188" s="114" t="str">
        <f ca="1">IF($CD188="","",IF(OFFSET(BN$55,'Intermediate Data'!$CD188,0)=-98,"Unknown",IF(OFFSET(BN$55,'Intermediate Data'!$CD188,0)=-99,"N/A",OFFSET(BN$55,'Intermediate Data'!$CD188,0))))</f>
        <v/>
      </c>
      <c r="CQ188" s="114" t="str">
        <f ca="1">IF($CD188="","",IF(OFFSET(BO$55,'Intermediate Data'!$CD188,0)=-98,"Unknown",IF(OFFSET(BO$55,'Intermediate Data'!$CD188,0)=-99,"N/A",OFFSET(BO$55,'Intermediate Data'!$CD188,0))))</f>
        <v/>
      </c>
      <c r="CR188" s="114" t="str">
        <f ca="1">IF($CD188="","",IF(OFFSET(BP$55,'Intermediate Data'!$CD188,0)=-98,"Unknown",IF(OFFSET(BP$55,'Intermediate Data'!$CD188,0)=-99,"N/A",OFFSET(BP$55,'Intermediate Data'!$CD188,0))))</f>
        <v/>
      </c>
      <c r="CS188" s="114" t="str">
        <f ca="1">IF($CD188="","",IF(OFFSET(BQ$55,'Intermediate Data'!$CD188,0)=-98,"Unknown",IF(OFFSET(BQ$55,'Intermediate Data'!$CD188,0)=-99,"N/A",OFFSET(BQ$55,'Intermediate Data'!$CD188,0))))</f>
        <v/>
      </c>
      <c r="CT188" s="114" t="str">
        <f ca="1">IF($CD188="","",IF(OFFSET(BR$55,'Intermediate Data'!$CD188,0)=-98,"Unknown",IF(OFFSET(BR$55,'Intermediate Data'!$CD188,0)=-99,"N/A",OFFSET(BR$55,'Intermediate Data'!$CD188,0))))</f>
        <v/>
      </c>
      <c r="CU188" s="114" t="str">
        <f ca="1">IF($CD188="","",IF(OFFSET(BS$55,'Intermediate Data'!$CD188,0)=-98,"Unknown",IF(OFFSET(BS$55,'Intermediate Data'!$CD188,0)=-99,"N/A",OFFSET(BS$55,'Intermediate Data'!$CD188,0))))</f>
        <v/>
      </c>
      <c r="CV188" s="114" t="str">
        <f ca="1">IF($CD188="","",IF(OFFSET(BT$55,'Intermediate Data'!$CD188,0)=-98,"Unknown",IF(OFFSET(BT$55,'Intermediate Data'!$CD188,0)=-99,"N/A",OFFSET(BT$55,'Intermediate Data'!$CD188,0))))</f>
        <v/>
      </c>
      <c r="CW188" s="114" t="str">
        <f ca="1">IF($CD188="","",IF(OFFSET(BU$55,'Intermediate Data'!$CD188,0)=-98,"Unknown",IF(OFFSET(BU$55,'Intermediate Data'!$CD188,0)=-99,"N/A",OFFSET(BU$55,'Intermediate Data'!$CD188,0))))</f>
        <v/>
      </c>
      <c r="CX188" s="114" t="str">
        <f ca="1">IF($CD188="","",IF(OFFSET(BV$55,'Intermediate Data'!$CD188,0)=-98,"Unknown",IF(OFFSET(BV$55,'Intermediate Data'!$CD188,0)=-99,"N/A",OFFSET(BV$55,'Intermediate Data'!$CD188,0))))</f>
        <v/>
      </c>
      <c r="CY188" s="682" t="str">
        <f ca="1">IF($CD188="","",IF(OFFSET(BW$55,'Intermediate Data'!$CD188,0)=-98,"Unknown",IF(OFFSET(BW$55,'Intermediate Data'!$CD188,0)="N/A","",OFFSET(BW$55,'Intermediate Data'!$CD188,0))))</f>
        <v/>
      </c>
      <c r="CZ188" s="682" t="str">
        <f ca="1">IF($CD188="","",IF(OFFSET(BX$55,'Intermediate Data'!$CD188,0)=-98,"Unknown",IF(OFFSET(BX$55,'Intermediate Data'!$CD188,0)="N/A","",OFFSET(BX$55,'Intermediate Data'!$CD188,0))))</f>
        <v/>
      </c>
      <c r="DA188" s="682" t="str">
        <f ca="1">IF($CD188="","",IF(OFFSET(BY$55,'Intermediate Data'!$CD188,0)=-98,"Unknown",IF(OFFSET(BY$55,'Intermediate Data'!$CD188,0)="N/A","",OFFSET(BY$55,'Intermediate Data'!$CD188,0))))</f>
        <v/>
      </c>
      <c r="DB188" s="682" t="str">
        <f ca="1">IF($CD188="","",IF(OFFSET(BZ$55,'Intermediate Data'!$CD188,0)=-98,"Unknown",IF(OFFSET(BZ$55,'Intermediate Data'!$CD188,0)="N/A","",OFFSET(BZ$55,'Intermediate Data'!$CD188,0))))</f>
        <v/>
      </c>
    </row>
    <row r="189" spans="1:106" x14ac:dyDescent="0.2">
      <c r="A189" s="90">
        <f ca="1">IF(OFFSET(DATA!F138,0,$D$48)='Intermediate Data'!$E$48,IF(OR($E$49=$C$27,$E$48=$B$4),DATA!A138,IF($G$49=DATA!D138,DATA!A138,"")),"")</f>
        <v>134</v>
      </c>
      <c r="B189" s="90">
        <f ca="1">IF($A189="","",DATA!EH138)</f>
        <v>25</v>
      </c>
      <c r="C189" s="90" t="str">
        <f ca="1">IF($A189="","",DATA!B138)</f>
        <v>Sump pump</v>
      </c>
      <c r="D189" s="90">
        <f ca="1">IF($A189="","",OFFSET(DATA!$H138,0,($D$50*5)))</f>
        <v>-99</v>
      </c>
      <c r="E189" s="90">
        <f ca="1">IF($A189="","",OFFSET(DATA!$H138,0,($D$50*5)+1))</f>
        <v>2.7347908079528544E-2</v>
      </c>
      <c r="F189" s="90">
        <f ca="1">IF($A189="","",OFFSET(DATA!$H138,0,($D$50*5)+2))</f>
        <v>-99</v>
      </c>
      <c r="G189" s="90">
        <f ca="1">IF($A189="","",OFFSET(DATA!$H138,0,($D$50*5)+3))</f>
        <v>3.5212495005260962E-2</v>
      </c>
      <c r="H189" s="90">
        <f ca="1">IF($A189="","",OFFSET(DATA!$H138,0,($D$50*5)+4))</f>
        <v>-99</v>
      </c>
      <c r="I189" s="90">
        <f t="shared" ca="1" si="31"/>
        <v>3.5212495005260962E-2</v>
      </c>
      <c r="J189" s="90" t="str">
        <f t="shared" ca="1" si="32"/>
        <v>RASS</v>
      </c>
      <c r="K189" s="90">
        <f ca="1">IF($A189="","",OFFSET(DATA!$AG138,0,($D$50*5)))</f>
        <v>-99</v>
      </c>
      <c r="L189" s="90">
        <f ca="1">IF($A189="","",OFFSET(DATA!$AG138,0,($D$50*5)+1))</f>
        <v>-99</v>
      </c>
      <c r="M189" s="90">
        <f ca="1">IF($A189="","",OFFSET(DATA!$AG138,0,($D$50*5)+2))</f>
        <v>-99</v>
      </c>
      <c r="N189" s="90">
        <f ca="1">IF($A189="","",OFFSET(DATA!$AG138,0,($D$50*5)+3))</f>
        <v>-99</v>
      </c>
      <c r="O189" s="90">
        <f ca="1">IF($A189="","",OFFSET(DATA!$AG138,0,($D$50*5)+4))</f>
        <v>-99</v>
      </c>
      <c r="P189" s="90">
        <f t="shared" ca="1" si="33"/>
        <v>-99</v>
      </c>
      <c r="Q189" s="90" t="str">
        <f t="shared" ca="1" si="34"/>
        <v/>
      </c>
      <c r="R189" s="699">
        <f ca="1">IF($A189="","",IF(DATA!BF138="",-99,DATA!BF138))</f>
        <v>-99</v>
      </c>
      <c r="S189" s="90">
        <f ca="1">IF($A189="","",IF(DATA!BG138="",-99,DATA!BF138-DATA!BG138))</f>
        <v>-99</v>
      </c>
      <c r="T189" s="90">
        <f ca="1">IF($A189="","",DATA!BH138)</f>
        <v>-99</v>
      </c>
      <c r="U189" s="90">
        <f ca="1">IF($A189="","",OFFSET(DATA!BM138,0,$D$48))</f>
        <v>-99</v>
      </c>
      <c r="V189" s="90">
        <f t="shared" ca="1" si="30"/>
        <v>25</v>
      </c>
      <c r="W189" s="99">
        <f t="shared" ca="1" si="35"/>
        <v>24.999910911667293</v>
      </c>
      <c r="X189" s="112" t="str">
        <f t="shared" ca="1" si="36"/>
        <v/>
      </c>
      <c r="Y189" s="90" t="str">
        <f t="shared" ca="1" si="37"/>
        <v/>
      </c>
      <c r="AA189" s="90" t="str">
        <f ca="1">IF($Y189="","",IF(OFFSET(C$55,'Intermediate Data'!$Y189,0)=-98,"Unknown",IF(OFFSET(C$55,'Intermediate Data'!$Y189,0)=-99,"N/A",OFFSET(C$55,'Intermediate Data'!$Y189,0))))</f>
        <v/>
      </c>
      <c r="AB189" s="90" t="str">
        <f ca="1">IF($Y189="","",IF(OFFSET(D$55,'Intermediate Data'!$Y189,0)=-98,"N/A",IF(OFFSET(D$55,'Intermediate Data'!$Y189,0)=-99,"N/A",OFFSET(D$55,'Intermediate Data'!$Y189,0))))</f>
        <v/>
      </c>
      <c r="AC189" s="90" t="str">
        <f ca="1">IF($Y189="","",IF(OFFSET(E$55,'Intermediate Data'!$Y189,0)=-98,"N/A",IF(OFFSET(E$55,'Intermediate Data'!$Y189,0)=-99,"N/A",OFFSET(E$55,'Intermediate Data'!$Y189,0))))</f>
        <v/>
      </c>
      <c r="AD189" s="90" t="str">
        <f ca="1">IF($Y189="","",IF(OFFSET(F$55,'Intermediate Data'!$Y189,0)=-98,"N/A",IF(OFFSET(F$55,'Intermediate Data'!$Y189,0)=-99,"N/A",OFFSET(F$55,'Intermediate Data'!$Y189,0))))</f>
        <v/>
      </c>
      <c r="AE189" s="90" t="str">
        <f ca="1">IF($Y189="","",IF(OFFSET(G$55,'Intermediate Data'!$Y189,0)=-98,"N/A",IF(OFFSET(G$55,'Intermediate Data'!$Y189,0)=-99,"N/A",OFFSET(G$55,'Intermediate Data'!$Y189,0))))</f>
        <v/>
      </c>
      <c r="AF189" s="90" t="str">
        <f ca="1">IF($Y189="","",IF(OFFSET(H$55,'Intermediate Data'!$Y189,0)=-98,"N/A",IF(OFFSET(H$55,'Intermediate Data'!$Y189,0)=-99,"N/A",OFFSET(H$55,'Intermediate Data'!$Y189,0))))</f>
        <v/>
      </c>
      <c r="AG189" s="90" t="str">
        <f ca="1">IF($Y189="","",IF(OFFSET(I$55,'Intermediate Data'!$Y189,0)=-98,"N/A",IF(OFFSET(I$55,'Intermediate Data'!$Y189,0)=-99,"N/A",OFFSET(I$55,'Intermediate Data'!$Y189,0))))</f>
        <v/>
      </c>
      <c r="AH189" s="90" t="str">
        <f ca="1">IF($Y189="","",IF(OFFSET(J$55,'Intermediate Data'!$Y189,0)=-98,"N/A",IF(OFFSET(J$55,'Intermediate Data'!$Y189,0)=-99,"N/A",OFFSET(J$55,'Intermediate Data'!$Y189,0))))</f>
        <v/>
      </c>
      <c r="AI189" s="90" t="str">
        <f ca="1">IF($Y189="","",IF(OFFSET(K$55,'Intermediate Data'!$Y189,0)=-98,"N/A",IF(OFFSET(K$55,'Intermediate Data'!$Y189,0)=-99,"N/A",OFFSET(K$55,'Intermediate Data'!$Y189,0))))</f>
        <v/>
      </c>
      <c r="AJ189" s="90" t="str">
        <f ca="1">IF($Y189="","",IF(OFFSET(L$55,'Intermediate Data'!$Y189,0)=-98,"N/A",IF(OFFSET(L$55,'Intermediate Data'!$Y189,0)=-99,"N/A",OFFSET(L$55,'Intermediate Data'!$Y189,0))))</f>
        <v/>
      </c>
      <c r="AK189" s="90" t="str">
        <f ca="1">IF($Y189="","",IF(OFFSET(M$55,'Intermediate Data'!$Y189,0)=-98,"N/A",IF(OFFSET(M$55,'Intermediate Data'!$Y189,0)=-99,"N/A",OFFSET(M$55,'Intermediate Data'!$Y189,0))))</f>
        <v/>
      </c>
      <c r="AL189" s="90" t="str">
        <f ca="1">IF($Y189="","",IF(OFFSET(N$55,'Intermediate Data'!$Y189,0)=-98,"N/A",IF(OFFSET(N$55,'Intermediate Data'!$Y189,0)=-99,"N/A",OFFSET(N$55,'Intermediate Data'!$Y189,0))))</f>
        <v/>
      </c>
      <c r="AM189" s="90" t="str">
        <f ca="1">IF($Y189="","",IF(OFFSET(O$55,'Intermediate Data'!$Y189,0)=-98,"N/A",IF(OFFSET(O$55,'Intermediate Data'!$Y189,0)=-99,"N/A",OFFSET(O$55,'Intermediate Data'!$Y189,0))))</f>
        <v/>
      </c>
      <c r="AN189" s="90" t="str">
        <f ca="1">IF($Y189="","",IF(OFFSET(P$55,'Intermediate Data'!$Y189,0)=-98,"N/A",IF(OFFSET(P$55,'Intermediate Data'!$Y189,0)=-99,"N/A",OFFSET(P$55,'Intermediate Data'!$Y189,0))))</f>
        <v/>
      </c>
      <c r="AO189" s="90" t="str">
        <f ca="1">IF($Y189="","",IF(OFFSET(Q$55,'Intermediate Data'!$Y189,0)=-98,"N/A",IF(OFFSET(Q$55,'Intermediate Data'!$Y189,0)=-99,"N/A",OFFSET(Q$55,'Intermediate Data'!$Y189,0))))</f>
        <v/>
      </c>
      <c r="AP189" s="697" t="str">
        <f ca="1">IF($Y189="","",IF(OFFSET(S$55,'Intermediate Data'!$Y189,0)=-98,"",IF(OFFSET(S$55,'Intermediate Data'!$Y189,0)=-99,"",OFFSET(S$55,'Intermediate Data'!$Y189,0))))</f>
        <v/>
      </c>
      <c r="AQ189" s="90" t="str">
        <f ca="1">IF($Y189="","",IF(OFFSET(T$55,'Intermediate Data'!$Y189,0)=-98,"Not published",IF(OFFSET(T$55,'Intermediate Data'!$Y189,0)=-99,"",OFFSET(T$55,'Intermediate Data'!$Y189,0))))</f>
        <v/>
      </c>
      <c r="AR189" s="90" t="str">
        <f ca="1">IF($Y189="","",IF(OFFSET(U$55,'Intermediate Data'!$Y189,0)=-98,"Unknown",IF(OFFSET(U$55,'Intermediate Data'!$Y189,0)=-99,"",OFFSET(U$55,'Intermediate Data'!$Y189,0))))</f>
        <v/>
      </c>
      <c r="AU189" s="112" t="str">
        <f ca="1">IF(AND(OFFSET(DATA!$F138,0,$AX$48)='Intermediate Data'!$AY$48,DATA!$E138="Tier 1"),IF(OR($AX$49=0,$AX$48=1),DATA!A138,IF(AND($AX$49=1,INDEX('Intermediate Data'!$AY$25:$AY$44,MATCH(DATA!$B138,'Intermediate Data'!$AX$25:$AX$44,0))=TRUE),DATA!A138,"")),"")</f>
        <v/>
      </c>
      <c r="AV189" s="112" t="str">
        <f ca="1">IF($AU189="","",DATA!B138)</f>
        <v/>
      </c>
      <c r="AW189" s="112" t="str">
        <f ca="1">IF(OR($AU189="",DATA!BI138=""),"",DATA!BI138)</f>
        <v/>
      </c>
      <c r="AX189" s="112" t="str">
        <f ca="1">IF(OR($AU189="",OFFSET(DATA!BK138,0,$AX$48)=""),"",OFFSET(DATA!BK138,0,$AX$48))</f>
        <v/>
      </c>
      <c r="AY189" s="112" t="str">
        <f ca="1">IF(OR($AU189="",OFFSET(DATA!BM138,0,$AX$48)=""),"",OFFSET(DATA!BM138,0,$AX$48))</f>
        <v/>
      </c>
      <c r="AZ189" s="112" t="str">
        <f ca="1">IF(OR($AU189="",OFFSET(DATA!BO138,0,'Intermediate Data'!$AX$48)=""),"",OFFSET(DATA!BO138,0,$AX$48))</f>
        <v/>
      </c>
      <c r="BA189" s="112" t="str">
        <f ca="1">IF(OR($AU189="",DATA!BQ138=""),"",DATA!BQ138)</f>
        <v/>
      </c>
      <c r="BB189" s="112" t="str">
        <f ca="1">IF($AU189="","",OFFSET(DATA!BS138,0,$AX$48))</f>
        <v/>
      </c>
      <c r="BC189" s="112" t="str">
        <f ca="1">IF($AU189="","",OFFSET(DATA!BU138,0,$AX$48))</f>
        <v/>
      </c>
      <c r="BD189" s="112" t="str">
        <f ca="1">IF($AU189="","",OFFSET(DATA!BW138,0,$AX$48))</f>
        <v/>
      </c>
      <c r="BE189" s="112" t="str">
        <f ca="1">IF($AU189="","",OFFSET(DATA!BY138,0,$AX$48))</f>
        <v/>
      </c>
      <c r="BF189" s="112" t="str">
        <f ca="1">IF($AU189="","",OFFSET(DATA!CA138,0,$AX$48))</f>
        <v/>
      </c>
      <c r="BG189" s="112" t="str">
        <f ca="1">IF($AU189="","",DATA!CC138)</f>
        <v/>
      </c>
      <c r="BH189" s="112" t="str">
        <f ca="1">IF($AU189="","",OFFSET(DATA!CE138,0,$AX$48))</f>
        <v/>
      </c>
      <c r="BI189" s="112" t="str">
        <f ca="1">IF($AU189="","",OFFSET(DATA!CG138,0,$AX$48))</f>
        <v/>
      </c>
      <c r="BJ189" s="112" t="str">
        <f ca="1">IF($AU189="","",OFFSET(DATA!CI138,0,$AX$48))</f>
        <v/>
      </c>
      <c r="BK189" s="112" t="str">
        <f ca="1">IF($AU189="","",OFFSET(DATA!CK138,0,$AX$48))</f>
        <v/>
      </c>
      <c r="BL189" s="112" t="str">
        <f ca="1">IF($AU189="","",OFFSET(DATA!CM138,0,$AX$48))</f>
        <v/>
      </c>
      <c r="BM189" s="112" t="str">
        <f ca="1">IF($AU189="","",DATA!BH138)</f>
        <v/>
      </c>
      <c r="BN189" s="112" t="str">
        <f ca="1">IF($AU189="","",DATA!DS138)</f>
        <v/>
      </c>
      <c r="BO189" s="112" t="str">
        <f ca="1">IF($AU189="","",DATA!DU138)</f>
        <v/>
      </c>
      <c r="BP189" s="112" t="str">
        <f ca="1">IF($AU189="","",DATA!DV138)</f>
        <v/>
      </c>
      <c r="BQ189" s="112" t="str">
        <f ca="1">IF($AU189="","",DATA!DX138)</f>
        <v/>
      </c>
      <c r="BR189" s="112" t="str">
        <f ca="1">IF($AU189="","",DATA!DZ138)</f>
        <v/>
      </c>
      <c r="BS189" s="171" t="str">
        <f ca="1">IF($AU189="","",DATA!EA138)</f>
        <v/>
      </c>
      <c r="BT189" s="171" t="str">
        <f ca="1">IF($AU189="","",DATA!EC138)</f>
        <v/>
      </c>
      <c r="BU189" s="171" t="str">
        <f ca="1">IF($AU189="","",DATA!EF138)</f>
        <v/>
      </c>
      <c r="BV189" s="113" t="str">
        <f t="shared" ca="1" si="38"/>
        <v/>
      </c>
      <c r="BW189" s="680" t="str">
        <f ca="1">IF(AU189="","",OFFSET(DATA!DC138,0,'Intermediate Data'!$AX$48))</f>
        <v/>
      </c>
      <c r="BX189" s="681" t="str">
        <f ca="1">IF($AU189="","",DATA!DG138)</f>
        <v/>
      </c>
      <c r="BY189" s="680" t="str">
        <f ca="1">IF($AU189="","",OFFSET(DATA!DE138,0,'Intermediate Data'!$AX$48))</f>
        <v/>
      </c>
      <c r="BZ189" s="681" t="str">
        <f ca="1">IF($AU189="","",DATA!DH138)</f>
        <v/>
      </c>
      <c r="CA189" s="90" t="str">
        <f t="shared" ca="1" si="39"/>
        <v/>
      </c>
      <c r="CB189" s="99" t="str">
        <f t="shared" ca="1" si="40"/>
        <v/>
      </c>
      <c r="CC189" s="90" t="str">
        <f t="shared" ca="1" si="41"/>
        <v/>
      </c>
      <c r="CD189" s="90" t="str">
        <f t="shared" ca="1" si="42"/>
        <v/>
      </c>
      <c r="CF189" s="90" t="str">
        <f ca="1">IF($CD189="","",IF(OFFSET(AV$55,'Intermediate Data'!$CD189,0)=-98,"Unknown",IF(OFFSET(AV$55,'Intermediate Data'!$CD189,0)=-99,"N/A",OFFSET(AV$55,'Intermediate Data'!$CD189,0))))</f>
        <v/>
      </c>
      <c r="CG189" s="90" t="str">
        <f ca="1">IF($CD189="","",IF(OFFSET(AW$55,'Intermediate Data'!$CD189,0)=-98,"",IF(OFFSET(AW$55,'Intermediate Data'!$CD189,0)=-99,"N/A",OFFSET(AW$55,'Intermediate Data'!$CD189,0))))</f>
        <v/>
      </c>
      <c r="CH189" s="90" t="str">
        <f ca="1">IF($CD189="","",IF(OFFSET(AX$55,'Intermediate Data'!$CD189,0)=-98,"Unknown",IF(OFFSET(AX$55,'Intermediate Data'!$CD189,0)=-99,"N/A",OFFSET(AX$55,'Intermediate Data'!$CD189,0))))</f>
        <v/>
      </c>
      <c r="CI189" s="125" t="str">
        <f ca="1">IF($CD189="","",IF(OFFSET(AY$55,'Intermediate Data'!$CD189,0)=-98,"Unknown",IF(OFFSET(AY$55,'Intermediate Data'!$CD189,0)=-99,"No spec",OFFSET(AY$55,'Intermediate Data'!$CD189,0))))</f>
        <v/>
      </c>
      <c r="CJ189" s="125" t="str">
        <f ca="1">IF($CD189="","",IF(OFFSET(AZ$55,'Intermediate Data'!$CD189,0)=-98,"Unknown",IF(OFFSET(AZ$55,'Intermediate Data'!$CD189,0)=-99,"N/A",OFFSET(AZ$55,'Intermediate Data'!$CD189,0))))</f>
        <v/>
      </c>
      <c r="CK189" s="90" t="str">
        <f ca="1">IF($CD189="","",IF(OFFSET(BA$55,'Intermediate Data'!$CD189,0)=-98,"Unknown",IF(OFFSET(BA$55,'Intermediate Data'!$CD189,0)=-99,"N/A",OFFSET(BA$55,'Intermediate Data'!$CD189,0))))</f>
        <v/>
      </c>
      <c r="CL189" s="90" t="str">
        <f ca="1">IF($CD189="","",IF(OFFSET(BB$55,'Intermediate Data'!$CD189,$AX$50)=-98,"Unknown",IF(OFFSET(BB$55,'Intermediate Data'!$CD189,$AX$50)="N/A","",OFFSET(BB$55,'Intermediate Data'!$CD189,$AX$50))))</f>
        <v/>
      </c>
      <c r="CM189" s="90" t="str">
        <f ca="1">IF($CD189="","",IF(OFFSET(BG$55,'Intermediate Data'!$CD189,0)="ET","ET",""))</f>
        <v/>
      </c>
      <c r="CN189" s="90" t="str">
        <f ca="1">IF($CD189="","",IF(OFFSET(BH$55,'Intermediate Data'!$CD189,$AX$50)=-98,"Unknown",IF(OFFSET(BH$55,'Intermediate Data'!$CD189,$AX$50)="N/A","",OFFSET(BH$55,'Intermediate Data'!$CD189,$AX$50))))</f>
        <v/>
      </c>
      <c r="CO189" s="90" t="str">
        <f ca="1">IF($CD189="","",IF(OFFSET(BM$55,'Intermediate Data'!$CD189,0)=-98,"Not published",IF(OFFSET(BM$55,'Intermediate Data'!$CD189,0)=-99,"No spec",OFFSET(BM$55,'Intermediate Data'!$CD189,0))))</f>
        <v/>
      </c>
      <c r="CP189" s="114" t="str">
        <f ca="1">IF($CD189="","",IF(OFFSET(BN$55,'Intermediate Data'!$CD189,0)=-98,"Unknown",IF(OFFSET(BN$55,'Intermediate Data'!$CD189,0)=-99,"N/A",OFFSET(BN$55,'Intermediate Data'!$CD189,0))))</f>
        <v/>
      </c>
      <c r="CQ189" s="114" t="str">
        <f ca="1">IF($CD189="","",IF(OFFSET(BO$55,'Intermediate Data'!$CD189,0)=-98,"Unknown",IF(OFFSET(BO$55,'Intermediate Data'!$CD189,0)=-99,"N/A",OFFSET(BO$55,'Intermediate Data'!$CD189,0))))</f>
        <v/>
      </c>
      <c r="CR189" s="114" t="str">
        <f ca="1">IF($CD189="","",IF(OFFSET(BP$55,'Intermediate Data'!$CD189,0)=-98,"Unknown",IF(OFFSET(BP$55,'Intermediate Data'!$CD189,0)=-99,"N/A",OFFSET(BP$55,'Intermediate Data'!$CD189,0))))</f>
        <v/>
      </c>
      <c r="CS189" s="114" t="str">
        <f ca="1">IF($CD189="","",IF(OFFSET(BQ$55,'Intermediate Data'!$CD189,0)=-98,"Unknown",IF(OFFSET(BQ$55,'Intermediate Data'!$CD189,0)=-99,"N/A",OFFSET(BQ$55,'Intermediate Data'!$CD189,0))))</f>
        <v/>
      </c>
      <c r="CT189" s="114" t="str">
        <f ca="1">IF($CD189="","",IF(OFFSET(BR$55,'Intermediate Data'!$CD189,0)=-98,"Unknown",IF(OFFSET(BR$55,'Intermediate Data'!$CD189,0)=-99,"N/A",OFFSET(BR$55,'Intermediate Data'!$CD189,0))))</f>
        <v/>
      </c>
      <c r="CU189" s="114" t="str">
        <f ca="1">IF($CD189="","",IF(OFFSET(BS$55,'Intermediate Data'!$CD189,0)=-98,"Unknown",IF(OFFSET(BS$55,'Intermediate Data'!$CD189,0)=-99,"N/A",OFFSET(BS$55,'Intermediate Data'!$CD189,0))))</f>
        <v/>
      </c>
      <c r="CV189" s="114" t="str">
        <f ca="1">IF($CD189="","",IF(OFFSET(BT$55,'Intermediate Data'!$CD189,0)=-98,"Unknown",IF(OFFSET(BT$55,'Intermediate Data'!$CD189,0)=-99,"N/A",OFFSET(BT$55,'Intermediate Data'!$CD189,0))))</f>
        <v/>
      </c>
      <c r="CW189" s="114" t="str">
        <f ca="1">IF($CD189="","",IF(OFFSET(BU$55,'Intermediate Data'!$CD189,0)=-98,"Unknown",IF(OFFSET(BU$55,'Intermediate Data'!$CD189,0)=-99,"N/A",OFFSET(BU$55,'Intermediate Data'!$CD189,0))))</f>
        <v/>
      </c>
      <c r="CX189" s="114" t="str">
        <f ca="1">IF($CD189="","",IF(OFFSET(BV$55,'Intermediate Data'!$CD189,0)=-98,"Unknown",IF(OFFSET(BV$55,'Intermediate Data'!$CD189,0)=-99,"N/A",OFFSET(BV$55,'Intermediate Data'!$CD189,0))))</f>
        <v/>
      </c>
      <c r="CY189" s="682" t="str">
        <f ca="1">IF($CD189="","",IF(OFFSET(BW$55,'Intermediate Data'!$CD189,0)=-98,"Unknown",IF(OFFSET(BW$55,'Intermediate Data'!$CD189,0)="N/A","",OFFSET(BW$55,'Intermediate Data'!$CD189,0))))</f>
        <v/>
      </c>
      <c r="CZ189" s="682" t="str">
        <f ca="1">IF($CD189="","",IF(OFFSET(BX$55,'Intermediate Data'!$CD189,0)=-98,"Unknown",IF(OFFSET(BX$55,'Intermediate Data'!$CD189,0)="N/A","",OFFSET(BX$55,'Intermediate Data'!$CD189,0))))</f>
        <v/>
      </c>
      <c r="DA189" s="682" t="str">
        <f ca="1">IF($CD189="","",IF(OFFSET(BY$55,'Intermediate Data'!$CD189,0)=-98,"Unknown",IF(OFFSET(BY$55,'Intermediate Data'!$CD189,0)="N/A","",OFFSET(BY$55,'Intermediate Data'!$CD189,0))))</f>
        <v/>
      </c>
      <c r="DB189" s="682" t="str">
        <f ca="1">IF($CD189="","",IF(OFFSET(BZ$55,'Intermediate Data'!$CD189,0)=-98,"Unknown",IF(OFFSET(BZ$55,'Intermediate Data'!$CD189,0)="N/A","",OFFSET(BZ$55,'Intermediate Data'!$CD189,0))))</f>
        <v/>
      </c>
    </row>
    <row r="190" spans="1:106" x14ac:dyDescent="0.2">
      <c r="A190" s="90">
        <f ca="1">IF(OFFSET(DATA!F139,0,$D$48)='Intermediate Data'!$E$48,IF(OR($E$49=$C$27,$E$48=$B$4),DATA!A139,IF($G$49=DATA!D139,DATA!A139,"")),"")</f>
        <v>135</v>
      </c>
      <c r="B190" s="90">
        <f ca="1">IF($A190="","",DATA!EH139)</f>
        <v>5</v>
      </c>
      <c r="C190" s="90" t="str">
        <f ca="1">IF($A190="","",DATA!B139)</f>
        <v>Water purification system</v>
      </c>
      <c r="D190" s="90">
        <f ca="1">IF($A190="","",OFFSET(DATA!$H139,0,($D$50*5)))</f>
        <v>-99</v>
      </c>
      <c r="E190" s="90">
        <f ca="1">IF($A190="","",OFFSET(DATA!$H139,0,($D$50*5)+1))</f>
        <v>0.12553651882592351</v>
      </c>
      <c r="F190" s="90">
        <f ca="1">IF($A190="","",OFFSET(DATA!$H139,0,($D$50*5)+2))</f>
        <v>-99</v>
      </c>
      <c r="G190" s="90">
        <f ca="1">IF($A190="","",OFFSET(DATA!$H139,0,($D$50*5)+3))</f>
        <v>0.11920247516332187</v>
      </c>
      <c r="H190" s="90">
        <f ca="1">IF($A190="","",OFFSET(DATA!$H139,0,($D$50*5)+4))</f>
        <v>-99</v>
      </c>
      <c r="I190" s="90">
        <f t="shared" ca="1" si="31"/>
        <v>0.11920247516332187</v>
      </c>
      <c r="J190" s="90" t="str">
        <f t="shared" ca="1" si="32"/>
        <v>RASS</v>
      </c>
      <c r="K190" s="90">
        <f ca="1">IF($A190="","",OFFSET(DATA!$AG139,0,($D$50*5)))</f>
        <v>-99</v>
      </c>
      <c r="L190" s="90">
        <f ca="1">IF($A190="","",OFFSET(DATA!$AG139,0,($D$50*5)+1))</f>
        <v>0.13013292421855396</v>
      </c>
      <c r="M190" s="90">
        <f ca="1">IF($A190="","",OFFSET(DATA!$AG139,0,($D$50*5)+2))</f>
        <v>-99</v>
      </c>
      <c r="N190" s="90">
        <f ca="1">IF($A190="","",OFFSET(DATA!$AG139,0,($D$50*5)+3))</f>
        <v>0.12462942452101058</v>
      </c>
      <c r="O190" s="90">
        <f ca="1">IF($A190="","",OFFSET(DATA!$AG139,0,($D$50*5)+4))</f>
        <v>-99</v>
      </c>
      <c r="P190" s="90">
        <f t="shared" ca="1" si="33"/>
        <v>0.12462942452101058</v>
      </c>
      <c r="Q190" s="90" t="str">
        <f t="shared" ca="1" si="34"/>
        <v>RASS</v>
      </c>
      <c r="R190" s="699">
        <f ca="1">IF($A190="","",IF(DATA!BF139="",-99,DATA!BF139))</f>
        <v>-99</v>
      </c>
      <c r="S190" s="90">
        <f ca="1">IF($A190="","",IF(DATA!BG139="",-99,DATA!BF139-DATA!BG139))</f>
        <v>-99</v>
      </c>
      <c r="T190" s="90">
        <f ca="1">IF($A190="","",DATA!BH139)</f>
        <v>-99</v>
      </c>
      <c r="U190" s="90">
        <f ca="1">IF($A190="","",OFFSET(DATA!BM139,0,$D$48))</f>
        <v>-99</v>
      </c>
      <c r="V190" s="90">
        <f t="shared" ca="1" si="30"/>
        <v>5</v>
      </c>
      <c r="W190" s="99">
        <f t="shared" ca="1" si="35"/>
        <v>4.999930763770382</v>
      </c>
      <c r="X190" s="112" t="str">
        <f t="shared" ca="1" si="36"/>
        <v/>
      </c>
      <c r="Y190" s="90" t="str">
        <f t="shared" ca="1" si="37"/>
        <v/>
      </c>
      <c r="AA190" s="90" t="str">
        <f ca="1">IF($Y190="","",IF(OFFSET(C$55,'Intermediate Data'!$Y190,0)=-98,"Unknown",IF(OFFSET(C$55,'Intermediate Data'!$Y190,0)=-99,"N/A",OFFSET(C$55,'Intermediate Data'!$Y190,0))))</f>
        <v/>
      </c>
      <c r="AB190" s="90" t="str">
        <f ca="1">IF($Y190="","",IF(OFFSET(D$55,'Intermediate Data'!$Y190,0)=-98,"N/A",IF(OFFSET(D$55,'Intermediate Data'!$Y190,0)=-99,"N/A",OFFSET(D$55,'Intermediate Data'!$Y190,0))))</f>
        <v/>
      </c>
      <c r="AC190" s="90" t="str">
        <f ca="1">IF($Y190="","",IF(OFFSET(E$55,'Intermediate Data'!$Y190,0)=-98,"N/A",IF(OFFSET(E$55,'Intermediate Data'!$Y190,0)=-99,"N/A",OFFSET(E$55,'Intermediate Data'!$Y190,0))))</f>
        <v/>
      </c>
      <c r="AD190" s="90" t="str">
        <f ca="1">IF($Y190="","",IF(OFFSET(F$55,'Intermediate Data'!$Y190,0)=-98,"N/A",IF(OFFSET(F$55,'Intermediate Data'!$Y190,0)=-99,"N/A",OFFSET(F$55,'Intermediate Data'!$Y190,0))))</f>
        <v/>
      </c>
      <c r="AE190" s="90" t="str">
        <f ca="1">IF($Y190="","",IF(OFFSET(G$55,'Intermediate Data'!$Y190,0)=-98,"N/A",IF(OFFSET(G$55,'Intermediate Data'!$Y190,0)=-99,"N/A",OFFSET(G$55,'Intermediate Data'!$Y190,0))))</f>
        <v/>
      </c>
      <c r="AF190" s="90" t="str">
        <f ca="1">IF($Y190="","",IF(OFFSET(H$55,'Intermediate Data'!$Y190,0)=-98,"N/A",IF(OFFSET(H$55,'Intermediate Data'!$Y190,0)=-99,"N/A",OFFSET(H$55,'Intermediate Data'!$Y190,0))))</f>
        <v/>
      </c>
      <c r="AG190" s="90" t="str">
        <f ca="1">IF($Y190="","",IF(OFFSET(I$55,'Intermediate Data'!$Y190,0)=-98,"N/A",IF(OFFSET(I$55,'Intermediate Data'!$Y190,0)=-99,"N/A",OFFSET(I$55,'Intermediate Data'!$Y190,0))))</f>
        <v/>
      </c>
      <c r="AH190" s="90" t="str">
        <f ca="1">IF($Y190="","",IF(OFFSET(J$55,'Intermediate Data'!$Y190,0)=-98,"N/A",IF(OFFSET(J$55,'Intermediate Data'!$Y190,0)=-99,"N/A",OFFSET(J$55,'Intermediate Data'!$Y190,0))))</f>
        <v/>
      </c>
      <c r="AI190" s="90" t="str">
        <f ca="1">IF($Y190="","",IF(OFFSET(K$55,'Intermediate Data'!$Y190,0)=-98,"N/A",IF(OFFSET(K$55,'Intermediate Data'!$Y190,0)=-99,"N/A",OFFSET(K$55,'Intermediate Data'!$Y190,0))))</f>
        <v/>
      </c>
      <c r="AJ190" s="90" t="str">
        <f ca="1">IF($Y190="","",IF(OFFSET(L$55,'Intermediate Data'!$Y190,0)=-98,"N/A",IF(OFFSET(L$55,'Intermediate Data'!$Y190,0)=-99,"N/A",OFFSET(L$55,'Intermediate Data'!$Y190,0))))</f>
        <v/>
      </c>
      <c r="AK190" s="90" t="str">
        <f ca="1">IF($Y190="","",IF(OFFSET(M$55,'Intermediate Data'!$Y190,0)=-98,"N/A",IF(OFFSET(M$55,'Intermediate Data'!$Y190,0)=-99,"N/A",OFFSET(M$55,'Intermediate Data'!$Y190,0))))</f>
        <v/>
      </c>
      <c r="AL190" s="90" t="str">
        <f ca="1">IF($Y190="","",IF(OFFSET(N$55,'Intermediate Data'!$Y190,0)=-98,"N/A",IF(OFFSET(N$55,'Intermediate Data'!$Y190,0)=-99,"N/A",OFFSET(N$55,'Intermediate Data'!$Y190,0))))</f>
        <v/>
      </c>
      <c r="AM190" s="90" t="str">
        <f ca="1">IF($Y190="","",IF(OFFSET(O$55,'Intermediate Data'!$Y190,0)=-98,"N/A",IF(OFFSET(O$55,'Intermediate Data'!$Y190,0)=-99,"N/A",OFFSET(O$55,'Intermediate Data'!$Y190,0))))</f>
        <v/>
      </c>
      <c r="AN190" s="90" t="str">
        <f ca="1">IF($Y190="","",IF(OFFSET(P$55,'Intermediate Data'!$Y190,0)=-98,"N/A",IF(OFFSET(P$55,'Intermediate Data'!$Y190,0)=-99,"N/A",OFFSET(P$55,'Intermediate Data'!$Y190,0))))</f>
        <v/>
      </c>
      <c r="AO190" s="90" t="str">
        <f ca="1">IF($Y190="","",IF(OFFSET(Q$55,'Intermediate Data'!$Y190,0)=-98,"N/A",IF(OFFSET(Q$55,'Intermediate Data'!$Y190,0)=-99,"N/A",OFFSET(Q$55,'Intermediate Data'!$Y190,0))))</f>
        <v/>
      </c>
      <c r="AP190" s="697" t="str">
        <f ca="1">IF($Y190="","",IF(OFFSET(S$55,'Intermediate Data'!$Y190,0)=-98,"",IF(OFFSET(S$55,'Intermediate Data'!$Y190,0)=-99,"",OFFSET(S$55,'Intermediate Data'!$Y190,0))))</f>
        <v/>
      </c>
      <c r="AQ190" s="90" t="str">
        <f ca="1">IF($Y190="","",IF(OFFSET(T$55,'Intermediate Data'!$Y190,0)=-98,"Not published",IF(OFFSET(T$55,'Intermediate Data'!$Y190,0)=-99,"",OFFSET(T$55,'Intermediate Data'!$Y190,0))))</f>
        <v/>
      </c>
      <c r="AR190" s="90" t="str">
        <f ca="1">IF($Y190="","",IF(OFFSET(U$55,'Intermediate Data'!$Y190,0)=-98,"Unknown",IF(OFFSET(U$55,'Intermediate Data'!$Y190,0)=-99,"",OFFSET(U$55,'Intermediate Data'!$Y190,0))))</f>
        <v/>
      </c>
      <c r="AU190" s="112" t="str">
        <f ca="1">IF(AND(OFFSET(DATA!$F139,0,$AX$48)='Intermediate Data'!$AY$48,DATA!$E139="Tier 1"),IF(OR($AX$49=0,$AX$48=1),DATA!A139,IF(AND($AX$49=1,INDEX('Intermediate Data'!$AY$25:$AY$44,MATCH(DATA!$B139,'Intermediate Data'!$AX$25:$AX$44,0))=TRUE),DATA!A139,"")),"")</f>
        <v/>
      </c>
      <c r="AV190" s="112" t="str">
        <f ca="1">IF($AU190="","",DATA!B139)</f>
        <v/>
      </c>
      <c r="AW190" s="112" t="str">
        <f ca="1">IF(OR($AU190="",DATA!BI139=""),"",DATA!BI139)</f>
        <v/>
      </c>
      <c r="AX190" s="112" t="str">
        <f ca="1">IF(OR($AU190="",OFFSET(DATA!BK139,0,$AX$48)=""),"",OFFSET(DATA!BK139,0,$AX$48))</f>
        <v/>
      </c>
      <c r="AY190" s="112" t="str">
        <f ca="1">IF(OR($AU190="",OFFSET(DATA!BM139,0,$AX$48)=""),"",OFFSET(DATA!BM139,0,$AX$48))</f>
        <v/>
      </c>
      <c r="AZ190" s="112" t="str">
        <f ca="1">IF(OR($AU190="",OFFSET(DATA!BO139,0,'Intermediate Data'!$AX$48)=""),"",OFFSET(DATA!BO139,0,$AX$48))</f>
        <v/>
      </c>
      <c r="BA190" s="112" t="str">
        <f ca="1">IF(OR($AU190="",DATA!BQ139=""),"",DATA!BQ139)</f>
        <v/>
      </c>
      <c r="BB190" s="112" t="str">
        <f ca="1">IF($AU190="","",OFFSET(DATA!BS139,0,$AX$48))</f>
        <v/>
      </c>
      <c r="BC190" s="112" t="str">
        <f ca="1">IF($AU190="","",OFFSET(DATA!BU139,0,$AX$48))</f>
        <v/>
      </c>
      <c r="BD190" s="112" t="str">
        <f ca="1">IF($AU190="","",OFFSET(DATA!BW139,0,$AX$48))</f>
        <v/>
      </c>
      <c r="BE190" s="112" t="str">
        <f ca="1">IF($AU190="","",OFFSET(DATA!BY139,0,$AX$48))</f>
        <v/>
      </c>
      <c r="BF190" s="112" t="str">
        <f ca="1">IF($AU190="","",OFFSET(DATA!CA139,0,$AX$48))</f>
        <v/>
      </c>
      <c r="BG190" s="112" t="str">
        <f ca="1">IF($AU190="","",DATA!CC139)</f>
        <v/>
      </c>
      <c r="BH190" s="112" t="str">
        <f ca="1">IF($AU190="","",OFFSET(DATA!CE139,0,$AX$48))</f>
        <v/>
      </c>
      <c r="BI190" s="112" t="str">
        <f ca="1">IF($AU190="","",OFFSET(DATA!CG139,0,$AX$48))</f>
        <v/>
      </c>
      <c r="BJ190" s="112" t="str">
        <f ca="1">IF($AU190="","",OFFSET(DATA!CI139,0,$AX$48))</f>
        <v/>
      </c>
      <c r="BK190" s="112" t="str">
        <f ca="1">IF($AU190="","",OFFSET(DATA!CK139,0,$AX$48))</f>
        <v/>
      </c>
      <c r="BL190" s="112" t="str">
        <f ca="1">IF($AU190="","",OFFSET(DATA!CM139,0,$AX$48))</f>
        <v/>
      </c>
      <c r="BM190" s="112" t="str">
        <f ca="1">IF($AU190="","",DATA!BH139)</f>
        <v/>
      </c>
      <c r="BN190" s="112" t="str">
        <f ca="1">IF($AU190="","",DATA!DS139)</f>
        <v/>
      </c>
      <c r="BO190" s="112" t="str">
        <f ca="1">IF($AU190="","",DATA!DU139)</f>
        <v/>
      </c>
      <c r="BP190" s="112" t="str">
        <f ca="1">IF($AU190="","",DATA!DV139)</f>
        <v/>
      </c>
      <c r="BQ190" s="112" t="str">
        <f ca="1">IF($AU190="","",DATA!DX139)</f>
        <v/>
      </c>
      <c r="BR190" s="112" t="str">
        <f ca="1">IF($AU190="","",DATA!DZ139)</f>
        <v/>
      </c>
      <c r="BS190" s="171" t="str">
        <f ca="1">IF($AU190="","",DATA!EA139)</f>
        <v/>
      </c>
      <c r="BT190" s="171" t="str">
        <f ca="1">IF($AU190="","",DATA!EC139)</f>
        <v/>
      </c>
      <c r="BU190" s="171" t="str">
        <f ca="1">IF($AU190="","",DATA!EF139)</f>
        <v/>
      </c>
      <c r="BV190" s="113" t="str">
        <f t="shared" ca="1" si="38"/>
        <v/>
      </c>
      <c r="BW190" s="680" t="str">
        <f ca="1">IF(AU190="","",OFFSET(DATA!DC139,0,'Intermediate Data'!$AX$48))</f>
        <v/>
      </c>
      <c r="BX190" s="681" t="str">
        <f ca="1">IF($AU190="","",DATA!DG139)</f>
        <v/>
      </c>
      <c r="BY190" s="680" t="str">
        <f ca="1">IF($AU190="","",OFFSET(DATA!DE139,0,'Intermediate Data'!$AX$48))</f>
        <v/>
      </c>
      <c r="BZ190" s="681" t="str">
        <f ca="1">IF($AU190="","",DATA!DH139)</f>
        <v/>
      </c>
      <c r="CA190" s="90" t="str">
        <f t="shared" ca="1" si="39"/>
        <v/>
      </c>
      <c r="CB190" s="99" t="str">
        <f t="shared" ca="1" si="40"/>
        <v/>
      </c>
      <c r="CC190" s="90" t="str">
        <f t="shared" ca="1" si="41"/>
        <v/>
      </c>
      <c r="CD190" s="90" t="str">
        <f t="shared" ca="1" si="42"/>
        <v/>
      </c>
      <c r="CF190" s="90" t="str">
        <f ca="1">IF($CD190="","",IF(OFFSET(AV$55,'Intermediate Data'!$CD190,0)=-98,"Unknown",IF(OFFSET(AV$55,'Intermediate Data'!$CD190,0)=-99,"N/A",OFFSET(AV$55,'Intermediate Data'!$CD190,0))))</f>
        <v/>
      </c>
      <c r="CG190" s="90" t="str">
        <f ca="1">IF($CD190="","",IF(OFFSET(AW$55,'Intermediate Data'!$CD190,0)=-98,"",IF(OFFSET(AW$55,'Intermediate Data'!$CD190,0)=-99,"N/A",OFFSET(AW$55,'Intermediate Data'!$CD190,0))))</f>
        <v/>
      </c>
      <c r="CH190" s="90" t="str">
        <f ca="1">IF($CD190="","",IF(OFFSET(AX$55,'Intermediate Data'!$CD190,0)=-98,"Unknown",IF(OFFSET(AX$55,'Intermediate Data'!$CD190,0)=-99,"N/A",OFFSET(AX$55,'Intermediate Data'!$CD190,0))))</f>
        <v/>
      </c>
      <c r="CI190" s="125" t="str">
        <f ca="1">IF($CD190="","",IF(OFFSET(AY$55,'Intermediate Data'!$CD190,0)=-98,"Unknown",IF(OFFSET(AY$55,'Intermediate Data'!$CD190,0)=-99,"No spec",OFFSET(AY$55,'Intermediate Data'!$CD190,0))))</f>
        <v/>
      </c>
      <c r="CJ190" s="125" t="str">
        <f ca="1">IF($CD190="","",IF(OFFSET(AZ$55,'Intermediate Data'!$CD190,0)=-98,"Unknown",IF(OFFSET(AZ$55,'Intermediate Data'!$CD190,0)=-99,"N/A",OFFSET(AZ$55,'Intermediate Data'!$CD190,0))))</f>
        <v/>
      </c>
      <c r="CK190" s="90" t="str">
        <f ca="1">IF($CD190="","",IF(OFFSET(BA$55,'Intermediate Data'!$CD190,0)=-98,"Unknown",IF(OFFSET(BA$55,'Intermediate Data'!$CD190,0)=-99,"N/A",OFFSET(BA$55,'Intermediate Data'!$CD190,0))))</f>
        <v/>
      </c>
      <c r="CL190" s="90" t="str">
        <f ca="1">IF($CD190="","",IF(OFFSET(BB$55,'Intermediate Data'!$CD190,$AX$50)=-98,"Unknown",IF(OFFSET(BB$55,'Intermediate Data'!$CD190,$AX$50)="N/A","",OFFSET(BB$55,'Intermediate Data'!$CD190,$AX$50))))</f>
        <v/>
      </c>
      <c r="CM190" s="90" t="str">
        <f ca="1">IF($CD190="","",IF(OFFSET(BG$55,'Intermediate Data'!$CD190,0)="ET","ET",""))</f>
        <v/>
      </c>
      <c r="CN190" s="90" t="str">
        <f ca="1">IF($CD190="","",IF(OFFSET(BH$55,'Intermediate Data'!$CD190,$AX$50)=-98,"Unknown",IF(OFFSET(BH$55,'Intermediate Data'!$CD190,$AX$50)="N/A","",OFFSET(BH$55,'Intermediate Data'!$CD190,$AX$50))))</f>
        <v/>
      </c>
      <c r="CO190" s="90" t="str">
        <f ca="1">IF($CD190="","",IF(OFFSET(BM$55,'Intermediate Data'!$CD190,0)=-98,"Not published",IF(OFFSET(BM$55,'Intermediate Data'!$CD190,0)=-99,"No spec",OFFSET(BM$55,'Intermediate Data'!$CD190,0))))</f>
        <v/>
      </c>
      <c r="CP190" s="114" t="str">
        <f ca="1">IF($CD190="","",IF(OFFSET(BN$55,'Intermediate Data'!$CD190,0)=-98,"Unknown",IF(OFFSET(BN$55,'Intermediate Data'!$CD190,0)=-99,"N/A",OFFSET(BN$55,'Intermediate Data'!$CD190,0))))</f>
        <v/>
      </c>
      <c r="CQ190" s="114" t="str">
        <f ca="1">IF($CD190="","",IF(OFFSET(BO$55,'Intermediate Data'!$CD190,0)=-98,"Unknown",IF(OFFSET(BO$55,'Intermediate Data'!$CD190,0)=-99,"N/A",OFFSET(BO$55,'Intermediate Data'!$CD190,0))))</f>
        <v/>
      </c>
      <c r="CR190" s="114" t="str">
        <f ca="1">IF($CD190="","",IF(OFFSET(BP$55,'Intermediate Data'!$CD190,0)=-98,"Unknown",IF(OFFSET(BP$55,'Intermediate Data'!$CD190,0)=-99,"N/A",OFFSET(BP$55,'Intermediate Data'!$CD190,0))))</f>
        <v/>
      </c>
      <c r="CS190" s="114" t="str">
        <f ca="1">IF($CD190="","",IF(OFFSET(BQ$55,'Intermediate Data'!$CD190,0)=-98,"Unknown",IF(OFFSET(BQ$55,'Intermediate Data'!$CD190,0)=-99,"N/A",OFFSET(BQ$55,'Intermediate Data'!$CD190,0))))</f>
        <v/>
      </c>
      <c r="CT190" s="114" t="str">
        <f ca="1">IF($CD190="","",IF(OFFSET(BR$55,'Intermediate Data'!$CD190,0)=-98,"Unknown",IF(OFFSET(BR$55,'Intermediate Data'!$CD190,0)=-99,"N/A",OFFSET(BR$55,'Intermediate Data'!$CD190,0))))</f>
        <v/>
      </c>
      <c r="CU190" s="114" t="str">
        <f ca="1">IF($CD190="","",IF(OFFSET(BS$55,'Intermediate Data'!$CD190,0)=-98,"Unknown",IF(OFFSET(BS$55,'Intermediate Data'!$CD190,0)=-99,"N/A",OFFSET(BS$55,'Intermediate Data'!$CD190,0))))</f>
        <v/>
      </c>
      <c r="CV190" s="114" t="str">
        <f ca="1">IF($CD190="","",IF(OFFSET(BT$55,'Intermediate Data'!$CD190,0)=-98,"Unknown",IF(OFFSET(BT$55,'Intermediate Data'!$CD190,0)=-99,"N/A",OFFSET(BT$55,'Intermediate Data'!$CD190,0))))</f>
        <v/>
      </c>
      <c r="CW190" s="114" t="str">
        <f ca="1">IF($CD190="","",IF(OFFSET(BU$55,'Intermediate Data'!$CD190,0)=-98,"Unknown",IF(OFFSET(BU$55,'Intermediate Data'!$CD190,0)=-99,"N/A",OFFSET(BU$55,'Intermediate Data'!$CD190,0))))</f>
        <v/>
      </c>
      <c r="CX190" s="114" t="str">
        <f ca="1">IF($CD190="","",IF(OFFSET(BV$55,'Intermediate Data'!$CD190,0)=-98,"Unknown",IF(OFFSET(BV$55,'Intermediate Data'!$CD190,0)=-99,"N/A",OFFSET(BV$55,'Intermediate Data'!$CD190,0))))</f>
        <v/>
      </c>
      <c r="CY190" s="682" t="str">
        <f ca="1">IF($CD190="","",IF(OFFSET(BW$55,'Intermediate Data'!$CD190,0)=-98,"Unknown",IF(OFFSET(BW$55,'Intermediate Data'!$CD190,0)="N/A","",OFFSET(BW$55,'Intermediate Data'!$CD190,0))))</f>
        <v/>
      </c>
      <c r="CZ190" s="682" t="str">
        <f ca="1">IF($CD190="","",IF(OFFSET(BX$55,'Intermediate Data'!$CD190,0)=-98,"Unknown",IF(OFFSET(BX$55,'Intermediate Data'!$CD190,0)="N/A","",OFFSET(BX$55,'Intermediate Data'!$CD190,0))))</f>
        <v/>
      </c>
      <c r="DA190" s="682" t="str">
        <f ca="1">IF($CD190="","",IF(OFFSET(BY$55,'Intermediate Data'!$CD190,0)=-98,"Unknown",IF(OFFSET(BY$55,'Intermediate Data'!$CD190,0)="N/A","",OFFSET(BY$55,'Intermediate Data'!$CD190,0))))</f>
        <v/>
      </c>
      <c r="DB190" s="682" t="str">
        <f ca="1">IF($CD190="","",IF(OFFSET(BZ$55,'Intermediate Data'!$CD190,0)=-98,"Unknown",IF(OFFSET(BZ$55,'Intermediate Data'!$CD190,0)="N/A","",OFFSET(BZ$55,'Intermediate Data'!$CD190,0))))</f>
        <v/>
      </c>
    </row>
    <row r="191" spans="1:106" x14ac:dyDescent="0.2">
      <c r="A191" s="90">
        <f ca="1">IF(OFFSET(DATA!F140,0,$D$48)='Intermediate Data'!$E$48,IF(OR($E$49=$C$27,$E$48=$B$4),DATA!A140,IF($G$49=DATA!D140,DATA!A140,"")),"")</f>
        <v>136</v>
      </c>
      <c r="B191" s="90">
        <f ca="1">IF($A191="","",DATA!EH140)</f>
        <v>4</v>
      </c>
      <c r="C191" s="90" t="str">
        <f ca="1">IF($A191="","",DATA!B140)</f>
        <v>Water softener</v>
      </c>
      <c r="D191" s="90">
        <f ca="1">IF($A191="","",OFFSET(DATA!$H140,0,($D$50*5)))</f>
        <v>-99</v>
      </c>
      <c r="E191" s="90">
        <f ca="1">IF($A191="","",OFFSET(DATA!$H140,0,($D$50*5)+1))</f>
        <v>-99</v>
      </c>
      <c r="F191" s="90">
        <f ca="1">IF($A191="","",OFFSET(DATA!$H140,0,($D$50*5)+2))</f>
        <v>-99</v>
      </c>
      <c r="G191" s="90">
        <f ca="1">IF($A191="","",OFFSET(DATA!$H140,0,($D$50*5)+3))</f>
        <v>-99</v>
      </c>
      <c r="H191" s="90">
        <f ca="1">IF($A191="","",OFFSET(DATA!$H140,0,($D$50*5)+4))</f>
        <v>-99</v>
      </c>
      <c r="I191" s="90">
        <f t="shared" ca="1" si="31"/>
        <v>-99</v>
      </c>
      <c r="J191" s="90" t="str">
        <f t="shared" ca="1" si="32"/>
        <v/>
      </c>
      <c r="K191" s="90">
        <f ca="1">IF($A191="","",OFFSET(DATA!$AG140,0,($D$50*5)))</f>
        <v>-99</v>
      </c>
      <c r="L191" s="90">
        <f ca="1">IF($A191="","",OFFSET(DATA!$AG140,0,($D$50*5)+1))</f>
        <v>-99</v>
      </c>
      <c r="M191" s="90">
        <f ca="1">IF($A191="","",OFFSET(DATA!$AG140,0,($D$50*5)+2))</f>
        <v>-99</v>
      </c>
      <c r="N191" s="90">
        <f ca="1">IF($A191="","",OFFSET(DATA!$AG140,0,($D$50*5)+3))</f>
        <v>-99</v>
      </c>
      <c r="O191" s="90">
        <f ca="1">IF($A191="","",OFFSET(DATA!$AG140,0,($D$50*5)+4))</f>
        <v>-99</v>
      </c>
      <c r="P191" s="90">
        <f t="shared" ca="1" si="33"/>
        <v>-99</v>
      </c>
      <c r="Q191" s="90" t="str">
        <f t="shared" ca="1" si="34"/>
        <v/>
      </c>
      <c r="R191" s="699">
        <f ca="1">IF($A191="","",IF(DATA!BF140="",-99,DATA!BF140))</f>
        <v>-99</v>
      </c>
      <c r="S191" s="90">
        <f ca="1">IF($A191="","",IF(DATA!BG140="",-99,DATA!BF140-DATA!BG140))</f>
        <v>-99</v>
      </c>
      <c r="T191" s="90">
        <f ca="1">IF($A191="","",DATA!BH140)</f>
        <v>-99</v>
      </c>
      <c r="U191" s="90">
        <f ca="1">IF($A191="","",OFFSET(DATA!BM140,0,$D$48))</f>
        <v>-99</v>
      </c>
      <c r="V191" s="90">
        <f t="shared" ca="1" si="30"/>
        <v>4</v>
      </c>
      <c r="W191" s="99">
        <f t="shared" ca="1" si="35"/>
        <v>3.9998812019100001</v>
      </c>
      <c r="X191" s="112" t="str">
        <f t="shared" ca="1" si="36"/>
        <v/>
      </c>
      <c r="Y191" s="90" t="str">
        <f t="shared" ca="1" si="37"/>
        <v/>
      </c>
      <c r="AA191" s="90" t="str">
        <f ca="1">IF($Y191="","",IF(OFFSET(C$55,'Intermediate Data'!$Y191,0)=-98,"Unknown",IF(OFFSET(C$55,'Intermediate Data'!$Y191,0)=-99,"N/A",OFFSET(C$55,'Intermediate Data'!$Y191,0))))</f>
        <v/>
      </c>
      <c r="AB191" s="90" t="str">
        <f ca="1">IF($Y191="","",IF(OFFSET(D$55,'Intermediate Data'!$Y191,0)=-98,"N/A",IF(OFFSET(D$55,'Intermediate Data'!$Y191,0)=-99,"N/A",OFFSET(D$55,'Intermediate Data'!$Y191,0))))</f>
        <v/>
      </c>
      <c r="AC191" s="90" t="str">
        <f ca="1">IF($Y191="","",IF(OFFSET(E$55,'Intermediate Data'!$Y191,0)=-98,"N/A",IF(OFFSET(E$55,'Intermediate Data'!$Y191,0)=-99,"N/A",OFFSET(E$55,'Intermediate Data'!$Y191,0))))</f>
        <v/>
      </c>
      <c r="AD191" s="90" t="str">
        <f ca="1">IF($Y191="","",IF(OFFSET(F$55,'Intermediate Data'!$Y191,0)=-98,"N/A",IF(OFFSET(F$55,'Intermediate Data'!$Y191,0)=-99,"N/A",OFFSET(F$55,'Intermediate Data'!$Y191,0))))</f>
        <v/>
      </c>
      <c r="AE191" s="90" t="str">
        <f ca="1">IF($Y191="","",IF(OFFSET(G$55,'Intermediate Data'!$Y191,0)=-98,"N/A",IF(OFFSET(G$55,'Intermediate Data'!$Y191,0)=-99,"N/A",OFFSET(G$55,'Intermediate Data'!$Y191,0))))</f>
        <v/>
      </c>
      <c r="AF191" s="90" t="str">
        <f ca="1">IF($Y191="","",IF(OFFSET(H$55,'Intermediate Data'!$Y191,0)=-98,"N/A",IF(OFFSET(H$55,'Intermediate Data'!$Y191,0)=-99,"N/A",OFFSET(H$55,'Intermediate Data'!$Y191,0))))</f>
        <v/>
      </c>
      <c r="AG191" s="90" t="str">
        <f ca="1">IF($Y191="","",IF(OFFSET(I$55,'Intermediate Data'!$Y191,0)=-98,"N/A",IF(OFFSET(I$55,'Intermediate Data'!$Y191,0)=-99,"N/A",OFFSET(I$55,'Intermediate Data'!$Y191,0))))</f>
        <v/>
      </c>
      <c r="AH191" s="90" t="str">
        <f ca="1">IF($Y191="","",IF(OFFSET(J$55,'Intermediate Data'!$Y191,0)=-98,"N/A",IF(OFFSET(J$55,'Intermediate Data'!$Y191,0)=-99,"N/A",OFFSET(J$55,'Intermediate Data'!$Y191,0))))</f>
        <v/>
      </c>
      <c r="AI191" s="90" t="str">
        <f ca="1">IF($Y191="","",IF(OFFSET(K$55,'Intermediate Data'!$Y191,0)=-98,"N/A",IF(OFFSET(K$55,'Intermediate Data'!$Y191,0)=-99,"N/A",OFFSET(K$55,'Intermediate Data'!$Y191,0))))</f>
        <v/>
      </c>
      <c r="AJ191" s="90" t="str">
        <f ca="1">IF($Y191="","",IF(OFFSET(L$55,'Intermediate Data'!$Y191,0)=-98,"N/A",IF(OFFSET(L$55,'Intermediate Data'!$Y191,0)=-99,"N/A",OFFSET(L$55,'Intermediate Data'!$Y191,0))))</f>
        <v/>
      </c>
      <c r="AK191" s="90" t="str">
        <f ca="1">IF($Y191="","",IF(OFFSET(M$55,'Intermediate Data'!$Y191,0)=-98,"N/A",IF(OFFSET(M$55,'Intermediate Data'!$Y191,0)=-99,"N/A",OFFSET(M$55,'Intermediate Data'!$Y191,0))))</f>
        <v/>
      </c>
      <c r="AL191" s="90" t="str">
        <f ca="1">IF($Y191="","",IF(OFFSET(N$55,'Intermediate Data'!$Y191,0)=-98,"N/A",IF(OFFSET(N$55,'Intermediate Data'!$Y191,0)=-99,"N/A",OFFSET(N$55,'Intermediate Data'!$Y191,0))))</f>
        <v/>
      </c>
      <c r="AM191" s="90" t="str">
        <f ca="1">IF($Y191="","",IF(OFFSET(O$55,'Intermediate Data'!$Y191,0)=-98,"N/A",IF(OFFSET(O$55,'Intermediate Data'!$Y191,0)=-99,"N/A",OFFSET(O$55,'Intermediate Data'!$Y191,0))))</f>
        <v/>
      </c>
      <c r="AN191" s="90" t="str">
        <f ca="1">IF($Y191="","",IF(OFFSET(P$55,'Intermediate Data'!$Y191,0)=-98,"N/A",IF(OFFSET(P$55,'Intermediate Data'!$Y191,0)=-99,"N/A",OFFSET(P$55,'Intermediate Data'!$Y191,0))))</f>
        <v/>
      </c>
      <c r="AO191" s="90" t="str">
        <f ca="1">IF($Y191="","",IF(OFFSET(Q$55,'Intermediate Data'!$Y191,0)=-98,"N/A",IF(OFFSET(Q$55,'Intermediate Data'!$Y191,0)=-99,"N/A",OFFSET(Q$55,'Intermediate Data'!$Y191,0))))</f>
        <v/>
      </c>
      <c r="AP191" s="697" t="str">
        <f ca="1">IF($Y191="","",IF(OFFSET(S$55,'Intermediate Data'!$Y191,0)=-98,"",IF(OFFSET(S$55,'Intermediate Data'!$Y191,0)=-99,"",OFFSET(S$55,'Intermediate Data'!$Y191,0))))</f>
        <v/>
      </c>
      <c r="AQ191" s="90" t="str">
        <f ca="1">IF($Y191="","",IF(OFFSET(T$55,'Intermediate Data'!$Y191,0)=-98,"Not published",IF(OFFSET(T$55,'Intermediate Data'!$Y191,0)=-99,"",OFFSET(T$55,'Intermediate Data'!$Y191,0))))</f>
        <v/>
      </c>
      <c r="AR191" s="90" t="str">
        <f ca="1">IF($Y191="","",IF(OFFSET(U$55,'Intermediate Data'!$Y191,0)=-98,"Unknown",IF(OFFSET(U$55,'Intermediate Data'!$Y191,0)=-99,"",OFFSET(U$55,'Intermediate Data'!$Y191,0))))</f>
        <v/>
      </c>
      <c r="AU191" s="112" t="str">
        <f ca="1">IF(AND(OFFSET(DATA!$F140,0,$AX$48)='Intermediate Data'!$AY$48,DATA!$E140="Tier 1"),IF(OR($AX$49=0,$AX$48=1),DATA!A140,IF(AND($AX$49=1,INDEX('Intermediate Data'!$AY$25:$AY$44,MATCH(DATA!$B140,'Intermediate Data'!$AX$25:$AX$44,0))=TRUE),DATA!A140,"")),"")</f>
        <v/>
      </c>
      <c r="AV191" s="112" t="str">
        <f ca="1">IF($AU191="","",DATA!B140)</f>
        <v/>
      </c>
      <c r="AW191" s="112" t="str">
        <f ca="1">IF(OR($AU191="",DATA!BI140=""),"",DATA!BI140)</f>
        <v/>
      </c>
      <c r="AX191" s="112" t="str">
        <f ca="1">IF(OR($AU191="",OFFSET(DATA!BK140,0,$AX$48)=""),"",OFFSET(DATA!BK140,0,$AX$48))</f>
        <v/>
      </c>
      <c r="AY191" s="112" t="str">
        <f ca="1">IF(OR($AU191="",OFFSET(DATA!BM140,0,$AX$48)=""),"",OFFSET(DATA!BM140,0,$AX$48))</f>
        <v/>
      </c>
      <c r="AZ191" s="112" t="str">
        <f ca="1">IF(OR($AU191="",OFFSET(DATA!BO140,0,'Intermediate Data'!$AX$48)=""),"",OFFSET(DATA!BO140,0,$AX$48))</f>
        <v/>
      </c>
      <c r="BA191" s="112" t="str">
        <f ca="1">IF(OR($AU191="",DATA!BQ140=""),"",DATA!BQ140)</f>
        <v/>
      </c>
      <c r="BB191" s="112" t="str">
        <f ca="1">IF($AU191="","",OFFSET(DATA!BS140,0,$AX$48))</f>
        <v/>
      </c>
      <c r="BC191" s="112" t="str">
        <f ca="1">IF($AU191="","",OFFSET(DATA!BU140,0,$AX$48))</f>
        <v/>
      </c>
      <c r="BD191" s="112" t="str">
        <f ca="1">IF($AU191="","",OFFSET(DATA!BW140,0,$AX$48))</f>
        <v/>
      </c>
      <c r="BE191" s="112" t="str">
        <f ca="1">IF($AU191="","",OFFSET(DATA!BY140,0,$AX$48))</f>
        <v/>
      </c>
      <c r="BF191" s="112" t="str">
        <f ca="1">IF($AU191="","",OFFSET(DATA!CA140,0,$AX$48))</f>
        <v/>
      </c>
      <c r="BG191" s="112" t="str">
        <f ca="1">IF($AU191="","",DATA!CC140)</f>
        <v/>
      </c>
      <c r="BH191" s="112" t="str">
        <f ca="1">IF($AU191="","",OFFSET(DATA!CE140,0,$AX$48))</f>
        <v/>
      </c>
      <c r="BI191" s="112" t="str">
        <f ca="1">IF($AU191="","",OFFSET(DATA!CG140,0,$AX$48))</f>
        <v/>
      </c>
      <c r="BJ191" s="112" t="str">
        <f ca="1">IF($AU191="","",OFFSET(DATA!CI140,0,$AX$48))</f>
        <v/>
      </c>
      <c r="BK191" s="112" t="str">
        <f ca="1">IF($AU191="","",OFFSET(DATA!CK140,0,$AX$48))</f>
        <v/>
      </c>
      <c r="BL191" s="112" t="str">
        <f ca="1">IF($AU191="","",OFFSET(DATA!CM140,0,$AX$48))</f>
        <v/>
      </c>
      <c r="BM191" s="112" t="str">
        <f ca="1">IF($AU191="","",DATA!BH140)</f>
        <v/>
      </c>
      <c r="BN191" s="112" t="str">
        <f ca="1">IF($AU191="","",DATA!DS140)</f>
        <v/>
      </c>
      <c r="BO191" s="112" t="str">
        <f ca="1">IF($AU191="","",DATA!DU140)</f>
        <v/>
      </c>
      <c r="BP191" s="112" t="str">
        <f ca="1">IF($AU191="","",DATA!DV140)</f>
        <v/>
      </c>
      <c r="BQ191" s="112" t="str">
        <f ca="1">IF($AU191="","",DATA!DX140)</f>
        <v/>
      </c>
      <c r="BR191" s="112" t="str">
        <f ca="1">IF($AU191="","",DATA!DZ140)</f>
        <v/>
      </c>
      <c r="BS191" s="171" t="str">
        <f ca="1">IF($AU191="","",DATA!EA140)</f>
        <v/>
      </c>
      <c r="BT191" s="171" t="str">
        <f ca="1">IF($AU191="","",DATA!EC140)</f>
        <v/>
      </c>
      <c r="BU191" s="171" t="str">
        <f ca="1">IF($AU191="","",DATA!EF140)</f>
        <v/>
      </c>
      <c r="BV191" s="113" t="str">
        <f t="shared" ca="1" si="38"/>
        <v/>
      </c>
      <c r="BW191" s="680" t="str">
        <f ca="1">IF(AU191="","",OFFSET(DATA!DC140,0,'Intermediate Data'!$AX$48))</f>
        <v/>
      </c>
      <c r="BX191" s="681" t="str">
        <f ca="1">IF($AU191="","",DATA!DG140)</f>
        <v/>
      </c>
      <c r="BY191" s="680" t="str">
        <f ca="1">IF($AU191="","",OFFSET(DATA!DE140,0,'Intermediate Data'!$AX$48))</f>
        <v/>
      </c>
      <c r="BZ191" s="681" t="str">
        <f ca="1">IF($AU191="","",DATA!DH140)</f>
        <v/>
      </c>
      <c r="CA191" s="90" t="str">
        <f t="shared" ca="1" si="39"/>
        <v/>
      </c>
      <c r="CB191" s="99" t="str">
        <f t="shared" ca="1" si="40"/>
        <v/>
      </c>
      <c r="CC191" s="90" t="str">
        <f t="shared" ca="1" si="41"/>
        <v/>
      </c>
      <c r="CD191" s="90" t="str">
        <f t="shared" ca="1" si="42"/>
        <v/>
      </c>
      <c r="CF191" s="90" t="str">
        <f ca="1">IF($CD191="","",IF(OFFSET(AV$55,'Intermediate Data'!$CD191,0)=-98,"Unknown",IF(OFFSET(AV$55,'Intermediate Data'!$CD191,0)=-99,"N/A",OFFSET(AV$55,'Intermediate Data'!$CD191,0))))</f>
        <v/>
      </c>
      <c r="CG191" s="90" t="str">
        <f ca="1">IF($CD191="","",IF(OFFSET(AW$55,'Intermediate Data'!$CD191,0)=-98,"",IF(OFFSET(AW$55,'Intermediate Data'!$CD191,0)=-99,"N/A",OFFSET(AW$55,'Intermediate Data'!$CD191,0))))</f>
        <v/>
      </c>
      <c r="CH191" s="90" t="str">
        <f ca="1">IF($CD191="","",IF(OFFSET(AX$55,'Intermediate Data'!$CD191,0)=-98,"Unknown",IF(OFFSET(AX$55,'Intermediate Data'!$CD191,0)=-99,"N/A",OFFSET(AX$55,'Intermediate Data'!$CD191,0))))</f>
        <v/>
      </c>
      <c r="CI191" s="125" t="str">
        <f ca="1">IF($CD191="","",IF(OFFSET(AY$55,'Intermediate Data'!$CD191,0)=-98,"Unknown",IF(OFFSET(AY$55,'Intermediate Data'!$CD191,0)=-99,"No spec",OFFSET(AY$55,'Intermediate Data'!$CD191,0))))</f>
        <v/>
      </c>
      <c r="CJ191" s="125" t="str">
        <f ca="1">IF($CD191="","",IF(OFFSET(AZ$55,'Intermediate Data'!$CD191,0)=-98,"Unknown",IF(OFFSET(AZ$55,'Intermediate Data'!$CD191,0)=-99,"N/A",OFFSET(AZ$55,'Intermediate Data'!$CD191,0))))</f>
        <v/>
      </c>
      <c r="CK191" s="90" t="str">
        <f ca="1">IF($CD191="","",IF(OFFSET(BA$55,'Intermediate Data'!$CD191,0)=-98,"Unknown",IF(OFFSET(BA$55,'Intermediate Data'!$CD191,0)=-99,"N/A",OFFSET(BA$55,'Intermediate Data'!$CD191,0))))</f>
        <v/>
      </c>
      <c r="CL191" s="90" t="str">
        <f ca="1">IF($CD191="","",IF(OFFSET(BB$55,'Intermediate Data'!$CD191,$AX$50)=-98,"Unknown",IF(OFFSET(BB$55,'Intermediate Data'!$CD191,$AX$50)="N/A","",OFFSET(BB$55,'Intermediate Data'!$CD191,$AX$50))))</f>
        <v/>
      </c>
      <c r="CM191" s="90" t="str">
        <f ca="1">IF($CD191="","",IF(OFFSET(BG$55,'Intermediate Data'!$CD191,0)="ET","ET",""))</f>
        <v/>
      </c>
      <c r="CN191" s="90" t="str">
        <f ca="1">IF($CD191="","",IF(OFFSET(BH$55,'Intermediate Data'!$CD191,$AX$50)=-98,"Unknown",IF(OFFSET(BH$55,'Intermediate Data'!$CD191,$AX$50)="N/A","",OFFSET(BH$55,'Intermediate Data'!$CD191,$AX$50))))</f>
        <v/>
      </c>
      <c r="CO191" s="90" t="str">
        <f ca="1">IF($CD191="","",IF(OFFSET(BM$55,'Intermediate Data'!$CD191,0)=-98,"Not published",IF(OFFSET(BM$55,'Intermediate Data'!$CD191,0)=-99,"No spec",OFFSET(BM$55,'Intermediate Data'!$CD191,0))))</f>
        <v/>
      </c>
      <c r="CP191" s="114" t="str">
        <f ca="1">IF($CD191="","",IF(OFFSET(BN$55,'Intermediate Data'!$CD191,0)=-98,"Unknown",IF(OFFSET(BN$55,'Intermediate Data'!$CD191,0)=-99,"N/A",OFFSET(BN$55,'Intermediate Data'!$CD191,0))))</f>
        <v/>
      </c>
      <c r="CQ191" s="114" t="str">
        <f ca="1">IF($CD191="","",IF(OFFSET(BO$55,'Intermediate Data'!$CD191,0)=-98,"Unknown",IF(OFFSET(BO$55,'Intermediate Data'!$CD191,0)=-99,"N/A",OFFSET(BO$55,'Intermediate Data'!$CD191,0))))</f>
        <v/>
      </c>
      <c r="CR191" s="114" t="str">
        <f ca="1">IF($CD191="","",IF(OFFSET(BP$55,'Intermediate Data'!$CD191,0)=-98,"Unknown",IF(OFFSET(BP$55,'Intermediate Data'!$CD191,0)=-99,"N/A",OFFSET(BP$55,'Intermediate Data'!$CD191,0))))</f>
        <v/>
      </c>
      <c r="CS191" s="114" t="str">
        <f ca="1">IF($CD191="","",IF(OFFSET(BQ$55,'Intermediate Data'!$CD191,0)=-98,"Unknown",IF(OFFSET(BQ$55,'Intermediate Data'!$CD191,0)=-99,"N/A",OFFSET(BQ$55,'Intermediate Data'!$CD191,0))))</f>
        <v/>
      </c>
      <c r="CT191" s="114" t="str">
        <f ca="1">IF($CD191="","",IF(OFFSET(BR$55,'Intermediate Data'!$CD191,0)=-98,"Unknown",IF(OFFSET(BR$55,'Intermediate Data'!$CD191,0)=-99,"N/A",OFFSET(BR$55,'Intermediate Data'!$CD191,0))))</f>
        <v/>
      </c>
      <c r="CU191" s="114" t="str">
        <f ca="1">IF($CD191="","",IF(OFFSET(BS$55,'Intermediate Data'!$CD191,0)=-98,"Unknown",IF(OFFSET(BS$55,'Intermediate Data'!$CD191,0)=-99,"N/A",OFFSET(BS$55,'Intermediate Data'!$CD191,0))))</f>
        <v/>
      </c>
      <c r="CV191" s="114" t="str">
        <f ca="1">IF($CD191="","",IF(OFFSET(BT$55,'Intermediate Data'!$CD191,0)=-98,"Unknown",IF(OFFSET(BT$55,'Intermediate Data'!$CD191,0)=-99,"N/A",OFFSET(BT$55,'Intermediate Data'!$CD191,0))))</f>
        <v/>
      </c>
      <c r="CW191" s="114" t="str">
        <f ca="1">IF($CD191="","",IF(OFFSET(BU$55,'Intermediate Data'!$CD191,0)=-98,"Unknown",IF(OFFSET(BU$55,'Intermediate Data'!$CD191,0)=-99,"N/A",OFFSET(BU$55,'Intermediate Data'!$CD191,0))))</f>
        <v/>
      </c>
      <c r="CX191" s="114" t="str">
        <f ca="1">IF($CD191="","",IF(OFFSET(BV$55,'Intermediate Data'!$CD191,0)=-98,"Unknown",IF(OFFSET(BV$55,'Intermediate Data'!$CD191,0)=-99,"N/A",OFFSET(BV$55,'Intermediate Data'!$CD191,0))))</f>
        <v/>
      </c>
      <c r="CY191" s="682" t="str">
        <f ca="1">IF($CD191="","",IF(OFFSET(BW$55,'Intermediate Data'!$CD191,0)=-98,"Unknown",IF(OFFSET(BW$55,'Intermediate Data'!$CD191,0)="N/A","",OFFSET(BW$55,'Intermediate Data'!$CD191,0))))</f>
        <v/>
      </c>
      <c r="CZ191" s="682" t="str">
        <f ca="1">IF($CD191="","",IF(OFFSET(BX$55,'Intermediate Data'!$CD191,0)=-98,"Unknown",IF(OFFSET(BX$55,'Intermediate Data'!$CD191,0)="N/A","",OFFSET(BX$55,'Intermediate Data'!$CD191,0))))</f>
        <v/>
      </c>
      <c r="DA191" s="682" t="str">
        <f ca="1">IF($CD191="","",IF(OFFSET(BY$55,'Intermediate Data'!$CD191,0)=-98,"Unknown",IF(OFFSET(BY$55,'Intermediate Data'!$CD191,0)="N/A","",OFFSET(BY$55,'Intermediate Data'!$CD191,0))))</f>
        <v/>
      </c>
      <c r="DB191" s="682" t="str">
        <f ca="1">IF($CD191="","",IF(OFFSET(BZ$55,'Intermediate Data'!$CD191,0)=-98,"Unknown",IF(OFFSET(BZ$55,'Intermediate Data'!$CD191,0)="N/A","",OFFSET(BZ$55,'Intermediate Data'!$CD191,0))))</f>
        <v/>
      </c>
    </row>
    <row r="192" spans="1:106" x14ac:dyDescent="0.2">
      <c r="A192" s="90">
        <f ca="1">IF(OFFSET(DATA!F141,0,$D$48)='Intermediate Data'!$E$48,IF(OR($E$49=$C$27,$E$48=$B$4),DATA!A141,IF($G$49=DATA!D141,DATA!A141,"")),"")</f>
        <v>137</v>
      </c>
      <c r="B192" s="90">
        <f ca="1">IF($A192="","",DATA!EH141)</f>
        <v>2</v>
      </c>
      <c r="C192" s="90" t="str">
        <f ca="1">IF($A192="","",DATA!B141)</f>
        <v>Well pump</v>
      </c>
      <c r="D192" s="90">
        <f ca="1">IF($A192="","",OFFSET(DATA!$H141,0,($D$50*5)))</f>
        <v>-99</v>
      </c>
      <c r="E192" s="90">
        <f ca="1">IF($A192="","",OFFSET(DATA!$H141,0,($D$50*5)+1))</f>
        <v>4.2697321490251315E-2</v>
      </c>
      <c r="F192" s="90">
        <f ca="1">IF($A192="","",OFFSET(DATA!$H141,0,($D$50*5)+2))</f>
        <v>-99</v>
      </c>
      <c r="G192" s="90">
        <f ca="1">IF($A192="","",OFFSET(DATA!$H141,0,($D$50*5)+3))</f>
        <v>4.8249721149431955E-2</v>
      </c>
      <c r="H192" s="90">
        <f ca="1">IF($A192="","",OFFSET(DATA!$H141,0,($D$50*5)+4))</f>
        <v>-99</v>
      </c>
      <c r="I192" s="90">
        <f t="shared" ca="1" si="31"/>
        <v>4.8249721149431955E-2</v>
      </c>
      <c r="J192" s="90" t="str">
        <f t="shared" ca="1" si="32"/>
        <v>RASS</v>
      </c>
      <c r="K192" s="90">
        <f ca="1">IF($A192="","",OFFSET(DATA!$AG141,0,($D$50*5)))</f>
        <v>-99</v>
      </c>
      <c r="L192" s="90">
        <f ca="1">IF($A192="","",OFFSET(DATA!$AG141,0,($D$50*5)+1))</f>
        <v>-99</v>
      </c>
      <c r="M192" s="90">
        <f ca="1">IF($A192="","",OFFSET(DATA!$AG141,0,($D$50*5)+2))</f>
        <v>-99</v>
      </c>
      <c r="N192" s="90">
        <f ca="1">IF($A192="","",OFFSET(DATA!$AG141,0,($D$50*5)+3))</f>
        <v>-99</v>
      </c>
      <c r="O192" s="90">
        <f ca="1">IF($A192="","",OFFSET(DATA!$AG141,0,($D$50*5)+4))</f>
        <v>-99</v>
      </c>
      <c r="P192" s="90">
        <f t="shared" ca="1" si="33"/>
        <v>-99</v>
      </c>
      <c r="Q192" s="90" t="str">
        <f t="shared" ca="1" si="34"/>
        <v/>
      </c>
      <c r="R192" s="699">
        <f ca="1">IF($A192="","",IF(DATA!BF141="",-99,DATA!BF141))</f>
        <v>-99</v>
      </c>
      <c r="S192" s="90">
        <f ca="1">IF($A192="","",IF(DATA!BG141="",-99,DATA!BF141-DATA!BG141))</f>
        <v>-99</v>
      </c>
      <c r="T192" s="90">
        <f ca="1">IF($A192="","",DATA!BH141)</f>
        <v>-99</v>
      </c>
      <c r="U192" s="90">
        <f ca="1">IF($A192="","",OFFSET(DATA!BM141,0,$D$48))</f>
        <v>-99</v>
      </c>
      <c r="V192" s="90">
        <f t="shared" ca="1" si="30"/>
        <v>2</v>
      </c>
      <c r="W192" s="99">
        <f t="shared" ca="1" si="35"/>
        <v>1.9999109158396764</v>
      </c>
      <c r="X192" s="112" t="str">
        <f t="shared" ca="1" si="36"/>
        <v/>
      </c>
      <c r="Y192" s="90" t="str">
        <f t="shared" ca="1" si="37"/>
        <v/>
      </c>
      <c r="AA192" s="90" t="str">
        <f ca="1">IF($Y192="","",IF(OFFSET(C$55,'Intermediate Data'!$Y192,0)=-98,"Unknown",IF(OFFSET(C$55,'Intermediate Data'!$Y192,0)=-99,"N/A",OFFSET(C$55,'Intermediate Data'!$Y192,0))))</f>
        <v/>
      </c>
      <c r="AB192" s="90" t="str">
        <f ca="1">IF($Y192="","",IF(OFFSET(D$55,'Intermediate Data'!$Y192,0)=-98,"N/A",IF(OFFSET(D$55,'Intermediate Data'!$Y192,0)=-99,"N/A",OFFSET(D$55,'Intermediate Data'!$Y192,0))))</f>
        <v/>
      </c>
      <c r="AC192" s="90" t="str">
        <f ca="1">IF($Y192="","",IF(OFFSET(E$55,'Intermediate Data'!$Y192,0)=-98,"N/A",IF(OFFSET(E$55,'Intermediate Data'!$Y192,0)=-99,"N/A",OFFSET(E$55,'Intermediate Data'!$Y192,0))))</f>
        <v/>
      </c>
      <c r="AD192" s="90" t="str">
        <f ca="1">IF($Y192="","",IF(OFFSET(F$55,'Intermediate Data'!$Y192,0)=-98,"N/A",IF(OFFSET(F$55,'Intermediate Data'!$Y192,0)=-99,"N/A",OFFSET(F$55,'Intermediate Data'!$Y192,0))))</f>
        <v/>
      </c>
      <c r="AE192" s="90" t="str">
        <f ca="1">IF($Y192="","",IF(OFFSET(G$55,'Intermediate Data'!$Y192,0)=-98,"N/A",IF(OFFSET(G$55,'Intermediate Data'!$Y192,0)=-99,"N/A",OFFSET(G$55,'Intermediate Data'!$Y192,0))))</f>
        <v/>
      </c>
      <c r="AF192" s="90" t="str">
        <f ca="1">IF($Y192="","",IF(OFFSET(H$55,'Intermediate Data'!$Y192,0)=-98,"N/A",IF(OFFSET(H$55,'Intermediate Data'!$Y192,0)=-99,"N/A",OFFSET(H$55,'Intermediate Data'!$Y192,0))))</f>
        <v/>
      </c>
      <c r="AG192" s="90" t="str">
        <f ca="1">IF($Y192="","",IF(OFFSET(I$55,'Intermediate Data'!$Y192,0)=-98,"N/A",IF(OFFSET(I$55,'Intermediate Data'!$Y192,0)=-99,"N/A",OFFSET(I$55,'Intermediate Data'!$Y192,0))))</f>
        <v/>
      </c>
      <c r="AH192" s="90" t="str">
        <f ca="1">IF($Y192="","",IF(OFFSET(J$55,'Intermediate Data'!$Y192,0)=-98,"N/A",IF(OFFSET(J$55,'Intermediate Data'!$Y192,0)=-99,"N/A",OFFSET(J$55,'Intermediate Data'!$Y192,0))))</f>
        <v/>
      </c>
      <c r="AI192" s="90" t="str">
        <f ca="1">IF($Y192="","",IF(OFFSET(K$55,'Intermediate Data'!$Y192,0)=-98,"N/A",IF(OFFSET(K$55,'Intermediate Data'!$Y192,0)=-99,"N/A",OFFSET(K$55,'Intermediate Data'!$Y192,0))))</f>
        <v/>
      </c>
      <c r="AJ192" s="90" t="str">
        <f ca="1">IF($Y192="","",IF(OFFSET(L$55,'Intermediate Data'!$Y192,0)=-98,"N/A",IF(OFFSET(L$55,'Intermediate Data'!$Y192,0)=-99,"N/A",OFFSET(L$55,'Intermediate Data'!$Y192,0))))</f>
        <v/>
      </c>
      <c r="AK192" s="90" t="str">
        <f ca="1">IF($Y192="","",IF(OFFSET(M$55,'Intermediate Data'!$Y192,0)=-98,"N/A",IF(OFFSET(M$55,'Intermediate Data'!$Y192,0)=-99,"N/A",OFFSET(M$55,'Intermediate Data'!$Y192,0))))</f>
        <v/>
      </c>
      <c r="AL192" s="90" t="str">
        <f ca="1">IF($Y192="","",IF(OFFSET(N$55,'Intermediate Data'!$Y192,0)=-98,"N/A",IF(OFFSET(N$55,'Intermediate Data'!$Y192,0)=-99,"N/A",OFFSET(N$55,'Intermediate Data'!$Y192,0))))</f>
        <v/>
      </c>
      <c r="AM192" s="90" t="str">
        <f ca="1">IF($Y192="","",IF(OFFSET(O$55,'Intermediate Data'!$Y192,0)=-98,"N/A",IF(OFFSET(O$55,'Intermediate Data'!$Y192,0)=-99,"N/A",OFFSET(O$55,'Intermediate Data'!$Y192,0))))</f>
        <v/>
      </c>
      <c r="AN192" s="90" t="str">
        <f ca="1">IF($Y192="","",IF(OFFSET(P$55,'Intermediate Data'!$Y192,0)=-98,"N/A",IF(OFFSET(P$55,'Intermediate Data'!$Y192,0)=-99,"N/A",OFFSET(P$55,'Intermediate Data'!$Y192,0))))</f>
        <v/>
      </c>
      <c r="AO192" s="90" t="str">
        <f ca="1">IF($Y192="","",IF(OFFSET(Q$55,'Intermediate Data'!$Y192,0)=-98,"N/A",IF(OFFSET(Q$55,'Intermediate Data'!$Y192,0)=-99,"N/A",OFFSET(Q$55,'Intermediate Data'!$Y192,0))))</f>
        <v/>
      </c>
      <c r="AP192" s="697" t="str">
        <f ca="1">IF($Y192="","",IF(OFFSET(S$55,'Intermediate Data'!$Y192,0)=-98,"",IF(OFFSET(S$55,'Intermediate Data'!$Y192,0)=-99,"",OFFSET(S$55,'Intermediate Data'!$Y192,0))))</f>
        <v/>
      </c>
      <c r="AQ192" s="90" t="str">
        <f ca="1">IF($Y192="","",IF(OFFSET(T$55,'Intermediate Data'!$Y192,0)=-98,"Not published",IF(OFFSET(T$55,'Intermediate Data'!$Y192,0)=-99,"",OFFSET(T$55,'Intermediate Data'!$Y192,0))))</f>
        <v/>
      </c>
      <c r="AR192" s="90" t="str">
        <f ca="1">IF($Y192="","",IF(OFFSET(U$55,'Intermediate Data'!$Y192,0)=-98,"Unknown",IF(OFFSET(U$55,'Intermediate Data'!$Y192,0)=-99,"",OFFSET(U$55,'Intermediate Data'!$Y192,0))))</f>
        <v/>
      </c>
      <c r="AU192" s="112" t="str">
        <f ca="1">IF(AND(OFFSET(DATA!$F141,0,$AX$48)='Intermediate Data'!$AY$48,DATA!$E141="Tier 1"),IF(OR($AX$49=0,$AX$48=1),DATA!A141,IF(AND($AX$49=1,INDEX('Intermediate Data'!$AY$25:$AY$44,MATCH(DATA!$B141,'Intermediate Data'!$AX$25:$AX$44,0))=TRUE),DATA!A141,"")),"")</f>
        <v/>
      </c>
      <c r="AV192" s="112" t="str">
        <f ca="1">IF($AU192="","",DATA!B141)</f>
        <v/>
      </c>
      <c r="AW192" s="112" t="str">
        <f ca="1">IF(OR($AU192="",DATA!BI141=""),"",DATA!BI141)</f>
        <v/>
      </c>
      <c r="AX192" s="112" t="str">
        <f ca="1">IF(OR($AU192="",OFFSET(DATA!BK141,0,$AX$48)=""),"",OFFSET(DATA!BK141,0,$AX$48))</f>
        <v/>
      </c>
      <c r="AY192" s="112" t="str">
        <f ca="1">IF(OR($AU192="",OFFSET(DATA!BM141,0,$AX$48)=""),"",OFFSET(DATA!BM141,0,$AX$48))</f>
        <v/>
      </c>
      <c r="AZ192" s="112" t="str">
        <f ca="1">IF(OR($AU192="",OFFSET(DATA!BO141,0,'Intermediate Data'!$AX$48)=""),"",OFFSET(DATA!BO141,0,$AX$48))</f>
        <v/>
      </c>
      <c r="BA192" s="112" t="str">
        <f ca="1">IF(OR($AU192="",DATA!BQ141=""),"",DATA!BQ141)</f>
        <v/>
      </c>
      <c r="BB192" s="112" t="str">
        <f ca="1">IF($AU192="","",OFFSET(DATA!BS141,0,$AX$48))</f>
        <v/>
      </c>
      <c r="BC192" s="112" t="str">
        <f ca="1">IF($AU192="","",OFFSET(DATA!BU141,0,$AX$48))</f>
        <v/>
      </c>
      <c r="BD192" s="112" t="str">
        <f ca="1">IF($AU192="","",OFFSET(DATA!BW141,0,$AX$48))</f>
        <v/>
      </c>
      <c r="BE192" s="112" t="str">
        <f ca="1">IF($AU192="","",OFFSET(DATA!BY141,0,$AX$48))</f>
        <v/>
      </c>
      <c r="BF192" s="112" t="str">
        <f ca="1">IF($AU192="","",OFFSET(DATA!CA141,0,$AX$48))</f>
        <v/>
      </c>
      <c r="BG192" s="112" t="str">
        <f ca="1">IF($AU192="","",DATA!CC141)</f>
        <v/>
      </c>
      <c r="BH192" s="112" t="str">
        <f ca="1">IF($AU192="","",OFFSET(DATA!CE141,0,$AX$48))</f>
        <v/>
      </c>
      <c r="BI192" s="112" t="str">
        <f ca="1">IF($AU192="","",OFFSET(DATA!CG141,0,$AX$48))</f>
        <v/>
      </c>
      <c r="BJ192" s="112" t="str">
        <f ca="1">IF($AU192="","",OFFSET(DATA!CI141,0,$AX$48))</f>
        <v/>
      </c>
      <c r="BK192" s="112" t="str">
        <f ca="1">IF($AU192="","",OFFSET(DATA!CK141,0,$AX$48))</f>
        <v/>
      </c>
      <c r="BL192" s="112" t="str">
        <f ca="1">IF($AU192="","",OFFSET(DATA!CM141,0,$AX$48))</f>
        <v/>
      </c>
      <c r="BM192" s="112" t="str">
        <f ca="1">IF($AU192="","",DATA!BH141)</f>
        <v/>
      </c>
      <c r="BN192" s="112" t="str">
        <f ca="1">IF($AU192="","",DATA!DS141)</f>
        <v/>
      </c>
      <c r="BO192" s="112" t="str">
        <f ca="1">IF($AU192="","",DATA!DU141)</f>
        <v/>
      </c>
      <c r="BP192" s="112" t="str">
        <f ca="1">IF($AU192="","",DATA!DV141)</f>
        <v/>
      </c>
      <c r="BQ192" s="112" t="str">
        <f ca="1">IF($AU192="","",DATA!DX141)</f>
        <v/>
      </c>
      <c r="BR192" s="112" t="str">
        <f ca="1">IF($AU192="","",DATA!DZ141)</f>
        <v/>
      </c>
      <c r="BS192" s="171" t="str">
        <f ca="1">IF($AU192="","",DATA!EA141)</f>
        <v/>
      </c>
      <c r="BT192" s="171" t="str">
        <f ca="1">IF($AU192="","",DATA!EC141)</f>
        <v/>
      </c>
      <c r="BU192" s="171" t="str">
        <f ca="1">IF($AU192="","",DATA!EF141)</f>
        <v/>
      </c>
      <c r="BV192" s="113" t="str">
        <f t="shared" ca="1" si="38"/>
        <v/>
      </c>
      <c r="BW192" s="680" t="str">
        <f ca="1">IF(AU192="","",OFFSET(DATA!DC141,0,'Intermediate Data'!$AX$48))</f>
        <v/>
      </c>
      <c r="BX192" s="681" t="str">
        <f ca="1">IF($AU192="","",DATA!DG141)</f>
        <v/>
      </c>
      <c r="BY192" s="680" t="str">
        <f ca="1">IF($AU192="","",OFFSET(DATA!DE141,0,'Intermediate Data'!$AX$48))</f>
        <v/>
      </c>
      <c r="BZ192" s="681" t="str">
        <f ca="1">IF($AU192="","",DATA!DH141)</f>
        <v/>
      </c>
      <c r="CA192" s="90" t="str">
        <f t="shared" ca="1" si="39"/>
        <v/>
      </c>
      <c r="CB192" s="99" t="str">
        <f t="shared" ca="1" si="40"/>
        <v/>
      </c>
      <c r="CC192" s="90" t="str">
        <f t="shared" ca="1" si="41"/>
        <v/>
      </c>
      <c r="CD192" s="90" t="str">
        <f t="shared" ca="1" si="42"/>
        <v/>
      </c>
      <c r="CF192" s="90" t="str">
        <f ca="1">IF($CD192="","",IF(OFFSET(AV$55,'Intermediate Data'!$CD192,0)=-98,"Unknown",IF(OFFSET(AV$55,'Intermediate Data'!$CD192,0)=-99,"N/A",OFFSET(AV$55,'Intermediate Data'!$CD192,0))))</f>
        <v/>
      </c>
      <c r="CG192" s="90" t="str">
        <f ca="1">IF($CD192="","",IF(OFFSET(AW$55,'Intermediate Data'!$CD192,0)=-98,"",IF(OFFSET(AW$55,'Intermediate Data'!$CD192,0)=-99,"N/A",OFFSET(AW$55,'Intermediate Data'!$CD192,0))))</f>
        <v/>
      </c>
      <c r="CH192" s="90" t="str">
        <f ca="1">IF($CD192="","",IF(OFFSET(AX$55,'Intermediate Data'!$CD192,0)=-98,"Unknown",IF(OFFSET(AX$55,'Intermediate Data'!$CD192,0)=-99,"N/A",OFFSET(AX$55,'Intermediate Data'!$CD192,0))))</f>
        <v/>
      </c>
      <c r="CI192" s="125" t="str">
        <f ca="1">IF($CD192="","",IF(OFFSET(AY$55,'Intermediate Data'!$CD192,0)=-98,"Unknown",IF(OFFSET(AY$55,'Intermediate Data'!$CD192,0)=-99,"No spec",OFFSET(AY$55,'Intermediate Data'!$CD192,0))))</f>
        <v/>
      </c>
      <c r="CJ192" s="125" t="str">
        <f ca="1">IF($CD192="","",IF(OFFSET(AZ$55,'Intermediate Data'!$CD192,0)=-98,"Unknown",IF(OFFSET(AZ$55,'Intermediate Data'!$CD192,0)=-99,"N/A",OFFSET(AZ$55,'Intermediate Data'!$CD192,0))))</f>
        <v/>
      </c>
      <c r="CK192" s="90" t="str">
        <f ca="1">IF($CD192="","",IF(OFFSET(BA$55,'Intermediate Data'!$CD192,0)=-98,"Unknown",IF(OFFSET(BA$55,'Intermediate Data'!$CD192,0)=-99,"N/A",OFFSET(BA$55,'Intermediate Data'!$CD192,0))))</f>
        <v/>
      </c>
      <c r="CL192" s="90" t="str">
        <f ca="1">IF($CD192="","",IF(OFFSET(BB$55,'Intermediate Data'!$CD192,$AX$50)=-98,"Unknown",IF(OFFSET(BB$55,'Intermediate Data'!$CD192,$AX$50)="N/A","",OFFSET(BB$55,'Intermediate Data'!$CD192,$AX$50))))</f>
        <v/>
      </c>
      <c r="CM192" s="90" t="str">
        <f ca="1">IF($CD192="","",IF(OFFSET(BG$55,'Intermediate Data'!$CD192,0)="ET","ET",""))</f>
        <v/>
      </c>
      <c r="CN192" s="90" t="str">
        <f ca="1">IF($CD192="","",IF(OFFSET(BH$55,'Intermediate Data'!$CD192,$AX$50)=-98,"Unknown",IF(OFFSET(BH$55,'Intermediate Data'!$CD192,$AX$50)="N/A","",OFFSET(BH$55,'Intermediate Data'!$CD192,$AX$50))))</f>
        <v/>
      </c>
      <c r="CO192" s="90" t="str">
        <f ca="1">IF($CD192="","",IF(OFFSET(BM$55,'Intermediate Data'!$CD192,0)=-98,"Not published",IF(OFFSET(BM$55,'Intermediate Data'!$CD192,0)=-99,"No spec",OFFSET(BM$55,'Intermediate Data'!$CD192,0))))</f>
        <v/>
      </c>
      <c r="CP192" s="114" t="str">
        <f ca="1">IF($CD192="","",IF(OFFSET(BN$55,'Intermediate Data'!$CD192,0)=-98,"Unknown",IF(OFFSET(BN$55,'Intermediate Data'!$CD192,0)=-99,"N/A",OFFSET(BN$55,'Intermediate Data'!$CD192,0))))</f>
        <v/>
      </c>
      <c r="CQ192" s="114" t="str">
        <f ca="1">IF($CD192="","",IF(OFFSET(BO$55,'Intermediate Data'!$CD192,0)=-98,"Unknown",IF(OFFSET(BO$55,'Intermediate Data'!$CD192,0)=-99,"N/A",OFFSET(BO$55,'Intermediate Data'!$CD192,0))))</f>
        <v/>
      </c>
      <c r="CR192" s="114" t="str">
        <f ca="1">IF($CD192="","",IF(OFFSET(BP$55,'Intermediate Data'!$CD192,0)=-98,"Unknown",IF(OFFSET(BP$55,'Intermediate Data'!$CD192,0)=-99,"N/A",OFFSET(BP$55,'Intermediate Data'!$CD192,0))))</f>
        <v/>
      </c>
      <c r="CS192" s="114" t="str">
        <f ca="1">IF($CD192="","",IF(OFFSET(BQ$55,'Intermediate Data'!$CD192,0)=-98,"Unknown",IF(OFFSET(BQ$55,'Intermediate Data'!$CD192,0)=-99,"N/A",OFFSET(BQ$55,'Intermediate Data'!$CD192,0))))</f>
        <v/>
      </c>
      <c r="CT192" s="114" t="str">
        <f ca="1">IF($CD192="","",IF(OFFSET(BR$55,'Intermediate Data'!$CD192,0)=-98,"Unknown",IF(OFFSET(BR$55,'Intermediate Data'!$CD192,0)=-99,"N/A",OFFSET(BR$55,'Intermediate Data'!$CD192,0))))</f>
        <v/>
      </c>
      <c r="CU192" s="114" t="str">
        <f ca="1">IF($CD192="","",IF(OFFSET(BS$55,'Intermediate Data'!$CD192,0)=-98,"Unknown",IF(OFFSET(BS$55,'Intermediate Data'!$CD192,0)=-99,"N/A",OFFSET(BS$55,'Intermediate Data'!$CD192,0))))</f>
        <v/>
      </c>
      <c r="CV192" s="114" t="str">
        <f ca="1">IF($CD192="","",IF(OFFSET(BT$55,'Intermediate Data'!$CD192,0)=-98,"Unknown",IF(OFFSET(BT$55,'Intermediate Data'!$CD192,0)=-99,"N/A",OFFSET(BT$55,'Intermediate Data'!$CD192,0))))</f>
        <v/>
      </c>
      <c r="CW192" s="114" t="str">
        <f ca="1">IF($CD192="","",IF(OFFSET(BU$55,'Intermediate Data'!$CD192,0)=-98,"Unknown",IF(OFFSET(BU$55,'Intermediate Data'!$CD192,0)=-99,"N/A",OFFSET(BU$55,'Intermediate Data'!$CD192,0))))</f>
        <v/>
      </c>
      <c r="CX192" s="114" t="str">
        <f ca="1">IF($CD192="","",IF(OFFSET(BV$55,'Intermediate Data'!$CD192,0)=-98,"Unknown",IF(OFFSET(BV$55,'Intermediate Data'!$CD192,0)=-99,"N/A",OFFSET(BV$55,'Intermediate Data'!$CD192,0))))</f>
        <v/>
      </c>
      <c r="CY192" s="682" t="str">
        <f ca="1">IF($CD192="","",IF(OFFSET(BW$55,'Intermediate Data'!$CD192,0)=-98,"Unknown",IF(OFFSET(BW$55,'Intermediate Data'!$CD192,0)="N/A","",OFFSET(BW$55,'Intermediate Data'!$CD192,0))))</f>
        <v/>
      </c>
      <c r="CZ192" s="682" t="str">
        <f ca="1">IF($CD192="","",IF(OFFSET(BX$55,'Intermediate Data'!$CD192,0)=-98,"Unknown",IF(OFFSET(BX$55,'Intermediate Data'!$CD192,0)="N/A","",OFFSET(BX$55,'Intermediate Data'!$CD192,0))))</f>
        <v/>
      </c>
      <c r="DA192" s="682" t="str">
        <f ca="1">IF($CD192="","",IF(OFFSET(BY$55,'Intermediate Data'!$CD192,0)=-98,"Unknown",IF(OFFSET(BY$55,'Intermediate Data'!$CD192,0)="N/A","",OFFSET(BY$55,'Intermediate Data'!$CD192,0))))</f>
        <v/>
      </c>
      <c r="DB192" s="682" t="str">
        <f ca="1">IF($CD192="","",IF(OFFSET(BZ$55,'Intermediate Data'!$CD192,0)=-98,"Unknown",IF(OFFSET(BZ$55,'Intermediate Data'!$CD192,0)="N/A","",OFFSET(BZ$55,'Intermediate Data'!$CD192,0))))</f>
        <v/>
      </c>
    </row>
    <row r="193" spans="1:56" x14ac:dyDescent="0.2">
      <c r="A193" s="90" t="str">
        <f ca="1">IF(OFFSET(DATA!F142,0,$D$48)='Intermediate Data'!$E$48,IF(OR($E$49=$C$27,$E$48=$B$4),DATA!A142,IF($G$49=DATA!D142,DATA!A142,"")),"")</f>
        <v/>
      </c>
      <c r="B193" s="90" t="str">
        <f ca="1">IF($A193="","",DATA!EH142)</f>
        <v/>
      </c>
      <c r="C193" s="90" t="str">
        <f ca="1">IF($A193="","",DATA!B142)</f>
        <v/>
      </c>
      <c r="D193" s="90" t="str">
        <f ca="1">IF($A193="","",OFFSET(DATA!$H142,0,($D$50*5)))</f>
        <v/>
      </c>
      <c r="E193" s="90" t="str">
        <f ca="1">IF($A193="","",OFFSET(DATA!$H142,0,($D$50*5)+1))</f>
        <v/>
      </c>
      <c r="F193" s="90" t="str">
        <f ca="1">IF($A193="","",OFFSET(DATA!$H142,0,($D$50*5)+2))</f>
        <v/>
      </c>
      <c r="G193" s="90" t="str">
        <f ca="1">IF($A193="","",OFFSET(DATA!$H142,0,($D$50*5)+3))</f>
        <v/>
      </c>
      <c r="H193" s="90" t="str">
        <f ca="1">IF($A193="","",OFFSET(DATA!$H142,0,($D$50*5)+4))</f>
        <v/>
      </c>
      <c r="I193" s="90" t="str">
        <f t="shared" ref="I193:I195" ca="1" si="43">IF(A193="","",IF(SUM(D193:H193)&lt;-490,-99,IF(OR(H193=-99,H193=-98),IF(OR(G193=-99,G193=-98),E193,G193),H193)))</f>
        <v/>
      </c>
      <c r="J193" s="90" t="str">
        <f t="shared" ref="J193:J195" ca="1" si="44">IF(OR(I193="",I193=-99),"",IF(I193=H193,"CLASS","RASS"))</f>
        <v/>
      </c>
      <c r="K193" s="90" t="str">
        <f ca="1">IF($A193="","",OFFSET(DATA!$AG142,0,($D$50*5)))</f>
        <v/>
      </c>
      <c r="L193" s="90" t="str">
        <f ca="1">IF($A193="","",OFFSET(DATA!$AG142,0,($D$50*5)+1))</f>
        <v/>
      </c>
      <c r="M193" s="90" t="str">
        <f ca="1">IF($A193="","",OFFSET(DATA!$AG142,0,($D$50*5)+2))</f>
        <v/>
      </c>
      <c r="N193" s="90" t="str">
        <f ca="1">IF($A193="","",OFFSET(DATA!$AG142,0,($D$50*5)+3))</f>
        <v/>
      </c>
      <c r="O193" s="90" t="str">
        <f ca="1">IF($A193="","",OFFSET(DATA!$AG142,0,($D$50*5)+4))</f>
        <v/>
      </c>
      <c r="P193" s="90" t="str">
        <f t="shared" ref="P193:P195" ca="1" si="45">IF(I193="","",IF(SUM(K193:O193)&lt;-490,-99,IF(O193=-99,IF(N193=-99,L193,N193),O193)))</f>
        <v/>
      </c>
      <c r="Q193" s="90" t="str">
        <f t="shared" ref="Q193:Q195" ca="1" si="46">IF(OR(P193="",P193=-99),"",IF(P193=O193,"CLASS","RASS"))</f>
        <v/>
      </c>
      <c r="R193" s="699" t="str">
        <f ca="1">IF($A193="","",IF(DATA!BF142="",-99,DATA!BF142))</f>
        <v/>
      </c>
      <c r="S193" s="90" t="str">
        <f ca="1">IF($A193="","",IF(DATA!BG142="",-99,DATA!BF142-DATA!BG142))</f>
        <v/>
      </c>
      <c r="T193" s="90" t="str">
        <f ca="1">IF($A193="","",DATA!BH142)</f>
        <v/>
      </c>
      <c r="U193" s="90" t="str">
        <f ca="1">IF($A193="","",OFFSET(DATA!BM142,0,$D$48))</f>
        <v/>
      </c>
      <c r="V193" s="90" t="str">
        <f t="shared" ca="1" si="30"/>
        <v/>
      </c>
      <c r="W193" s="99" t="str">
        <f t="shared" ca="1" si="35"/>
        <v/>
      </c>
      <c r="X193" s="112" t="str">
        <f t="shared" ca="1" si="36"/>
        <v/>
      </c>
      <c r="Y193" s="90" t="str">
        <f t="shared" ca="1" si="37"/>
        <v/>
      </c>
      <c r="AX193" s="86"/>
      <c r="BD193" s="87"/>
    </row>
    <row r="194" spans="1:56" x14ac:dyDescent="0.2">
      <c r="A194" s="90" t="str">
        <f ca="1">IF(OFFSET(DATA!F143,0,$D$48)='Intermediate Data'!$E$48,IF(OR($E$49=$C$27,$E$48=$B$4),DATA!A143,IF($G$49=DATA!D143,DATA!A143,"")),"")</f>
        <v/>
      </c>
      <c r="B194" s="90" t="str">
        <f ca="1">IF($A194="","",DATA!EH143)</f>
        <v/>
      </c>
      <c r="C194" s="90" t="str">
        <f ca="1">IF($A194="","",DATA!B143)</f>
        <v/>
      </c>
      <c r="D194" s="90" t="str">
        <f ca="1">IF($A194="","",OFFSET(DATA!$H143,0,($D$50*5)))</f>
        <v/>
      </c>
      <c r="E194" s="90" t="str">
        <f ca="1">IF($A194="","",OFFSET(DATA!$H143,0,($D$50*5)+1))</f>
        <v/>
      </c>
      <c r="F194" s="90" t="str">
        <f ca="1">IF($A194="","",OFFSET(DATA!$H143,0,($D$50*5)+2))</f>
        <v/>
      </c>
      <c r="G194" s="90" t="str">
        <f ca="1">IF($A194="","",OFFSET(DATA!$H143,0,($D$50*5)+3))</f>
        <v/>
      </c>
      <c r="H194" s="90" t="str">
        <f ca="1">IF($A194="","",OFFSET(DATA!$H143,0,($D$50*5)+4))</f>
        <v/>
      </c>
      <c r="I194" s="90" t="str">
        <f t="shared" ca="1" si="43"/>
        <v/>
      </c>
      <c r="J194" s="90" t="str">
        <f t="shared" ca="1" si="44"/>
        <v/>
      </c>
      <c r="K194" s="90" t="str">
        <f ca="1">IF($A194="","",OFFSET(DATA!$AG143,0,($D$50*5)))</f>
        <v/>
      </c>
      <c r="L194" s="90" t="str">
        <f ca="1">IF($A194="","",OFFSET(DATA!$AG143,0,($D$50*5)+1))</f>
        <v/>
      </c>
      <c r="M194" s="90" t="str">
        <f ca="1">IF($A194="","",OFFSET(DATA!$AG143,0,($D$50*5)+2))</f>
        <v/>
      </c>
      <c r="N194" s="90" t="str">
        <f ca="1">IF($A194="","",OFFSET(DATA!$AG143,0,($D$50*5)+3))</f>
        <v/>
      </c>
      <c r="O194" s="90" t="str">
        <f ca="1">IF($A194="","",OFFSET(DATA!$AG143,0,($D$50*5)+4))</f>
        <v/>
      </c>
      <c r="P194" s="90" t="str">
        <f t="shared" ca="1" si="45"/>
        <v/>
      </c>
      <c r="Q194" s="90" t="str">
        <f t="shared" ca="1" si="46"/>
        <v/>
      </c>
      <c r="R194" s="699" t="str">
        <f ca="1">IF($A194="","",IF(DATA!BF143="",-99,DATA!BF143))</f>
        <v/>
      </c>
      <c r="S194" s="90" t="str">
        <f ca="1">IF($A194="","",IF(DATA!BG143="",-99,DATA!BF143-DATA!BG143))</f>
        <v/>
      </c>
      <c r="T194" s="90" t="str">
        <f ca="1">IF($A194="","",DATA!BH143)</f>
        <v/>
      </c>
      <c r="U194" s="90" t="str">
        <f ca="1">IF($A194="","",OFFSET(DATA!BM143,0,$D$48))</f>
        <v/>
      </c>
      <c r="V194" s="90" t="str">
        <f t="shared" ca="1" si="30"/>
        <v/>
      </c>
      <c r="W194" s="99" t="str">
        <f t="shared" ca="1" si="35"/>
        <v/>
      </c>
      <c r="X194" s="112" t="str">
        <f t="shared" ca="1" si="36"/>
        <v/>
      </c>
      <c r="Y194" s="90" t="str">
        <f t="shared" ca="1" si="37"/>
        <v/>
      </c>
      <c r="AX194" s="86"/>
      <c r="BD194" s="87"/>
    </row>
    <row r="195" spans="1:56" x14ac:dyDescent="0.2">
      <c r="A195" s="90" t="str">
        <f ca="1">IF(OFFSET(DATA!F144,0,$D$48)='Intermediate Data'!$E$48,IF(OR($E$49=$C$27,$E$48=$B$4),DATA!A144,IF($G$49=DATA!D144,DATA!A144,"")),"")</f>
        <v/>
      </c>
      <c r="B195" s="90" t="str">
        <f ca="1">IF($A195="","",DATA!EH144)</f>
        <v/>
      </c>
      <c r="C195" s="90" t="str">
        <f ca="1">IF($A195="","",DATA!B144)</f>
        <v/>
      </c>
      <c r="D195" s="90" t="str">
        <f ca="1">IF($A195="","",OFFSET(DATA!$H144,0,($D$50*5)))</f>
        <v/>
      </c>
      <c r="E195" s="90" t="str">
        <f ca="1">IF($A195="","",OFFSET(DATA!$H144,0,($D$50*5)+1))</f>
        <v/>
      </c>
      <c r="F195" s="90" t="str">
        <f ca="1">IF($A195="","",OFFSET(DATA!$H144,0,($D$50*5)+2))</f>
        <v/>
      </c>
      <c r="G195" s="90" t="str">
        <f ca="1">IF($A195="","",OFFSET(DATA!$H144,0,($D$50*5)+3))</f>
        <v/>
      </c>
      <c r="H195" s="90" t="str">
        <f ca="1">IF($A195="","",OFFSET(DATA!$H144,0,($D$50*5)+4))</f>
        <v/>
      </c>
      <c r="I195" s="90" t="str">
        <f t="shared" ca="1" si="43"/>
        <v/>
      </c>
      <c r="J195" s="90" t="str">
        <f t="shared" ca="1" si="44"/>
        <v/>
      </c>
      <c r="K195" s="90" t="str">
        <f ca="1">IF($A195="","",OFFSET(DATA!$AG144,0,($D$50*5)))</f>
        <v/>
      </c>
      <c r="L195" s="90" t="str">
        <f ca="1">IF($A195="","",OFFSET(DATA!$AG144,0,($D$50*5)+1))</f>
        <v/>
      </c>
      <c r="M195" s="90" t="str">
        <f ca="1">IF($A195="","",OFFSET(DATA!$AG144,0,($D$50*5)+2))</f>
        <v/>
      </c>
      <c r="N195" s="90" t="str">
        <f ca="1">IF($A195="","",OFFSET(DATA!$AG144,0,($D$50*5)+3))</f>
        <v/>
      </c>
      <c r="O195" s="90" t="str">
        <f ca="1">IF($A195="","",OFFSET(DATA!$AG144,0,($D$50*5)+4))</f>
        <v/>
      </c>
      <c r="P195" s="90" t="str">
        <f t="shared" ca="1" si="45"/>
        <v/>
      </c>
      <c r="Q195" s="90" t="str">
        <f t="shared" ca="1" si="46"/>
        <v/>
      </c>
      <c r="R195" s="699" t="str">
        <f ca="1">IF($A195="","",IF(DATA!BF144="",-99,DATA!BF144))</f>
        <v/>
      </c>
      <c r="S195" s="90" t="str">
        <f ca="1">IF($A195="","",IF(DATA!BG144="",-99,DATA!BF144-DATA!BG144))</f>
        <v/>
      </c>
      <c r="T195" s="90" t="str">
        <f ca="1">IF($A195="","",DATA!BH144)</f>
        <v/>
      </c>
      <c r="U195" s="90" t="str">
        <f ca="1">IF($A195="","",OFFSET(DATA!BM144,0,$D$48))</f>
        <v/>
      </c>
      <c r="V195" s="90" t="str">
        <f t="shared" ca="1" si="30"/>
        <v/>
      </c>
      <c r="W195" s="99" t="str">
        <f t="shared" ca="1" si="35"/>
        <v/>
      </c>
      <c r="X195" s="112" t="str">
        <f t="shared" ca="1" si="36"/>
        <v/>
      </c>
      <c r="Y195" s="90" t="str">
        <f t="shared" ca="1" si="37"/>
        <v/>
      </c>
      <c r="AX195" s="86"/>
      <c r="BD195" s="87"/>
    </row>
    <row r="196" spans="1:56" x14ac:dyDescent="0.2">
      <c r="AX196" s="86"/>
      <c r="BD196" s="87"/>
    </row>
    <row r="197" spans="1:56" x14ac:dyDescent="0.2">
      <c r="AX197" s="86"/>
      <c r="BD197" s="87"/>
    </row>
    <row r="198" spans="1:56" x14ac:dyDescent="0.2">
      <c r="AX198" s="86"/>
      <c r="BD198" s="87"/>
    </row>
    <row r="199" spans="1:56" x14ac:dyDescent="0.2">
      <c r="AX199" s="86"/>
      <c r="BD199" s="87"/>
    </row>
    <row r="200" spans="1:56" x14ac:dyDescent="0.2">
      <c r="AX200" s="86"/>
      <c r="BD200" s="87"/>
    </row>
    <row r="201" spans="1:56" x14ac:dyDescent="0.2">
      <c r="AX201" s="86"/>
      <c r="BD201" s="87"/>
    </row>
    <row r="202" spans="1:56" x14ac:dyDescent="0.2">
      <c r="AX202" s="86"/>
      <c r="BD202" s="87"/>
    </row>
    <row r="203" spans="1:56" x14ac:dyDescent="0.2">
      <c r="AX203" s="86"/>
      <c r="BD203" s="87"/>
    </row>
    <row r="204" spans="1:56" x14ac:dyDescent="0.2">
      <c r="AX204" s="86"/>
      <c r="BD204" s="87"/>
    </row>
    <row r="205" spans="1:56" x14ac:dyDescent="0.2">
      <c r="AX205" s="86"/>
      <c r="BD205" s="87"/>
    </row>
    <row r="206" spans="1:56" x14ac:dyDescent="0.2">
      <c r="AX206" s="86"/>
      <c r="BD206" s="87"/>
    </row>
    <row r="207" spans="1:56" x14ac:dyDescent="0.2">
      <c r="AX207" s="86"/>
      <c r="BD207" s="87"/>
    </row>
    <row r="208" spans="1:56" x14ac:dyDescent="0.2">
      <c r="AX208" s="86"/>
      <c r="BD208" s="87"/>
    </row>
    <row r="209" spans="2:56" x14ac:dyDescent="0.2">
      <c r="AX209" s="86"/>
      <c r="BD209" s="87"/>
    </row>
    <row r="210" spans="2:56" x14ac:dyDescent="0.2">
      <c r="B210" s="107" t="s">
        <v>360</v>
      </c>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row>
    <row r="211" spans="2:56" ht="15" x14ac:dyDescent="0.25">
      <c r="B211" s="86" t="s">
        <v>361</v>
      </c>
      <c r="C211" s="86" t="s">
        <v>236</v>
      </c>
      <c r="D211" s="86" t="s">
        <v>386</v>
      </c>
      <c r="E211" s="86" t="s">
        <v>362</v>
      </c>
      <c r="F211" s="86" t="s">
        <v>363</v>
      </c>
      <c r="G211" s="86" t="s">
        <v>364</v>
      </c>
      <c r="H211" s="86" t="s">
        <v>365</v>
      </c>
      <c r="I211" s="86" t="s">
        <v>366</v>
      </c>
      <c r="J211" s="86" t="s">
        <v>367</v>
      </c>
      <c r="K211" s="86" t="s">
        <v>368</v>
      </c>
      <c r="L211" s="86" t="s">
        <v>369</v>
      </c>
      <c r="M211" s="86" t="s">
        <v>370</v>
      </c>
      <c r="N211" s="86" t="s">
        <v>371</v>
      </c>
      <c r="O211" s="86" t="s">
        <v>372</v>
      </c>
      <c r="P211" s="86" t="s">
        <v>373</v>
      </c>
      <c r="Q211" s="86" t="s">
        <v>374</v>
      </c>
      <c r="R211" s="86" t="s">
        <v>375</v>
      </c>
      <c r="S211" s="86" t="s">
        <v>376</v>
      </c>
      <c r="T211" s="86" t="s">
        <v>377</v>
      </c>
      <c r="U211" s="86" t="s">
        <v>378</v>
      </c>
      <c r="V211" s="86" t="s">
        <v>379</v>
      </c>
      <c r="W211" s="86" t="s">
        <v>380</v>
      </c>
      <c r="X211" s="86" t="s">
        <v>381</v>
      </c>
      <c r="Y211" s="86" t="s">
        <v>382</v>
      </c>
      <c r="Z211" s="86" t="s">
        <v>383</v>
      </c>
      <c r="AA211" s="86" t="s">
        <v>384</v>
      </c>
      <c r="AB211" s="86" t="s">
        <v>594</v>
      </c>
      <c r="AC211" s="86" t="s">
        <v>595</v>
      </c>
      <c r="AF211"/>
      <c r="AG211"/>
      <c r="AX211" s="86"/>
      <c r="AY211" s="87"/>
    </row>
    <row r="212" spans="2:56" ht="15" x14ac:dyDescent="0.25">
      <c r="B212" s="86" t="s">
        <v>385</v>
      </c>
      <c r="C212" s="86" t="s">
        <v>694</v>
      </c>
      <c r="D212" s="86">
        <f>MATCH(C212,'Price Point Data'!A:A,0)</f>
        <v>2</v>
      </c>
      <c r="E212" s="86">
        <f t="shared" ref="E212:E220" si="47">D213-D212-2</f>
        <v>4</v>
      </c>
      <c r="F212" s="86" t="str">
        <f ca="1">OFFSET('Price Point Data'!$B$1,$D212+COLUMN()-5,0)</f>
        <v>Under $500</v>
      </c>
      <c r="G212" s="86" t="str">
        <f ca="1">IF(COUNTA($F212:F212)&lt;$E212,OFFSET('Price Point Data'!$B$1,$D212+COLUMN(G211)-5,0),"")</f>
        <v>$500 to $699</v>
      </c>
      <c r="H212" s="86" t="str">
        <f ca="1">IF(COUNTA($F212:G212)&lt;$E212,OFFSET('Price Point Data'!$B$1,$D212+COLUMN(H211)-5,0),"")</f>
        <v>$700 to $899</v>
      </c>
      <c r="I212" s="86" t="str">
        <f ca="1">IF(COUNTA($F212:H212)&lt;$E212,OFFSET('Price Point Data'!$B$1,$D212+COLUMN(I211)-5,0),"")</f>
        <v>$900 to $1500</v>
      </c>
      <c r="J212" s="86" t="str">
        <f ca="1">IF(COUNTA($F212:I212)&lt;$E212,OFFSET('Price Point Data'!$B$1,$D212+COLUMN(J211)-5,0),"")</f>
        <v/>
      </c>
      <c r="K212" s="86" t="str">
        <f ca="1">IF(COUNTA($F212:J212)&lt;$E212,OFFSET('Price Point Data'!$B$1,$D212+COLUMN(K211)-5,0),"")</f>
        <v/>
      </c>
      <c r="L212" s="86" t="str">
        <f ca="1">IF(COUNTA($F212:K212)&lt;$E212,OFFSET('Price Point Data'!$B$1,$D212+COLUMN(L211)-5,0),"")</f>
        <v/>
      </c>
      <c r="M212" s="86" t="str">
        <f ca="1">IF(COUNTA($F212:L212)&lt;$E212,OFFSET('Price Point Data'!$B$1,$D212+COLUMN(M211)-5,0),"")</f>
        <v/>
      </c>
      <c r="N212" s="86" t="str">
        <f ca="1">IF(COUNTA($F212:M212)&lt;$E212,OFFSET('Price Point Data'!$B$1,$D212+COLUMN(N211)-5,0),"")</f>
        <v/>
      </c>
      <c r="O212" s="86" t="str">
        <f ca="1">IF(COUNTA($F212:N212)&lt;$E212,OFFSET('Price Point Data'!$B$1,$D212+COLUMN(O211)-5,0),"")</f>
        <v/>
      </c>
      <c r="P212" s="86" t="str">
        <f ca="1">IF(COUNTA($F212:O212)&lt;$E212,OFFSET('Price Point Data'!$B$1,$D212+COLUMN(P211)-5,0),"")</f>
        <v/>
      </c>
      <c r="Q212" s="108">
        <f ca="1">OFFSET('Price Point Data'!$E$1,$D212+COLUMN(F212)-5,0)</f>
        <v>0.25</v>
      </c>
      <c r="R212" s="108">
        <f ca="1">IF(COUNT($Q212:Q212)&lt;$E212,OFFSET('Price Point Data'!$E$1,$D212+COLUMN(G212)-5,0),"")</f>
        <v>0.80769230769230771</v>
      </c>
      <c r="S212" s="108">
        <f ca="1">IF(COUNT($Q212:R212)&lt;$E212,OFFSET('Price Point Data'!$E$1,$D212+COLUMN(H212)-5,0),"")</f>
        <v>1</v>
      </c>
      <c r="T212" s="108">
        <f ca="1">IF(COUNT($Q212:S212)&lt;$E212,OFFSET('Price Point Data'!$E$1,$D212+COLUMN(I212)-5,0),"")</f>
        <v>1</v>
      </c>
      <c r="U212" s="108" t="str">
        <f ca="1">IF(COUNT($Q212:T212)&lt;$E212,OFFSET('Price Point Data'!$E$1,$D212+COLUMN(J212)-5,0),"")</f>
        <v/>
      </c>
      <c r="V212" s="108" t="str">
        <f ca="1">IF(COUNT($Q212:U212)&lt;$E212,OFFSET('Price Point Data'!$E$1,$D212+COLUMN(K212)-5,0),"")</f>
        <v/>
      </c>
      <c r="W212" s="108" t="str">
        <f ca="1">IF(COUNT($Q212:V212)&lt;$E212,OFFSET('Price Point Data'!$E$1,$D212+COLUMN(L212)-5,0),"")</f>
        <v/>
      </c>
      <c r="X212" s="108" t="str">
        <f ca="1">IF(COUNT($Q212:W212)&lt;$E212,OFFSET('Price Point Data'!$E$1,$D212+COLUMN(M212)-5,0),"")</f>
        <v/>
      </c>
      <c r="Y212" s="108" t="str">
        <f ca="1">IF(COUNT($Q212:X212)&lt;$E212,OFFSET('Price Point Data'!$E$1,$D212+COLUMN(N212)-5,0),"")</f>
        <v/>
      </c>
      <c r="Z212" s="108" t="str">
        <f ca="1">IF(COUNT($Q212:Y212)&lt;$E212,OFFSET('Price Point Data'!$E$1,$D212+COLUMN(O212)-5,0),"")</f>
        <v/>
      </c>
      <c r="AA212" s="108" t="str">
        <f ca="1">IF(COUNT($Q212:Z212)&lt;$E212,OFFSET('Price Point Data'!$E$1,$D212+COLUMN(P212)-5,0),"")</f>
        <v/>
      </c>
      <c r="AB212" s="142">
        <f ca="1">MAX(Q212:AA212)</f>
        <v>1</v>
      </c>
      <c r="AC212" s="142">
        <f ca="1">AB212/2</f>
        <v>0.5</v>
      </c>
      <c r="AF212"/>
      <c r="AG212"/>
    </row>
    <row r="213" spans="2:56" ht="15" x14ac:dyDescent="0.25">
      <c r="C213" s="86" t="s">
        <v>85</v>
      </c>
      <c r="D213" s="86">
        <f>MATCH(C213,'Price Point Data'!A:A,0)</f>
        <v>8</v>
      </c>
      <c r="E213" s="86">
        <f t="shared" si="47"/>
        <v>10</v>
      </c>
      <c r="F213" s="86" t="str">
        <f ca="1">OFFSET('Price Point Data'!$B$1,$D213+COLUMN()-5,0)</f>
        <v>Under $400</v>
      </c>
      <c r="G213" s="86" t="str">
        <f ca="1">IF(COUNTA($F213:F213)&lt;$E213,OFFSET('Price Point Data'!$B$1,$D213+COLUMN(G212)-5,0),"")</f>
        <v>$400 to $599</v>
      </c>
      <c r="H213" s="86" t="str">
        <f ca="1">IF(COUNTA($F213:G213)&lt;$E213,OFFSET('Price Point Data'!$B$1,$D213+COLUMN(H212)-5,0),"")</f>
        <v>$600 to $799</v>
      </c>
      <c r="I213" s="86" t="str">
        <f ca="1">IF(COUNTA($F213:H213)&lt;$E213,OFFSET('Price Point Data'!$B$1,$D213+COLUMN(I212)-5,0),"")</f>
        <v>$800 to $999</v>
      </c>
      <c r="J213" s="86" t="str">
        <f ca="1">IF(COUNTA($F213:I213)&lt;$E213,OFFSET('Price Point Data'!$B$1,$D213+COLUMN(J212)-5,0),"")</f>
        <v>$1000 to $1299</v>
      </c>
      <c r="K213" s="86" t="str">
        <f ca="1">IF(COUNTA($F213:J213)&lt;$E213,OFFSET('Price Point Data'!$B$1,$D213+COLUMN(K212)-5,0),"")</f>
        <v>$1300 to $1599</v>
      </c>
      <c r="L213" s="86" t="str">
        <f ca="1">IF(COUNTA($F213:K213)&lt;$E213,OFFSET('Price Point Data'!$B$1,$D213+COLUMN(L212)-5,0),"")</f>
        <v>$1600 to $1899</v>
      </c>
      <c r="M213" s="86" t="str">
        <f ca="1">IF(COUNTA($F213:L213)&lt;$E213,OFFSET('Price Point Data'!$B$1,$D213+COLUMN(M212)-5,0),"")</f>
        <v>$1900 to $2199</v>
      </c>
      <c r="N213" s="86" t="str">
        <f ca="1">IF(COUNTA($F213:M213)&lt;$E213,OFFSET('Price Point Data'!$B$1,$D213+COLUMN(N212)-5,0),"")</f>
        <v>$2200 to 2499</v>
      </c>
      <c r="O213" s="86" t="str">
        <f ca="1">IF(COUNTA($F213:N213)&lt;$E213,OFFSET('Price Point Data'!$B$1,$D213+COLUMN(O212)-5,0),"")</f>
        <v>$2500 or more</v>
      </c>
      <c r="P213" s="86" t="str">
        <f ca="1">IF(COUNTA($F213:O213)&lt;$E213,OFFSET('Price Point Data'!$B$1,$D213+COLUMN(P212)-5,0),"")</f>
        <v/>
      </c>
      <c r="Q213" s="108">
        <f ca="1">OFFSET('Price Point Data'!$E$1,$D213+COLUMN(F213)-5,0)</f>
        <v>0.16666666666666666</v>
      </c>
      <c r="R213" s="108">
        <f ca="1">IF(COUNT($Q213:Q213)&lt;$E213,OFFSET('Price Point Data'!$E$1,$D213+COLUMN(G213)-5,0),"")</f>
        <v>0.36893203883495146</v>
      </c>
      <c r="S213" s="108">
        <f ca="1">IF(COUNT($Q213:R213)&lt;$E213,OFFSET('Price Point Data'!$E$1,$D213+COLUMN(H213)-5,0),"")</f>
        <v>0.8</v>
      </c>
      <c r="T213" s="108">
        <f ca="1">IF(COUNT($Q213:S213)&lt;$E213,OFFSET('Price Point Data'!$E$1,$D213+COLUMN(I213)-5,0),"")</f>
        <v>0.95588235294117652</v>
      </c>
      <c r="U213" s="108">
        <f ca="1">IF(COUNT($Q213:T213)&lt;$E213,OFFSET('Price Point Data'!$E$1,$D213+COLUMN(J213)-5,0),"")</f>
        <v>1</v>
      </c>
      <c r="V213" s="108">
        <f ca="1">IF(COUNT($Q213:U213)&lt;$E213,OFFSET('Price Point Data'!$E$1,$D213+COLUMN(K213)-5,0),"")</f>
        <v>0.95145631067961167</v>
      </c>
      <c r="W213" s="108">
        <f ca="1">IF(COUNT($Q213:V213)&lt;$E213,OFFSET('Price Point Data'!$E$1,$D213+COLUMN(L213)-5,0),"")</f>
        <v>0.88732394366197187</v>
      </c>
      <c r="X213" s="108">
        <f ca="1">IF(COUNT($Q213:W213)&lt;$E213,OFFSET('Price Point Data'!$E$1,$D213+COLUMN(M213)-5,0),"")</f>
        <v>0.8936170212765957</v>
      </c>
      <c r="Y213" s="108">
        <f ca="1">IF(COUNT($Q213:X213)&lt;$E213,OFFSET('Price Point Data'!$E$1,$D213+COLUMN(N213)-5,0),"")</f>
        <v>0.91666666666666663</v>
      </c>
      <c r="Z213" s="108">
        <f ca="1">IF(COUNT($Q213:Y213)&lt;$E213,OFFSET('Price Point Data'!$E$1,$D213+COLUMN(O213)-5,0),"")</f>
        <v>0.90196078431372551</v>
      </c>
      <c r="AA213" s="108" t="str">
        <f ca="1">IF(COUNT($Q213:Z213)&lt;$E213,OFFSET('Price Point Data'!$E$1,$D213+COLUMN(P213)-5,0),"")</f>
        <v/>
      </c>
      <c r="AB213" s="142">
        <f t="shared" ref="AB213:AB221" ca="1" si="48">MAX(Q213:AA213)</f>
        <v>1</v>
      </c>
      <c r="AC213" s="142">
        <f t="shared" ref="AC213:AC221" ca="1" si="49">AB213/2</f>
        <v>0.5</v>
      </c>
      <c r="AF213"/>
      <c r="AG213"/>
    </row>
    <row r="214" spans="2:56" ht="15" x14ac:dyDescent="0.25">
      <c r="C214" s="86" t="s">
        <v>86</v>
      </c>
      <c r="D214" s="86">
        <f>MATCH(C214,'Price Point Data'!A:A,0)</f>
        <v>20</v>
      </c>
      <c r="E214" s="86">
        <f t="shared" si="47"/>
        <v>5</v>
      </c>
      <c r="F214" s="86" t="str">
        <f ca="1">OFFSET('Price Point Data'!$B$1,$D214+COLUMN()-5,0)</f>
        <v>Under $300</v>
      </c>
      <c r="G214" s="86" t="str">
        <f ca="1">IF(COUNTA($F214:F214)&lt;$E214,OFFSET('Price Point Data'!$B$1,$D214+COLUMN(G213)-5,0),"")</f>
        <v>$300 to $499</v>
      </c>
      <c r="H214" s="86" t="str">
        <f ca="1">IF(COUNTA($F214:G214)&lt;$E214,OFFSET('Price Point Data'!$B$1,$D214+COLUMN(H213)-5,0),"")</f>
        <v>$500 to $699</v>
      </c>
      <c r="I214" s="86" t="str">
        <f ca="1">IF(COUNTA($F214:H214)&lt;$E214,OFFSET('Price Point Data'!$B$1,$D214+COLUMN(I213)-5,0),"")</f>
        <v>$700 to $899</v>
      </c>
      <c r="J214" s="86" t="str">
        <f ca="1">IF(COUNTA($F214:I214)&lt;$E214,OFFSET('Price Point Data'!$B$1,$D214+COLUMN(J213)-5,0),"")</f>
        <v>$900 or more</v>
      </c>
      <c r="K214" s="86" t="str">
        <f ca="1">IF(COUNTA($F214:J214)&lt;$E214,OFFSET('Price Point Data'!$B$1,$D214+COLUMN(K213)-5,0),"")</f>
        <v/>
      </c>
      <c r="L214" s="86" t="str">
        <f ca="1">IF(COUNTA($F214:K214)&lt;$E214,OFFSET('Price Point Data'!$B$1,$D214+COLUMN(L213)-5,0),"")</f>
        <v/>
      </c>
      <c r="M214" s="86" t="str">
        <f ca="1">IF(COUNTA($F214:L214)&lt;$E214,OFFSET('Price Point Data'!$B$1,$D214+COLUMN(M213)-5,0),"")</f>
        <v/>
      </c>
      <c r="N214" s="86" t="str">
        <f ca="1">IF(COUNTA($F214:M214)&lt;$E214,OFFSET('Price Point Data'!$B$1,$D214+COLUMN(N213)-5,0),"")</f>
        <v/>
      </c>
      <c r="O214" s="86" t="str">
        <f ca="1">IF(COUNTA($F214:N214)&lt;$E214,OFFSET('Price Point Data'!$B$1,$D214+COLUMN(O213)-5,0),"")</f>
        <v/>
      </c>
      <c r="P214" s="86" t="str">
        <f ca="1">IF(COUNTA($F214:O214)&lt;$E214,OFFSET('Price Point Data'!$B$1,$D214+COLUMN(P213)-5,0),"")</f>
        <v/>
      </c>
      <c r="Q214" s="108">
        <f ca="1">OFFSET('Price Point Data'!$E$1,$D214+COLUMN(F214)-5,0)</f>
        <v>0.36363636363636365</v>
      </c>
      <c r="R214" s="108">
        <f ca="1">IF(COUNT($Q214:Q214)&lt;$E214,OFFSET('Price Point Data'!$E$1,$D214+COLUMN(G214)-5,0),"")</f>
        <v>0.29411764705882354</v>
      </c>
      <c r="S214" s="108">
        <f ca="1">IF(COUNT($Q214:R214)&lt;$E214,OFFSET('Price Point Data'!$E$1,$D214+COLUMN(H214)-5,0),"")</f>
        <v>0.58823529411764708</v>
      </c>
      <c r="T214" s="108">
        <f ca="1">IF(COUNT($Q214:S214)&lt;$E214,OFFSET('Price Point Data'!$E$1,$D214+COLUMN(I214)-5,0),"")</f>
        <v>0.9285714285714286</v>
      </c>
      <c r="U214" s="108">
        <f ca="1">IF(COUNT($Q214:T214)&lt;$E214,OFFSET('Price Point Data'!$E$1,$D214+COLUMN(J214)-5,0),"")</f>
        <v>0.75</v>
      </c>
      <c r="V214" s="108" t="str">
        <f ca="1">IF(COUNT($Q214:U214)&lt;$E214,OFFSET('Price Point Data'!$E$1,$D214+COLUMN(K214)-5,0),"")</f>
        <v/>
      </c>
      <c r="W214" s="108" t="str">
        <f ca="1">IF(COUNT($Q214:V214)&lt;$E214,OFFSET('Price Point Data'!$E$1,$D214+COLUMN(L214)-5,0),"")</f>
        <v/>
      </c>
      <c r="X214" s="108" t="str">
        <f ca="1">IF(COUNT($Q214:W214)&lt;$E214,OFFSET('Price Point Data'!$E$1,$D214+COLUMN(M214)-5,0),"")</f>
        <v/>
      </c>
      <c r="Y214" s="108" t="str">
        <f ca="1">IF(COUNT($Q214:X214)&lt;$E214,OFFSET('Price Point Data'!$E$1,$D214+COLUMN(N214)-5,0),"")</f>
        <v/>
      </c>
      <c r="Z214" s="108" t="str">
        <f ca="1">IF(COUNT($Q214:Y214)&lt;$E214,OFFSET('Price Point Data'!$E$1,$D214+COLUMN(O214)-5,0),"")</f>
        <v/>
      </c>
      <c r="AA214" s="108" t="str">
        <f ca="1">IF(COUNT($Q214:Z214)&lt;$E214,OFFSET('Price Point Data'!$E$1,$D214+COLUMN(P214)-5,0),"")</f>
        <v/>
      </c>
      <c r="AB214" s="142">
        <f t="shared" ca="1" si="48"/>
        <v>0.9285714285714286</v>
      </c>
      <c r="AC214" s="142">
        <f t="shared" ca="1" si="49"/>
        <v>0.4642857142857143</v>
      </c>
      <c r="AF214"/>
      <c r="AG214"/>
    </row>
    <row r="215" spans="2:56" ht="15" x14ac:dyDescent="0.25">
      <c r="C215" s="86" t="s">
        <v>72</v>
      </c>
      <c r="D215" s="86">
        <f>MATCH(C215,'Price Point Data'!A:A,0)</f>
        <v>27</v>
      </c>
      <c r="E215" s="86">
        <f t="shared" si="47"/>
        <v>4</v>
      </c>
      <c r="F215" s="86" t="str">
        <f ca="1">OFFSET('Price Point Data'!$B$1,$D215+COLUMN()-5,0)</f>
        <v>Under $300</v>
      </c>
      <c r="G215" s="86" t="str">
        <f ca="1">IF(COUNTA($F215:F215)&lt;$E215,OFFSET('Price Point Data'!$B$1,$D215+COLUMN(G214)-5,0),"")</f>
        <v>$300 to $499</v>
      </c>
      <c r="H215" s="86" t="str">
        <f ca="1">IF(COUNTA($F215:G215)&lt;$E215,OFFSET('Price Point Data'!$B$1,$D215+COLUMN(H214)-5,0),"")</f>
        <v>$500 to $699</v>
      </c>
      <c r="I215" s="86" t="str">
        <f ca="1">IF(COUNTA($F215:H215)&lt;$E215,OFFSET('Price Point Data'!$B$1,$D215+COLUMN(I214)-5,0),"")</f>
        <v>$700 or more</v>
      </c>
      <c r="J215" s="86" t="str">
        <f ca="1">IF(COUNTA($F215:I215)&lt;$E215,OFFSET('Price Point Data'!$B$1,$D215+COLUMN(J214)-5,0),"")</f>
        <v/>
      </c>
      <c r="K215" s="86" t="str">
        <f ca="1">IF(COUNTA($F215:J215)&lt;$E215,OFFSET('Price Point Data'!$B$1,$D215+COLUMN(K214)-5,0),"")</f>
        <v/>
      </c>
      <c r="L215" s="86" t="str">
        <f ca="1">IF(COUNTA($F215:K215)&lt;$E215,OFFSET('Price Point Data'!$B$1,$D215+COLUMN(L214)-5,0),"")</f>
        <v/>
      </c>
      <c r="M215" s="86" t="str">
        <f ca="1">IF(COUNTA($F215:L215)&lt;$E215,OFFSET('Price Point Data'!$B$1,$D215+COLUMN(M214)-5,0),"")</f>
        <v/>
      </c>
      <c r="N215" s="86" t="str">
        <f ca="1">IF(COUNTA($F215:M215)&lt;$E215,OFFSET('Price Point Data'!$B$1,$D215+COLUMN(N214)-5,0),"")</f>
        <v/>
      </c>
      <c r="O215" s="86" t="str">
        <f ca="1">IF(COUNTA($F215:N215)&lt;$E215,OFFSET('Price Point Data'!$B$1,$D215+COLUMN(O214)-5,0),"")</f>
        <v/>
      </c>
      <c r="P215" s="86" t="str">
        <f ca="1">IF(COUNTA($F215:O215)&lt;$E215,OFFSET('Price Point Data'!$B$1,$D215+COLUMN(P214)-5,0),"")</f>
        <v/>
      </c>
      <c r="Q215" s="108">
        <f ca="1">OFFSET('Price Point Data'!$E$1,$D215+COLUMN(F215)-5,0)</f>
        <v>0</v>
      </c>
      <c r="R215" s="108">
        <f ca="1">IF(COUNT($Q215:Q215)&lt;$E215,OFFSET('Price Point Data'!$E$1,$D215+COLUMN(G215)-5,0),"")</f>
        <v>0</v>
      </c>
      <c r="S215" s="108">
        <f ca="1">IF(COUNT($Q215:R215)&lt;$E215,OFFSET('Price Point Data'!$E$1,$D215+COLUMN(H215)-5,0),"")</f>
        <v>0</v>
      </c>
      <c r="T215" s="108">
        <f ca="1">IF(COUNT($Q215:S215)&lt;$E215,OFFSET('Price Point Data'!$E$1,$D215+COLUMN(I215)-5,0),"")</f>
        <v>1</v>
      </c>
      <c r="U215" s="108" t="str">
        <f ca="1">IF(COUNT($Q215:T215)&lt;$E215,OFFSET('Price Point Data'!$E$1,$D215+COLUMN(J215)-5,0),"")</f>
        <v/>
      </c>
      <c r="V215" s="108" t="str">
        <f ca="1">IF(COUNT($Q215:U215)&lt;$E215,OFFSET('Price Point Data'!$E$1,$D215+COLUMN(K215)-5,0),"")</f>
        <v/>
      </c>
      <c r="W215" s="108" t="str">
        <f ca="1">IF(COUNT($Q215:V215)&lt;$E215,OFFSET('Price Point Data'!$E$1,$D215+COLUMN(L215)-5,0),"")</f>
        <v/>
      </c>
      <c r="X215" s="108" t="str">
        <f ca="1">IF(COUNT($Q215:W215)&lt;$E215,OFFSET('Price Point Data'!$E$1,$D215+COLUMN(M215)-5,0),"")</f>
        <v/>
      </c>
      <c r="Y215" s="108" t="str">
        <f ca="1">IF(COUNT($Q215:X215)&lt;$E215,OFFSET('Price Point Data'!$E$1,$D215+COLUMN(N215)-5,0),"")</f>
        <v/>
      </c>
      <c r="Z215" s="108" t="str">
        <f ca="1">IF(COUNT($Q215:Y215)&lt;$E215,OFFSET('Price Point Data'!$E$1,$D215+COLUMN(O215)-5,0),"")</f>
        <v/>
      </c>
      <c r="AA215" s="108" t="str">
        <f ca="1">IF(COUNT($Q215:Z215)&lt;$E215,OFFSET('Price Point Data'!$E$1,$D215+COLUMN(P215)-5,0),"")</f>
        <v/>
      </c>
      <c r="AB215" s="142">
        <f t="shared" ca="1" si="48"/>
        <v>1</v>
      </c>
      <c r="AC215" s="142">
        <f t="shared" ca="1" si="49"/>
        <v>0.5</v>
      </c>
      <c r="AF215"/>
      <c r="AG215"/>
    </row>
    <row r="216" spans="2:56" ht="15" x14ac:dyDescent="0.25">
      <c r="C216" s="86" t="s">
        <v>71</v>
      </c>
      <c r="D216" s="86">
        <f>MATCH(C216,'Price Point Data'!A:A,0)</f>
        <v>33</v>
      </c>
      <c r="E216" s="86">
        <f t="shared" si="47"/>
        <v>5</v>
      </c>
      <c r="F216" s="86" t="str">
        <f ca="1">OFFSET('Price Point Data'!$B$1,$D216+COLUMN()-5,0)</f>
        <v>Under $400</v>
      </c>
      <c r="G216" s="86" t="str">
        <f ca="1">IF(COUNTA($F216:F216)&lt;$E216,OFFSET('Price Point Data'!$B$1,$D216+COLUMN(G215)-5,0),"")</f>
        <v>$400 to $599</v>
      </c>
      <c r="H216" s="86" t="str">
        <f ca="1">IF(COUNTA($F216:G216)&lt;$E216,OFFSET('Price Point Data'!$B$1,$D216+COLUMN(H215)-5,0),"")</f>
        <v>$600 to $799</v>
      </c>
      <c r="I216" s="86" t="str">
        <f ca="1">IF(COUNTA($F216:H216)&lt;$E216,OFFSET('Price Point Data'!$B$1,$D216+COLUMN(I215)-5,0),"")</f>
        <v>$800 to $999</v>
      </c>
      <c r="J216" s="86" t="str">
        <f ca="1">IF(COUNTA($F216:I216)&lt;$E216,OFFSET('Price Point Data'!$B$1,$D216+COLUMN(J215)-5,0),"")</f>
        <v>$1000 or more</v>
      </c>
      <c r="K216" s="86" t="str">
        <f ca="1">IF(COUNTA($F216:J216)&lt;$E216,OFFSET('Price Point Data'!$B$1,$D216+COLUMN(K215)-5,0),"")</f>
        <v/>
      </c>
      <c r="L216" s="86" t="str">
        <f ca="1">IF(COUNTA($F216:K216)&lt;$E216,OFFSET('Price Point Data'!$B$1,$D216+COLUMN(L215)-5,0),"")</f>
        <v/>
      </c>
      <c r="M216" s="86" t="str">
        <f ca="1">IF(COUNTA($F216:L216)&lt;$E216,OFFSET('Price Point Data'!$B$1,$D216+COLUMN(M215)-5,0),"")</f>
        <v/>
      </c>
      <c r="N216" s="86" t="str">
        <f ca="1">IF(COUNTA($F216:M216)&lt;$E216,OFFSET('Price Point Data'!$B$1,$D216+COLUMN(N215)-5,0),"")</f>
        <v/>
      </c>
      <c r="O216" s="86" t="str">
        <f ca="1">IF(COUNTA($F216:N216)&lt;$E216,OFFSET('Price Point Data'!$B$1,$D216+COLUMN(O215)-5,0),"")</f>
        <v/>
      </c>
      <c r="P216" s="86" t="str">
        <f ca="1">IF(COUNTA($F216:O216)&lt;$E216,OFFSET('Price Point Data'!$B$1,$D216+COLUMN(P215)-5,0),"")</f>
        <v/>
      </c>
      <c r="Q216" s="108">
        <f ca="1">OFFSET('Price Point Data'!$E$1,$D216+COLUMN(F216)-5,0)</f>
        <v>0</v>
      </c>
      <c r="R216" s="108">
        <f ca="1">IF(COUNT($Q216:Q216)&lt;$E216,OFFSET('Price Point Data'!$E$1,$D216+COLUMN(G216)-5,0),"")</f>
        <v>0</v>
      </c>
      <c r="S216" s="108">
        <f ca="1">IF(COUNT($Q216:R216)&lt;$E216,OFFSET('Price Point Data'!$E$1,$D216+COLUMN(H216)-5,0),"")</f>
        <v>0.4</v>
      </c>
      <c r="T216" s="108">
        <f ca="1">IF(COUNT($Q216:S216)&lt;$E216,OFFSET('Price Point Data'!$E$1,$D216+COLUMN(I216)-5,0),"")</f>
        <v>0.8</v>
      </c>
      <c r="U216" s="108">
        <f ca="1">IF(COUNT($Q216:T216)&lt;$E216,OFFSET('Price Point Data'!$E$1,$D216+COLUMN(J216)-5,0),"")</f>
        <v>0</v>
      </c>
      <c r="V216" s="108" t="str">
        <f ca="1">IF(COUNT($Q216:U216)&lt;$E216,OFFSET('Price Point Data'!$E$1,$D216+COLUMN(K216)-5,0),"")</f>
        <v/>
      </c>
      <c r="W216" s="108" t="str">
        <f ca="1">IF(COUNT($Q216:V216)&lt;$E216,OFFSET('Price Point Data'!$E$1,$D216+COLUMN(L216)-5,0),"")</f>
        <v/>
      </c>
      <c r="X216" s="108" t="str">
        <f ca="1">IF(COUNT($Q216:W216)&lt;$E216,OFFSET('Price Point Data'!$E$1,$D216+COLUMN(M216)-5,0),"")</f>
        <v/>
      </c>
      <c r="Y216" s="108" t="str">
        <f ca="1">IF(COUNT($Q216:X216)&lt;$E216,OFFSET('Price Point Data'!$E$1,$D216+COLUMN(N216)-5,0),"")</f>
        <v/>
      </c>
      <c r="Z216" s="108" t="str">
        <f ca="1">IF(COUNT($Q216:Y216)&lt;$E216,OFFSET('Price Point Data'!$E$1,$D216+COLUMN(O216)-5,0),"")</f>
        <v/>
      </c>
      <c r="AA216" s="108" t="str">
        <f ca="1">IF(COUNT($Q216:Z216)&lt;$E216,OFFSET('Price Point Data'!$E$1,$D216+COLUMN(P216)-5,0),"")</f>
        <v/>
      </c>
      <c r="AB216" s="142">
        <f t="shared" ca="1" si="48"/>
        <v>0.8</v>
      </c>
      <c r="AC216" s="142">
        <f t="shared" ca="1" si="49"/>
        <v>0.4</v>
      </c>
      <c r="AF216"/>
      <c r="AG216"/>
    </row>
    <row r="217" spans="2:56" ht="15" x14ac:dyDescent="0.25">
      <c r="C217" s="86" t="s">
        <v>279</v>
      </c>
      <c r="D217" s="86">
        <f>MATCH(C217,'Price Point Data'!A:A,0)</f>
        <v>40</v>
      </c>
      <c r="E217" s="86">
        <f t="shared" si="47"/>
        <v>2</v>
      </c>
      <c r="F217" s="86" t="str">
        <f ca="1">OFFSET('Price Point Data'!$B$1,$D217+COLUMN()-5,0)</f>
        <v>Under $800</v>
      </c>
      <c r="G217" s="86" t="str">
        <f ca="1">IF(COUNTA($F217:F217)&lt;$E217,OFFSET('Price Point Data'!$B$1,$D217+COLUMN(G216)-5,0),"")</f>
        <v>$800 or more</v>
      </c>
      <c r="H217" s="86" t="str">
        <f ca="1">IF(COUNTA($F217:G217)&lt;$E217,OFFSET('Price Point Data'!$B$1,$D217+COLUMN(H216)-5,0),"")</f>
        <v/>
      </c>
      <c r="I217" s="86" t="str">
        <f ca="1">IF(COUNTA($F217:H217)&lt;$E217,OFFSET('Price Point Data'!$B$1,$D217+COLUMN(I216)-5,0),"")</f>
        <v/>
      </c>
      <c r="J217" s="86" t="str">
        <f ca="1">IF(COUNTA($F217:I217)&lt;$E217,OFFSET('Price Point Data'!$B$1,$D217+COLUMN(J216)-5,0),"")</f>
        <v/>
      </c>
      <c r="K217" s="86" t="str">
        <f ca="1">IF(COUNTA($F217:J217)&lt;$E217,OFFSET('Price Point Data'!$B$1,$D217+COLUMN(K216)-5,0),"")</f>
        <v/>
      </c>
      <c r="L217" s="86" t="str">
        <f ca="1">IF(COUNTA($F217:K217)&lt;$E217,OFFSET('Price Point Data'!$B$1,$D217+COLUMN(L216)-5,0),"")</f>
        <v/>
      </c>
      <c r="M217" s="86" t="str">
        <f ca="1">IF(COUNTA($F217:L217)&lt;$E217,OFFSET('Price Point Data'!$B$1,$D217+COLUMN(M216)-5,0),"")</f>
        <v/>
      </c>
      <c r="N217" s="86" t="str">
        <f ca="1">IF(COUNTA($F217:M217)&lt;$E217,OFFSET('Price Point Data'!$B$1,$D217+COLUMN(N216)-5,0),"")</f>
        <v/>
      </c>
      <c r="O217" s="86" t="str">
        <f ca="1">IF(COUNTA($F217:N217)&lt;$E217,OFFSET('Price Point Data'!$B$1,$D217+COLUMN(O216)-5,0),"")</f>
        <v/>
      </c>
      <c r="P217" s="86" t="str">
        <f ca="1">IF(COUNTA($F217:O217)&lt;$E217,OFFSET('Price Point Data'!$B$1,$D217+COLUMN(P216)-5,0),"")</f>
        <v/>
      </c>
      <c r="Q217" s="108">
        <f ca="1">OFFSET('Price Point Data'!$E$1,$D217+COLUMN(F217)-5,0)</f>
        <v>0.15384615384615385</v>
      </c>
      <c r="R217" s="108">
        <f ca="1">IF(COUNT($Q217:Q217)&lt;$E217,OFFSET('Price Point Data'!$E$1,$D217+COLUMN(G217)-5,0),"")</f>
        <v>0.66666666666666663</v>
      </c>
      <c r="S217" s="108" t="str">
        <f ca="1">IF(COUNT($Q217:R217)&lt;$E217,OFFSET('Price Point Data'!$E$1,$D217+COLUMN(H217)-5,0),"")</f>
        <v/>
      </c>
      <c r="T217" s="108" t="str">
        <f ca="1">IF(COUNT($Q217:S217)&lt;$E217,OFFSET('Price Point Data'!$E$1,$D217+COLUMN(I217)-5,0),"")</f>
        <v/>
      </c>
      <c r="U217" s="108" t="str">
        <f ca="1">IF(COUNT($Q217:T217)&lt;$E217,OFFSET('Price Point Data'!$E$1,$D217+COLUMN(J217)-5,0),"")</f>
        <v/>
      </c>
      <c r="V217" s="108" t="str">
        <f ca="1">IF(COUNT($Q217:U217)&lt;$E217,OFFSET('Price Point Data'!$E$1,$D217+COLUMN(K217)-5,0),"")</f>
        <v/>
      </c>
      <c r="W217" s="108" t="str">
        <f ca="1">IF(COUNT($Q217:V217)&lt;$E217,OFFSET('Price Point Data'!$E$1,$D217+COLUMN(L217)-5,0),"")</f>
        <v/>
      </c>
      <c r="X217" s="108" t="str">
        <f ca="1">IF(COUNT($Q217:W217)&lt;$E217,OFFSET('Price Point Data'!$E$1,$D217+COLUMN(M217)-5,0),"")</f>
        <v/>
      </c>
      <c r="Y217" s="108" t="str">
        <f ca="1">IF(COUNT($Q217:X217)&lt;$E217,OFFSET('Price Point Data'!$E$1,$D217+COLUMN(N217)-5,0),"")</f>
        <v/>
      </c>
      <c r="Z217" s="108" t="str">
        <f ca="1">IF(COUNT($Q217:Y217)&lt;$E217,OFFSET('Price Point Data'!$E$1,$D217+COLUMN(O217)-5,0),"")</f>
        <v/>
      </c>
      <c r="AA217" s="108" t="str">
        <f ca="1">IF(COUNT($Q217:Z217)&lt;$E217,OFFSET('Price Point Data'!$E$1,$D217+COLUMN(P217)-5,0),"")</f>
        <v/>
      </c>
      <c r="AB217" s="142">
        <f t="shared" ca="1" si="48"/>
        <v>0.66666666666666663</v>
      </c>
      <c r="AC217" s="142">
        <f t="shared" ca="1" si="49"/>
        <v>0.33333333333333331</v>
      </c>
      <c r="AF217"/>
      <c r="AG217"/>
    </row>
    <row r="218" spans="2:56" ht="15" x14ac:dyDescent="0.25">
      <c r="B218" s="86" t="s">
        <v>79</v>
      </c>
      <c r="C218" s="86" t="s">
        <v>699</v>
      </c>
      <c r="D218" s="86">
        <f>MATCH(C218,'Price Point Data'!A:A,0)</f>
        <v>44</v>
      </c>
      <c r="E218" s="86">
        <f t="shared" si="47"/>
        <v>5</v>
      </c>
      <c r="F218" s="86" t="str">
        <f ca="1">OFFSET('Price Point Data'!$B$1,$D218+COLUMN()-5,0)</f>
        <v>Under $250</v>
      </c>
      <c r="G218" s="86" t="str">
        <f ca="1">IF(COUNTA($F218:F218)&lt;$E218,OFFSET('Price Point Data'!$B$1,$D218+COLUMN(G217)-5,0),"")</f>
        <v>$250 - $499</v>
      </c>
      <c r="H218" s="86" t="str">
        <f ca="1">IF(COUNTA($F218:G218)&lt;$E218,OFFSET('Price Point Data'!$B$1,$D218+COLUMN(H217)-5,0),"")</f>
        <v>$500 - $749</v>
      </c>
      <c r="I218" s="86" t="str">
        <f ca="1">IF(COUNTA($F218:H218)&lt;$E218,OFFSET('Price Point Data'!$B$1,$D218+COLUMN(I217)-5,0),"")</f>
        <v>$750 - $999</v>
      </c>
      <c r="J218" s="86" t="str">
        <f ca="1">IF(COUNTA($F218:I218)&lt;$E218,OFFSET('Price Point Data'!$B$1,$D218+COLUMN(J217)-5,0),"")</f>
        <v>$1000 or more</v>
      </c>
      <c r="K218" s="86" t="str">
        <f ca="1">IF(COUNTA($F218:J218)&lt;$E218,OFFSET('Price Point Data'!$B$1,$D218+COLUMN(K217)-5,0),"")</f>
        <v/>
      </c>
      <c r="L218" s="86" t="str">
        <f ca="1">IF(COUNTA($F218:K218)&lt;$E218,OFFSET('Price Point Data'!$B$1,$D218+COLUMN(L217)-5,0),"")</f>
        <v/>
      </c>
      <c r="M218" s="86" t="str">
        <f ca="1">IF(COUNTA($F218:L218)&lt;$E218,OFFSET('Price Point Data'!$B$1,$D218+COLUMN(M217)-5,0),"")</f>
        <v/>
      </c>
      <c r="N218" s="86" t="str">
        <f ca="1">IF(COUNTA($F218:M218)&lt;$E218,OFFSET('Price Point Data'!$B$1,$D218+COLUMN(N217)-5,0),"")</f>
        <v/>
      </c>
      <c r="O218" s="86" t="str">
        <f ca="1">IF(COUNTA($F218:N218)&lt;$E218,OFFSET('Price Point Data'!$B$1,$D218+COLUMN(O217)-5,0),"")</f>
        <v/>
      </c>
      <c r="P218" s="86" t="str">
        <f ca="1">IF(COUNTA($F218:O218)&lt;$E218,OFFSET('Price Point Data'!$B$1,$D218+COLUMN(P217)-5,0),"")</f>
        <v/>
      </c>
      <c r="Q218" s="108">
        <f ca="1">OFFSET('Price Point Data'!$E$1,$D218+COLUMN(F218)-5,0)</f>
        <v>0.5</v>
      </c>
      <c r="R218" s="108">
        <f ca="1">IF(COUNT($Q218:Q218)&lt;$E218,OFFSET('Price Point Data'!$E$1,$D218+COLUMN(G218)-5,0),"")</f>
        <v>0.17647058823529413</v>
      </c>
      <c r="S218" s="108">
        <f ca="1">IF(COUNT($Q218:R218)&lt;$E218,OFFSET('Price Point Data'!$E$1,$D218+COLUMN(H218)-5,0),"")</f>
        <v>0.21428571428571427</v>
      </c>
      <c r="T218" s="108">
        <f ca="1">IF(COUNT($Q218:S218)&lt;$E218,OFFSET('Price Point Data'!$E$1,$D218+COLUMN(I218)-5,0),"")</f>
        <v>0.35294117647058826</v>
      </c>
      <c r="U218" s="108">
        <f ca="1">IF(COUNT($Q218:T218)&lt;$E218,OFFSET('Price Point Data'!$E$1,$D218+COLUMN(J218)-5,0),"")</f>
        <v>0</v>
      </c>
      <c r="V218" s="108" t="str">
        <f ca="1">IF(COUNT($Q218:U218)&lt;$E218,OFFSET('Price Point Data'!$E$1,$D218+COLUMN(K218)-5,0),"")</f>
        <v/>
      </c>
      <c r="W218" s="108" t="str">
        <f ca="1">IF(COUNT($Q218:V218)&lt;$E218,OFFSET('Price Point Data'!$E$1,$D218+COLUMN(L218)-5,0),"")</f>
        <v/>
      </c>
      <c r="X218" s="108" t="str">
        <f ca="1">IF(COUNT($Q218:W218)&lt;$E218,OFFSET('Price Point Data'!$E$1,$D218+COLUMN(M218)-5,0),"")</f>
        <v/>
      </c>
      <c r="Y218" s="108" t="str">
        <f ca="1">IF(COUNT($Q218:X218)&lt;$E218,OFFSET('Price Point Data'!$E$1,$D218+COLUMN(N218)-5,0),"")</f>
        <v/>
      </c>
      <c r="Z218" s="108" t="str">
        <f ca="1">IF(COUNT($Q218:Y218)&lt;$E218,OFFSET('Price Point Data'!$E$1,$D218+COLUMN(O218)-5,0),"")</f>
        <v/>
      </c>
      <c r="AA218" s="108" t="str">
        <f ca="1">IF(COUNT($Q218:Z218)&lt;$E218,OFFSET('Price Point Data'!$E$1,$D218+COLUMN(P218)-5,0),"")</f>
        <v/>
      </c>
      <c r="AB218" s="142">
        <f t="shared" ca="1" si="48"/>
        <v>0.5</v>
      </c>
      <c r="AC218" s="142">
        <f t="shared" ca="1" si="49"/>
        <v>0.25</v>
      </c>
      <c r="AF218"/>
      <c r="AG218"/>
    </row>
    <row r="219" spans="2:56" ht="15" x14ac:dyDescent="0.25">
      <c r="C219" s="86" t="s">
        <v>703</v>
      </c>
      <c r="D219" s="86">
        <f>MATCH(C219,'Price Point Data'!A:A,0)</f>
        <v>51</v>
      </c>
      <c r="E219" s="86">
        <f t="shared" si="47"/>
        <v>7</v>
      </c>
      <c r="F219" s="86" t="str">
        <f ca="1">OFFSET('Price Point Data'!$B$1,$D219+COLUMN()-5,0)</f>
        <v>$50 - $99</v>
      </c>
      <c r="G219" s="86" t="str">
        <f ca="1">IF(COUNTA($F219:F219)&lt;$E219,OFFSET('Price Point Data'!$B$1,$D219+COLUMN(G218)-5,0),"")</f>
        <v>$100 - $149</v>
      </c>
      <c r="H219" s="86" t="str">
        <f ca="1">IF(COUNTA($F219:G219)&lt;$E219,OFFSET('Price Point Data'!$B$1,$D219+COLUMN(H218)-5,0),"")</f>
        <v>$150 - $199</v>
      </c>
      <c r="I219" s="86" t="str">
        <f ca="1">IF(COUNTA($F219:H219)&lt;$E219,OFFSET('Price Point Data'!$B$1,$D219+COLUMN(I218)-5,0),"")</f>
        <v>$200 - $249</v>
      </c>
      <c r="J219" s="86" t="str">
        <f ca="1">IF(COUNTA($F219:I219)&lt;$E219,OFFSET('Price Point Data'!$B$1,$D219+COLUMN(J218)-5,0),"")</f>
        <v>$250 - $499</v>
      </c>
      <c r="K219" s="86" t="str">
        <f ca="1">IF(COUNTA($F219:J219)&lt;$E219,OFFSET('Price Point Data'!$B$1,$D219+COLUMN(K218)-5,0),"")</f>
        <v>$500 - $749</v>
      </c>
      <c r="L219" s="86" t="str">
        <f ca="1">IF(COUNTA($F219:K219)&lt;$E219,OFFSET('Price Point Data'!$B$1,$D219+COLUMN(L218)-5,0),"")</f>
        <v>$750 or more</v>
      </c>
      <c r="M219" s="86" t="str">
        <f ca="1">IF(COUNTA($F219:L219)&lt;$E219,OFFSET('Price Point Data'!$B$1,$D219+COLUMN(M218)-5,0),"")</f>
        <v/>
      </c>
      <c r="N219" s="86" t="str">
        <f ca="1">IF(COUNTA($F219:M219)&lt;$E219,OFFSET('Price Point Data'!$B$1,$D219+COLUMN(N218)-5,0),"")</f>
        <v/>
      </c>
      <c r="O219" s="86" t="str">
        <f ca="1">IF(COUNTA($F219:N219)&lt;$E219,OFFSET('Price Point Data'!$B$1,$D219+COLUMN(O218)-5,0),"")</f>
        <v/>
      </c>
      <c r="P219" s="86" t="str">
        <f ca="1">IF(COUNTA($F219:O219)&lt;$E219,OFFSET('Price Point Data'!$B$1,$D219+COLUMN(P218)-5,0),"")</f>
        <v/>
      </c>
      <c r="Q219" s="108">
        <f ca="1">OFFSET('Price Point Data'!$E$1,$D219+COLUMN(F219)-5,0)</f>
        <v>0.65</v>
      </c>
      <c r="R219" s="108">
        <f ca="1">IF(COUNT($Q219:Q219)&lt;$E219,OFFSET('Price Point Data'!$E$1,$D219+COLUMN(G219)-5,0),"")</f>
        <v>0.47058823529411764</v>
      </c>
      <c r="S219" s="108">
        <f ca="1">IF(COUNT($Q219:R219)&lt;$E219,OFFSET('Price Point Data'!$E$1,$D219+COLUMN(H219)-5,0),"")</f>
        <v>0.48333333333333334</v>
      </c>
      <c r="T219" s="108">
        <f ca="1">IF(COUNT($Q219:S219)&lt;$E219,OFFSET('Price Point Data'!$E$1,$D219+COLUMN(I219)-5,0),"")</f>
        <v>0.60526315789473684</v>
      </c>
      <c r="U219" s="108">
        <f ca="1">IF(COUNT($Q219:T219)&lt;$E219,OFFSET('Price Point Data'!$E$1,$D219+COLUMN(J219)-5,0),"")</f>
        <v>0.46153846153846156</v>
      </c>
      <c r="V219" s="108">
        <f ca="1">IF(COUNT($Q219:U219)&lt;$E219,OFFSET('Price Point Data'!$E$1,$D219+COLUMN(K219)-5,0),"")</f>
        <v>0.41176470588235292</v>
      </c>
      <c r="W219" s="108">
        <f ca="1">IF(COUNT($Q219:V219)&lt;$E219,OFFSET('Price Point Data'!$E$1,$D219+COLUMN(L219)-5,0),"")</f>
        <v>0.4</v>
      </c>
      <c r="X219" s="108" t="str">
        <f ca="1">IF(COUNT($Q219:W219)&lt;$E219,OFFSET('Price Point Data'!$E$1,$D219+COLUMN(M219)-5,0),"")</f>
        <v/>
      </c>
      <c r="Y219" s="108" t="str">
        <f ca="1">IF(COUNT($Q219:X219)&lt;$E219,OFFSET('Price Point Data'!$E$1,$D219+COLUMN(N219)-5,0),"")</f>
        <v/>
      </c>
      <c r="Z219" s="108" t="str">
        <f ca="1">IF(COUNT($Q219:Y219)&lt;$E219,OFFSET('Price Point Data'!$E$1,$D219+COLUMN(O219)-5,0),"")</f>
        <v/>
      </c>
      <c r="AA219" s="108" t="str">
        <f ca="1">IF(COUNT($Q219:Z219)&lt;$E219,OFFSET('Price Point Data'!$E$1,$D219+COLUMN(P219)-5,0),"")</f>
        <v/>
      </c>
      <c r="AB219" s="142">
        <f t="shared" ca="1" si="48"/>
        <v>0.65</v>
      </c>
      <c r="AC219" s="142">
        <f t="shared" ca="1" si="49"/>
        <v>0.32500000000000001</v>
      </c>
      <c r="AF219"/>
      <c r="AG219"/>
    </row>
    <row r="220" spans="2:56" ht="15" x14ac:dyDescent="0.25">
      <c r="C220" s="86" t="s">
        <v>700</v>
      </c>
      <c r="D220" s="86">
        <f>MATCH(C220,'Price Point Data'!A:A,0)</f>
        <v>60</v>
      </c>
      <c r="E220" s="86">
        <f t="shared" si="47"/>
        <v>7</v>
      </c>
      <c r="F220" s="86" t="str">
        <f ca="1">OFFSET('Price Point Data'!$B$1,$D220+COLUMN()-5,0)</f>
        <v>Under $250</v>
      </c>
      <c r="G220" s="86" t="str">
        <f ca="1">IF(COUNTA($F220:F220)&lt;$E220,OFFSET('Price Point Data'!$B$1,$D220+COLUMN(G219)-5,0),"")</f>
        <v>$250 - $499</v>
      </c>
      <c r="H220" s="86" t="str">
        <f ca="1">IF(COUNTA($F220:G220)&lt;$E220,OFFSET('Price Point Data'!$B$1,$D220+COLUMN(H219)-5,0),"")</f>
        <v>$500 - $749</v>
      </c>
      <c r="I220" s="86" t="str">
        <f ca="1">IF(COUNTA($F220:H220)&lt;$E220,OFFSET('Price Point Data'!$B$1,$D220+COLUMN(I219)-5,0),"")</f>
        <v>$750 - $999</v>
      </c>
      <c r="J220" s="86" t="str">
        <f ca="1">IF(COUNTA($F220:I220)&lt;$E220,OFFSET('Price Point Data'!$B$1,$D220+COLUMN(J219)-5,0),"")</f>
        <v>$1000 - $1249</v>
      </c>
      <c r="K220" s="86" t="str">
        <f ca="1">IF(COUNTA($F220:J220)&lt;$E220,OFFSET('Price Point Data'!$B$1,$D220+COLUMN(K219)-5,0),"")</f>
        <v>$1250 - $1499</v>
      </c>
      <c r="L220" s="86" t="str">
        <f ca="1">IF(COUNTA($F220:K220)&lt;$E220,OFFSET('Price Point Data'!$B$1,$D220+COLUMN(L219)-5,0),"")</f>
        <v>$1500 - $1999</v>
      </c>
      <c r="M220" s="86" t="str">
        <f ca="1">IF(COUNTA($F220:L220)&lt;$E220,OFFSET('Price Point Data'!$B$1,$D220+COLUMN(M219)-5,0),"")</f>
        <v/>
      </c>
      <c r="N220" s="86" t="str">
        <f ca="1">IF(COUNTA($F220:M220)&lt;$E220,OFFSET('Price Point Data'!$B$1,$D220+COLUMN(N219)-5,0),"")</f>
        <v/>
      </c>
      <c r="O220" s="86" t="str">
        <f ca="1">IF(COUNTA($F220:N220)&lt;$E220,OFFSET('Price Point Data'!$B$1,$D220+COLUMN(O219)-5,0),"")</f>
        <v/>
      </c>
      <c r="P220" s="86" t="str">
        <f ca="1">IF(COUNTA($F220:O220)&lt;$E220,OFFSET('Price Point Data'!$B$1,$D220+COLUMN(P219)-5,0),"")</f>
        <v/>
      </c>
      <c r="Q220" s="108">
        <f ca="1">OFFSET('Price Point Data'!$E$1,$D220+COLUMN(F220)-5,0)</f>
        <v>0.5</v>
      </c>
      <c r="R220" s="108">
        <f ca="1">IF(COUNT($Q220:Q220)&lt;$E220,OFFSET('Price Point Data'!$E$1,$D220+COLUMN(G220)-5,0),"")</f>
        <v>0.5</v>
      </c>
      <c r="S220" s="108">
        <f ca="1">IF(COUNT($Q220:R220)&lt;$E220,OFFSET('Price Point Data'!$E$1,$D220+COLUMN(H220)-5,0),"")</f>
        <v>0.42857142857142855</v>
      </c>
      <c r="T220" s="108">
        <f ca="1">IF(COUNT($Q220:S220)&lt;$E220,OFFSET('Price Point Data'!$E$1,$D220+COLUMN(I220)-5,0),"")</f>
        <v>0.47368421052631576</v>
      </c>
      <c r="U220" s="108">
        <f ca="1">IF(COUNT($Q220:T220)&lt;$E220,OFFSET('Price Point Data'!$E$1,$D220+COLUMN(J220)-5,0),"")</f>
        <v>0.4</v>
      </c>
      <c r="V220" s="108">
        <f ca="1">IF(COUNT($Q220:U220)&lt;$E220,OFFSET('Price Point Data'!$E$1,$D220+COLUMN(K220)-5,0),"")</f>
        <v>0.45714285714285713</v>
      </c>
      <c r="W220" s="108">
        <f ca="1">IF(COUNT($Q220:V220)&lt;$E220,OFFSET('Price Point Data'!$E$1,$D220+COLUMN(L220)-5,0),"")</f>
        <v>0.19230769230769232</v>
      </c>
      <c r="X220" s="108" t="str">
        <f ca="1">IF(COUNT($Q220:W220)&lt;$E220,OFFSET('Price Point Data'!$E$1,$D220+COLUMN(M220)-5,0),"")</f>
        <v/>
      </c>
      <c r="Y220" s="108" t="str">
        <f ca="1">IF(COUNT($Q220:X220)&lt;$E220,OFFSET('Price Point Data'!$E$1,$D220+COLUMN(N220)-5,0),"")</f>
        <v/>
      </c>
      <c r="Z220" s="108" t="str">
        <f ca="1">IF(COUNT($Q220:Y220)&lt;$E220,OFFSET('Price Point Data'!$E$1,$D220+COLUMN(O220)-5,0),"")</f>
        <v/>
      </c>
      <c r="AA220" s="108" t="str">
        <f ca="1">IF(COUNT($Q220:Z220)&lt;$E220,OFFSET('Price Point Data'!$E$1,$D220+COLUMN(P220)-5,0),"")</f>
        <v/>
      </c>
      <c r="AB220" s="142">
        <f t="shared" ca="1" si="48"/>
        <v>0.5</v>
      </c>
      <c r="AC220" s="142">
        <f t="shared" ca="1" si="49"/>
        <v>0.25</v>
      </c>
      <c r="AF220"/>
      <c r="AG220"/>
    </row>
    <row r="221" spans="2:56" ht="15" x14ac:dyDescent="0.25">
      <c r="C221" s="86" t="s">
        <v>88</v>
      </c>
      <c r="D221" s="86">
        <f>MATCH(C221,'Price Point Data'!A:A,0)</f>
        <v>69</v>
      </c>
      <c r="E221" s="86">
        <v>11</v>
      </c>
      <c r="F221" s="86" t="str">
        <f ca="1">OFFSET('Price Point Data'!$B$1,$D221+COLUMN()-5,0)</f>
        <v>Under $200</v>
      </c>
      <c r="G221" s="86" t="str">
        <f ca="1">IF(COUNTA($F221:F221)&lt;$E221,OFFSET('Price Point Data'!$B$1,$D221+COLUMN(G220)-5,0),"")</f>
        <v>$200 - $249</v>
      </c>
      <c r="H221" s="86" t="str">
        <f ca="1">IF(COUNTA($F221:G221)&lt;$E221,OFFSET('Price Point Data'!$B$1,$D221+COLUMN(H220)-5,0),"")</f>
        <v>$250 - $499</v>
      </c>
      <c r="I221" s="86" t="str">
        <f ca="1">IF(COUNTA($F221:H221)&lt;$E221,OFFSET('Price Point Data'!$B$1,$D221+COLUMN(I220)-5,0),"")</f>
        <v>$500 - $749</v>
      </c>
      <c r="J221" s="86" t="str">
        <f ca="1">IF(COUNTA($F221:I221)&lt;$E221,OFFSET('Price Point Data'!$B$1,$D221+COLUMN(J220)-5,0),"")</f>
        <v>$750 - $999</v>
      </c>
      <c r="K221" s="86" t="str">
        <f ca="1">IF(COUNTA($F221:J221)&lt;$E221,OFFSET('Price Point Data'!$B$1,$D221+COLUMN(K220)-5,0),"")</f>
        <v>$1000 - $1249</v>
      </c>
      <c r="L221" s="86" t="str">
        <f ca="1">IF(COUNTA($F221:K221)&lt;$E221,OFFSET('Price Point Data'!$B$1,$D221+COLUMN(L220)-5,0),"")</f>
        <v>$1250 - $1499</v>
      </c>
      <c r="M221" s="86" t="str">
        <f ca="1">IF(COUNTA($F221:L221)&lt;$E221,OFFSET('Price Point Data'!$B$1,$D221+COLUMN(M220)-5,0),"")</f>
        <v>$1500 - $1999</v>
      </c>
      <c r="N221" s="86" t="str">
        <f ca="1">IF(COUNTA($F221:M221)&lt;$E221,OFFSET('Price Point Data'!$B$1,$D221+COLUMN(N220)-5,0),"")</f>
        <v>$2000 - $2499</v>
      </c>
      <c r="O221" s="86" t="str">
        <f ca="1">IF(COUNTA($F221:N221)&lt;$E221,OFFSET('Price Point Data'!$B$1,$D221+COLUMN(O220)-5,0),"")</f>
        <v>$2500 - $2999</v>
      </c>
      <c r="P221" s="86" t="str">
        <f ca="1">IF(COUNTA($F221:O221)&lt;$E221,OFFSET('Price Point Data'!$B$1,$D221+COLUMN(P220)-5,0),"")</f>
        <v>$3000 or more</v>
      </c>
      <c r="Q221" s="108">
        <f ca="1">OFFSET('Price Point Data'!$E$1,$D221+COLUMN(F221)-5,0)</f>
        <v>0.71739130434782605</v>
      </c>
      <c r="R221" s="108">
        <f ca="1">IF(COUNT($Q221:Q221)&lt;$E221,OFFSET('Price Point Data'!$E$1,$D221+COLUMN(G221)-5,0),"")</f>
        <v>0.5625</v>
      </c>
      <c r="S221" s="108">
        <f ca="1">IF(COUNT($Q221:R221)&lt;$E221,OFFSET('Price Point Data'!$E$1,$D221+COLUMN(H221)-5,0),"")</f>
        <v>0.62857142857142856</v>
      </c>
      <c r="T221" s="108">
        <f ca="1">IF(COUNT($Q221:S221)&lt;$E221,OFFSET('Price Point Data'!$E$1,$D221+COLUMN(I221)-5,0),"")</f>
        <v>0.72727272727272729</v>
      </c>
      <c r="U221" s="108">
        <f ca="1">IF(COUNT($Q221:T221)&lt;$E221,OFFSET('Price Point Data'!$E$1,$D221+COLUMN(J221)-5,0),"")</f>
        <v>0.69230769230769229</v>
      </c>
      <c r="V221" s="108">
        <f ca="1">IF(COUNT($Q221:U221)&lt;$E221,OFFSET('Price Point Data'!$E$1,$D221+COLUMN(K221)-5,0),"")</f>
        <v>0.5714285714285714</v>
      </c>
      <c r="W221" s="108">
        <f ca="1">IF(COUNT($Q221:V221)&lt;$E221,OFFSET('Price Point Data'!$E$1,$D221+COLUMN(L221)-5,0),"")</f>
        <v>0.61538461538461542</v>
      </c>
      <c r="X221" s="108">
        <f ca="1">IF(COUNT($Q221:W221)&lt;$E221,OFFSET('Price Point Data'!$E$1,$D221+COLUMN(M221)-5,0),"")</f>
        <v>0.625</v>
      </c>
      <c r="Y221" s="108">
        <f ca="1">IF(COUNT($Q221:X221)&lt;$E221,OFFSET('Price Point Data'!$E$1,$D221+COLUMN(N221)-5,0),"")</f>
        <v>0.61538461538461542</v>
      </c>
      <c r="Z221" s="108">
        <f ca="1">IF(COUNT($Q221:Y221)&lt;$E221,OFFSET('Price Point Data'!$E$1,$D221+COLUMN(O221)-5,0),"")</f>
        <v>0.36363636363636365</v>
      </c>
      <c r="AA221" s="108">
        <f ca="1">IF(COUNT($Q221:Z221)&lt;$E221,OFFSET('Price Point Data'!$E$1,$D221+COLUMN(P221)-5,0),"")</f>
        <v>0.2</v>
      </c>
      <c r="AB221" s="142">
        <f t="shared" ca="1" si="48"/>
        <v>0.72727272727272729</v>
      </c>
      <c r="AC221" s="142">
        <f t="shared" ca="1" si="49"/>
        <v>0.36363636363636365</v>
      </c>
      <c r="AF221"/>
      <c r="AG221"/>
    </row>
    <row r="222" spans="2:56" ht="15" x14ac:dyDescent="0.25">
      <c r="AF222"/>
      <c r="AG222"/>
    </row>
    <row r="223" spans="2:56" ht="15" x14ac:dyDescent="0.25">
      <c r="AF223"/>
      <c r="AG223"/>
    </row>
  </sheetData>
  <sortState ref="AZ25:AZ44">
    <sortCondition ref="AZ25:AZ44"/>
  </sortState>
  <mergeCells count="1">
    <mergeCell ref="B25:AH2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Read Me</vt:lpstr>
      <vt:lpstr>Household View</vt:lpstr>
      <vt:lpstr>Device View</vt:lpstr>
      <vt:lpstr>DATA</vt:lpstr>
      <vt:lpstr>Category Data</vt:lpstr>
      <vt:lpstr>Price Point Data</vt:lpstr>
      <vt:lpstr>DATA SOURCE #s</vt:lpstr>
      <vt:lpstr>SOURCE Info</vt:lpstr>
      <vt:lpstr>Intermediate Data</vt:lpstr>
      <vt:lpstr>EndUse</vt:lpstr>
      <vt:lpstr>FuelFilter</vt:lpstr>
      <vt:lpstr>HHCategory_Electric</vt:lpstr>
      <vt:lpstr>HHCategory_Gas</vt:lpstr>
      <vt:lpstr>HHFilterBy</vt:lpstr>
      <vt:lpstr>HHVSort</vt:lpstr>
      <vt:lpstr>T1CustomList</vt:lpstr>
      <vt:lpstr>T1FilterByNew</vt:lpstr>
      <vt:lpstr>T1ProductList</vt:lpstr>
      <vt:lpstr>T1ProductListAll</vt:lpstr>
      <vt:lpstr>T1ProductListAllFuel</vt:lpstr>
      <vt:lpstr>T1Sort</vt:lpstr>
      <vt:lpstr>Territory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 Forster</dc:creator>
  <cp:lastModifiedBy>Hale Forster</cp:lastModifiedBy>
  <cp:lastPrinted>2014-03-19T11:43:05Z</cp:lastPrinted>
  <dcterms:created xsi:type="dcterms:W3CDTF">2013-10-08T16:35:19Z</dcterms:created>
  <dcterms:modified xsi:type="dcterms:W3CDTF">2015-07-03T11:20:06Z</dcterms:modified>
</cp:coreProperties>
</file>